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jcancino\Desktop\"/>
    </mc:Choice>
  </mc:AlternateContent>
  <bookViews>
    <workbookView xWindow="0" yWindow="0" windowWidth="28800" windowHeight="11715" tabRatio="1000" activeTab="1"/>
  </bookViews>
  <sheets>
    <sheet name="GRAFICOS" sheetId="129" r:id="rId1"/>
    <sheet name="CONSOLIDADO" sheetId="39" r:id="rId2"/>
    <sheet name="Prog 01" sheetId="4" r:id="rId3"/>
    <sheet name="P01 2022" sheetId="117" state="hidden" r:id="rId4"/>
    <sheet name="P01 2023" sheetId="135" state="hidden" r:id="rId5"/>
    <sheet name="Prog 02" sheetId="35" r:id="rId6"/>
    <sheet name="P02 2023" sheetId="133" state="hidden" r:id="rId7"/>
    <sheet name="P02 2022" sheetId="116" state="hidden" r:id="rId8"/>
    <sheet name="Prog 03" sheetId="37" r:id="rId9"/>
    <sheet name="P03 2022" sheetId="115" state="hidden" r:id="rId10"/>
    <sheet name="P03 2023" sheetId="132" state="hidden" r:id="rId11"/>
    <sheet name="Prog 05" sheetId="54" r:id="rId12"/>
    <sheet name="P05 2022" sheetId="114" state="hidden" r:id="rId13"/>
    <sheet name="P05 2023" sheetId="131" state="hidden" r:id="rId14"/>
  </sheets>
  <externalReferences>
    <externalReference r:id="rId15"/>
    <externalReference r:id="rId16"/>
  </externalReferences>
  <definedNames>
    <definedName name="_xlnm._FilterDatabase" localSheetId="1" hidden="1">CONSOLIDADO!$A$9:$AY$9</definedName>
    <definedName name="_xlnm._FilterDatabase" localSheetId="3" hidden="1">'P01 2022'!$A$2:$HM$2</definedName>
    <definedName name="_xlnm._FilterDatabase" localSheetId="4" hidden="1">'P01 2023'!$A$2:$DT$147</definedName>
    <definedName name="_xlnm._FilterDatabase" localSheetId="7" hidden="1">'P02 2022'!$GI$2:$GT$53</definedName>
    <definedName name="_xlnm._FilterDatabase" localSheetId="9" hidden="1">'P03 2022'!$A$2:$KA$2</definedName>
    <definedName name="_xlnm._FilterDatabase" localSheetId="2" hidden="1">'Prog 01'!$A$9:$BD$187</definedName>
    <definedName name="_xlnm._FilterDatabase" localSheetId="5" hidden="1">'Prog 02'!$A$8:$AW$8</definedName>
    <definedName name="_xlnm._FilterDatabase" localSheetId="8" hidden="1">'Prog 03'!$A$11:$AW$56</definedName>
    <definedName name="_xlnm._FilterDatabase" localSheetId="11" hidden="1">'Prog 05'!$A$9:$BY$70</definedName>
    <definedName name="ABRIL2012">#REF!</definedName>
    <definedName name="AGOSTO_2012">#REF!</definedName>
    <definedName name="anualpro032012">#REF!</definedName>
    <definedName name="anualprog012013">#REF!</definedName>
    <definedName name="anualprog022013">#REF!</definedName>
    <definedName name="anualprog032013">#REF!</definedName>
    <definedName name="_xlnm.Print_Area" localSheetId="1">CONSOLIDADO!$B$2:$R$294</definedName>
    <definedName name="_xlnm.Print_Area" localSheetId="2">'Prog 01'!$C$2:$S$187</definedName>
    <definedName name="_xlnm.Print_Area" localSheetId="5">'Prog 02'!$B$2:$R$50</definedName>
    <definedName name="_xlnm.Print_Area" localSheetId="8">'Prog 03'!$B$4:$R$56</definedName>
    <definedName name="_xlnm.Print_Area" localSheetId="11">'Prog 05'!$B$2:$R$70</definedName>
    <definedName name="CÓDIGO">#REF!</definedName>
    <definedName name="coincidenciaP01">'Prog 01'!$G:$P</definedName>
    <definedName name="Compromiso_ENERO">'P01 2023'!$G$2:$G$147</definedName>
    <definedName name="compromisosjulio">#REF!</definedName>
    <definedName name="Concepto2022">'P01 2022'!$B$2:$B$131</definedName>
    <definedName name="CTA_PRES">'[1]Clasificador Presupuestario'!$A$1:$C$593</definedName>
    <definedName name="Cta_Presp">'[2]Clasificador Presupuestario'!$A$1:$C$627</definedName>
    <definedName name="Devengado_enero">'P01 2023'!$I$2:$I$147</definedName>
    <definedName name="Devengado2022">'P01 2022'!$F$2:$F$131</definedName>
    <definedName name="Devengadojulio">#REF!</definedName>
    <definedName name="DICIEMBRE_2012">#REF!</definedName>
    <definedName name="EENERO23">'P01 2023'!$A$2:$I$147</definedName>
    <definedName name="EJECUCIO_AGOSTO_2013_2">#REF!</definedName>
    <definedName name="EJECUCION_31_07_2013">#REF!</definedName>
    <definedName name="EJECUCION_ACUMULADA_AL_25_09_2013">#REF!</definedName>
    <definedName name="EJECUCION_ACUMULADA_AL_30_NOVIEMBRE_2013">#REF!</definedName>
    <definedName name="Ejecucion_Acumulada_al_30_Septiembre">#REF!</definedName>
    <definedName name="EJECUCION_ACUMULADA_AL_31_DE_AGOSTO_DEL_2013">#REF!</definedName>
    <definedName name="EJECUCIÓN_ACUMULADA_AL_31_DE_MARZO_DEL_2014">#REF!</definedName>
    <definedName name="EJECUCION_ACUMULADA_AL_31_OCTUBRE_2013">#REF!</definedName>
    <definedName name="EJECUCION_AGOSTO_2012">#REF!</definedName>
    <definedName name="EJECUCION_AGOSTO_2013">#REF!</definedName>
    <definedName name="EJECUCION_AL_25_09_2013">#REF!</definedName>
    <definedName name="Ejecución_al_30_sep_2013">#REF!</definedName>
    <definedName name="EJECUCION_AL_31_07_2013">#REF!</definedName>
    <definedName name="EJECUCION_JULIO_2012">#REF!</definedName>
    <definedName name="EJECUCION_JULIO_2013">#REF!</definedName>
    <definedName name="EJECUCIÓN_PRESUPUESTARIA_ACUMULADA_AL_13_DE_MARZO_DE_2018">#REF!</definedName>
    <definedName name="EJECUCION_PRESUPUESTARIA_AL_31_DE_MARZO_2014">#REF!</definedName>
    <definedName name="Ejecución_Septiembre">#REF!</definedName>
    <definedName name="Ejecución_Septiembre_2013">#REF!</definedName>
    <definedName name="Ejecucionpresupuestariajulio">#REF!</definedName>
    <definedName name="enero">#REF!</definedName>
    <definedName name="ENERO.P01.22">'P01 2022'!$B$2:$F$131</definedName>
    <definedName name="enero2012">#REF!</definedName>
    <definedName name="ENERO2022">'P01 2022'!$B$2:$F$131</definedName>
    <definedName name="enero2023">'P01 2023'!$A$2:$I$147</definedName>
    <definedName name="eneroprog022012">#REF!</definedName>
    <definedName name="eneroprog022013">#REF!</definedName>
    <definedName name="eneroprog032012">#REF!</definedName>
    <definedName name="eneroprog032013">#REF!</definedName>
    <definedName name="febrero">#REF!</definedName>
    <definedName name="febrero2012">#REF!</definedName>
    <definedName name="febreroprog022012">#REF!</definedName>
    <definedName name="febreroprog022013">#REF!</definedName>
    <definedName name="febreroprog032012">#REF!</definedName>
    <definedName name="febreroprog032013">#REF!</definedName>
    <definedName name="febrro2012" localSheetId="11">#REF!</definedName>
    <definedName name="febrro2012">#REF!</definedName>
    <definedName name="indicep01">'Prog 01'!$G:$G</definedName>
    <definedName name="JULIO">#REF!</definedName>
    <definedName name="julio_2012">#REF!</definedName>
    <definedName name="JULIO2012">#REF!</definedName>
    <definedName name="JUNIO">#REF!</definedName>
    <definedName name="junio2012">#REF!</definedName>
    <definedName name="marzo">#REF!</definedName>
    <definedName name="marzo2012">#REF!</definedName>
    <definedName name="marzoprog022012">#REF!</definedName>
    <definedName name="marzoprog022013">#REF!</definedName>
    <definedName name="marzoprog032012">#REF!</definedName>
    <definedName name="marzoprog032013">#REF!</definedName>
    <definedName name="matriz01" localSheetId="11">'Prog 05'!$F$34:$R$69</definedName>
    <definedName name="matriz01">'Prog 01'!$G$13:$S$186</definedName>
    <definedName name="matriz01.v2">'Prog 01'!$C$9:$P$187</definedName>
    <definedName name="matriz02">'Prog 02'!$F$14:$R$50</definedName>
    <definedName name="matriz03">'Prog 03'!$F$23:$R$56</definedName>
    <definedName name="matriz2">'Prog 02'!$F$14:$K$14</definedName>
    <definedName name="matrizP50">#REF!</definedName>
    <definedName name="mayo">#REF!</definedName>
    <definedName name="MAYO2012">#REF!</definedName>
    <definedName name="noviembre_20_12">#REF!</definedName>
    <definedName name="NOVIEMBRE_2012">#REF!</definedName>
    <definedName name="NULO">#REF!</definedName>
    <definedName name="OCTUBRE_2012">#REF!</definedName>
    <definedName name="P_01_EJECUCIÓN_PRESUPUESTARIA_AL_31_DE_AGOSTO_2016">#REF!</definedName>
    <definedName name="P01_EJECUCION_ACUMULADA_AL_28_DE_FEBRERO_2015">#REF!</definedName>
    <definedName name="P01_EJECUCIÓN_ACUMULADA_AL_31_DE_MAYO_2016">#REF!</definedName>
    <definedName name="P01_EJECUCION_ACUMULADA_AÑO_2013">#REF!</definedName>
    <definedName name="P01_EJECUCION_DICIEMBRE_2013">#REF!</definedName>
    <definedName name="P01_EJECUCIÓN_NOVIEMBRE_2013">#REF!</definedName>
    <definedName name="P01_EJECUCION_OCTUBRE_2013">#REF!</definedName>
    <definedName name="P01_EJECUCIÓN_PRESUPIUESTARIA_ACUMULADA_AL_30_DE_ABRIL_DEL_2015">#REF!</definedName>
    <definedName name="P01_EJECUCIÓN_PRESUPUESTARIA__ACUMULADA_AL_17_DE_DICIEMBRE_DEL_2015">#REF!</definedName>
    <definedName name="P01_EJECUCIÓN_PRESUPUESTARIA__ACUMULADA_AL_31_DE_DICIEMBRE_DEL_2015">#REF!</definedName>
    <definedName name="P01_EJECUCIÓN_PRESUPUESTARIA_ACUMULADA_AL_13_DE_MARZO_2018">#REF!</definedName>
    <definedName name="P01_EJECUCION_PRESUPUESTARIA_ACUMULADA_AL_15_DE_JUNIO_DEL_2015">#REF!</definedName>
    <definedName name="P01_EJECUCIÓN_PRESUPUESTARIA_ACUMULADA_AL_15_DE_JUNIO_DEL_2015">#REF!</definedName>
    <definedName name="P01_EJECUCIÓN_PRESUPUESTARIA_ACUMULADA_AL_15_DE_MAYO_DEL_2015">#REF!</definedName>
    <definedName name="P01_EJECUCIÓN_PRESUPUESTARIA_ACUMULADA_AL_16_DE_MAYO_2015">#REF!</definedName>
    <definedName name="P01_EJECUCIÓN_PRESUPUESTARIA_ACUMULADA_AL_26_DE_AGOSTO_DEL_2015">#REF!</definedName>
    <definedName name="P01_EJECUCIÓN_PRESUPUESTARIA_ACUMULADA_AL_30_DE_JUNIO_2018">#REF!</definedName>
    <definedName name="P01_EJECUCIÓN_PRESUPUESTARIA_ACUMULADA_AL_30_DE_JUNIO_DEL_2015">#REF!</definedName>
    <definedName name="P01_EJECUCIÓN_PRESUPUESTARIA_ACUMULADA_AL_30_DE_NOVIEMBRE_DEL_2015">#REF!</definedName>
    <definedName name="P01_EJECUCIÓN_PRESUPUESTARIA_ACUMULADA_AL_30_DE_SEPTIEMBRE_DEL_2015">#REF!</definedName>
    <definedName name="P01_EJECUCIÓN_PRESUPUESTARIA_ACUMULADA_AL_31_DE_AGOSTO_DEL_2015">#REF!</definedName>
    <definedName name="P01_EJECUCIÓN_PRESUPUESTARIA_ACUMULADA_AL_31_DE_JULIO_2018">#REF!</definedName>
    <definedName name="P01_EJECUCIÓN_PRESUPUESTARIA_ACUMULADA_AL_31_DE_JULIO_DEL_2015">#REF!</definedName>
    <definedName name="P01_EJECUCIÓN_PRESUPUESTARIA_ACUMULADA_AL_31_DE_MAYO_2018">#REF!</definedName>
    <definedName name="P01_EJECUCIÓN_PRESUPUESTARIA_ACUMULADA_AL_31_DE_MAYO_DEL_2015">#REF!</definedName>
    <definedName name="P01_EJECUCIÓN_PRESUPUESTARIA_ACUMULADA_AL_31_DE_OCTUBRE_DEL_2015">#REF!</definedName>
    <definedName name="P01_EJECUCIÓN_PRESUPUESTARIA_AL_15_DE_JUNIO_DEL_2015">#REF!</definedName>
    <definedName name="P01_EJECUCIÓN_PRESUPUESTARIA_AL_17_DE_DICIEMBRE_DEL_2015">#REF!</definedName>
    <definedName name="P01_EJECUCIÓN_PRESUPUESTARIA_AL_19_DE_MAYO_2015">#REF!</definedName>
    <definedName name="P01_EJECUCIÓN_PRESUPUESTARIA_AL_21_DE_SEPTIEMBRE_DEL_2015">#REF!</definedName>
    <definedName name="P01_EJECUCIÓN_PRESUPUESTARIA_AL_26_DE_AGOSTO_DEL_2015">#REF!</definedName>
    <definedName name="P01_EJECUCION_PRESUPUESTARIA_AL_26_DE_MARZO_DEL_2015">#REF!</definedName>
    <definedName name="P01_EJECUCIÓN_PRESUPUESTARIA_AL_28_DE_FEBRERO_2015">#REF!</definedName>
    <definedName name="P01_EJECUCIÓN_PRESUPUESTARIA_AL_30_DE_ABRIL_DEL_2015">#REF!</definedName>
    <definedName name="P01_EJECUCIÓN_PRESUPUESTARIA_AL_30_DE_JUNIO_2018">#REF!</definedName>
    <definedName name="P01_EJECUCIÓN_PRESUPUESTARIA_AL_30_DE_JUNIO_DEL_2015">#REF!</definedName>
    <definedName name="P01_EJECUCIÓN_PRESUPUESTARIA_AL_30_DE_NOVIEMBRE_DEL_2015">#REF!</definedName>
    <definedName name="P01_EJECUCIÓN_PRESUPUESTARIA_AL_30_DE_SEPTIEMBRE_2015">#REF!</definedName>
    <definedName name="P01_EJECUCIÓN_PRESUPUESTARIA_AL_30_DE_SEPTIEMBRE_DEL_2015">#REF!</definedName>
    <definedName name="P01_EJECUCION_PRESUPUESTARIA_AL_31_DE_AGOSTO_2016">#REF!</definedName>
    <definedName name="P01_EJECUCIÓN_PRESUPUESTARIA_AL_31_DE_AGOSTO_2016">#REF!</definedName>
    <definedName name="P01_EJECUCIÓN_PRESUPUESTARIA_AL_31_DE_AGOSTO_2016_">#REF!</definedName>
    <definedName name="P01_EJECUCIÓN_PRESUPUESTARIA_AL_31_DE_AGOSTO_DEL_2015">#REF!</definedName>
    <definedName name="P01_EJECUCIÓN_PRESUPUESTARIA_AL_31_DE_AGOSTO_DEL_2016">#REF!</definedName>
    <definedName name="P01_EJECUCIÓN_PRESUPUESTARIA_AL_31_DE_DICIEMBRE_DEL_2015">#REF!</definedName>
    <definedName name="P01_EJECUCIÓN_PRESUPUESTARIA_AL_31_DE_ENERO_2015">#REF!</definedName>
    <definedName name="P01_EJECUCIÓN_PRESUPUESTARIA_AL_31_DE_JULIO_DEL_2015">#REF!</definedName>
    <definedName name="P01_EJECUCIÓN_PRESUPUESTARIA_AL_31_DE_MARZO_2017">#REF!</definedName>
    <definedName name="P01_EJECUCIÓN_PRESUPUESTARIA_AL_31_DE_MAYO_2016">#REF!</definedName>
    <definedName name="P01_EJECUCIÓN_PRESUPUESTARIA_AL_31_DE_MAYO_2017">#REF!</definedName>
    <definedName name="P01_EJECUCIÓN_PRESUPUESTARIA_AL_31_DE_MAYO_2018">#REF!</definedName>
    <definedName name="P01_EJECUCIÓN_PRESUPUESTARIA_AL_31_DE_MAYO_DEL_2015">#REF!</definedName>
    <definedName name="P01_EJECUCIÓN_PRESUPUESTARIA_AL_31_DE_NOVIEMBRE_DEL_2015">#REF!</definedName>
    <definedName name="P01_EJECUCIÓN_PRESUPUESTARIA_AL_31_DE_OCTUBRE_DEL_2015">#REF!</definedName>
    <definedName name="P01_EJECUCIÓN_PRESUPUESTARIA_ENERO_2015">#REF!</definedName>
    <definedName name="P02_EJECUCIÓN_25_09_2013">#REF!</definedName>
    <definedName name="P02_EJECUCION_ACUMULADA_AL_21_DE_MARZO_2014">#REF!</definedName>
    <definedName name="P02_EJECUCION_ACUMULADA_AL_25_09_2013">#REF!</definedName>
    <definedName name="P02_EJECUCION_ACUMULADA_AL_31_DE_AGOSTO_DEL_2013">#REF!</definedName>
    <definedName name="P02_Ejecucion_Acumulada_al_31_Octubre_2013">#REF!</definedName>
    <definedName name="P02_EJECUCION_ACUMULADA_ANUAL_AÑO_2013">#REF!</definedName>
    <definedName name="P02_EJECUCION_DICIEMBRE_2013">#REF!</definedName>
    <definedName name="P02_EJECUCION_OCTUBRE_2013">#REF!</definedName>
    <definedName name="P02_EJECUCIÓN_PRESUPUESTARIA_ACUMULADA_AL_28_DE_FEBRERO_2015">#REF!</definedName>
    <definedName name="P02_EJECUCIÓN_PRESUPUESTARIA_ACUMULADA_AL_30_DE_ABRIL_2015">#REF!</definedName>
    <definedName name="P02_EJECUCIÓN_PRESUPUESTARIA_ACUMULADA_AL_30_DE_ABRIL_DEL_2015">#REF!</definedName>
    <definedName name="P02_EJECUCIÓN_PRESUPUESTARIA_ACUMULADA_AL_30_DE_JUNIO_DEL_2015">#REF!</definedName>
    <definedName name="P02_EJECUCIÓN_PRESUPUESTARIA_ACUMULADA_AL_31_DE_JULIO_DEL_2015">#REF!</definedName>
    <definedName name="P02_EJECUCIÓN_PRESUPUESTARIA_ACUMULADA_AL_31_DE_OCTUBRE_2015">#REF!</definedName>
    <definedName name="P02_EJECUCION_PRESUPUESTARIA_AL_21_DE_MARZO_2014">#REF!</definedName>
    <definedName name="P02_EJECUCIÓN_PRESUPUESTARIA_AL_28_DE_FEBRERO_2015">#REF!</definedName>
    <definedName name="P02_EJECUCIÓN_PRESUPUESTARIA_AL_30_DE_ABRIL_2015">#REF!</definedName>
    <definedName name="P02_EJECUCION_PRESUPUESTARIA_AL_31_DE_ENERO_2015">#REF!</definedName>
    <definedName name="P02_EJECUCIÓN_PRESUPUESTARIA_AL_31_DE_JULIO_DEL_2015">#REF!</definedName>
    <definedName name="P02_EJECUCIÓN_PRESUPUESTARIA_AL_31_DE_OCTUBRE_2015">#REF!</definedName>
    <definedName name="p03_2012">#REF!</definedName>
    <definedName name="P03_EJECUCION_ACUMULADA_AL_21_DE_MARZO_2014">#REF!</definedName>
    <definedName name="P03_EJECUCIÓN_ACUMULADA_AL_28_DE_FEBRERO_2015">#REF!</definedName>
    <definedName name="P03_EJECUCION_ACUMULADA_AL_30_SEPTIEMBRE_2013">#REF!</definedName>
    <definedName name="P03_EJECUCION_ACUMULADA_AL_31_OCTUBRE_2013">#REF!</definedName>
    <definedName name="P03_EJECUCION_ACUMULADA_ANUL_AÑO_2013">#REF!</definedName>
    <definedName name="P03_EJECUCION_DICIEMBRE_2013">#REF!</definedName>
    <definedName name="P03_EJECUCIÓN_PRESUPUESTARIA_ACUMULADA_AL_30_DE_ABRIL_DEL_2015">#REF!</definedName>
    <definedName name="P03_EJECUCIÓN_PRESUPUESTARIA_ACUMULADA_AL_31_DE_AGOSTO_DEL_2015">#REF!</definedName>
    <definedName name="P03_EJECUCIÓN_PRESUPUESTARIA_ACUMULADA_AL_31_DE_JULIO_DEL_2015">#REF!</definedName>
    <definedName name="P03_EJECUCIÓN_PRESUPUESTARIA_ACUMULADA_AL_31_DE_MAYO_DEL_2015">#REF!</definedName>
    <definedName name="P03_EJECUCION_PRESUPUESTARIA_AL_21_DE_MARZO_2014">#REF!</definedName>
    <definedName name="P03_EJECUCIÓN_PRESUPUESTARIA_AL_28_DE_FEBRERO_2015">#REF!</definedName>
    <definedName name="P03_EJECUCIÓN_PRESUPUESTARIA_AL_30_DE_ABRIL_DEL_2015">#REF!</definedName>
    <definedName name="P03_EJECUCIÓN_PRESUPUESTARIA_AL_31_DE_AGOSTO_DEL_2015">#REF!</definedName>
    <definedName name="P03_EJECUCIÓN_PRESUPUESTARIA_AL_31_DE_ENERO_2015">#REF!</definedName>
    <definedName name="P03_EJECUCIÓN_PRESUPUESTARIA_AL_31_DE_JULIO_DEL_2015">#REF!</definedName>
    <definedName name="P03_EJECUCIÓN_PRESUPUESTARIA_AL_31_DE_MAYO_DEL_2015">#REF!</definedName>
    <definedName name="P03_SEPTIEMBRE_2012">#REF!</definedName>
    <definedName name="P03_SITUACIÓN_PRESUPUESTARIA_ACUMULADA_AL_30_DE_JUNIO_DEL_2015">#REF!</definedName>
    <definedName name="P03_SITUACIÓN_PRESUPUESTARIA_ACUMULADA_AL_30_DE_NOVIEMBRE_DEL_2015">#REF!</definedName>
    <definedName name="P03_SITUACIÓN_PRESUPUESTARIA_ACUMULADA_AL_31_DE_OCTUBRE_DEL_2015">#REF!</definedName>
    <definedName name="P03_SITUACIÓN_PRESUPUESTARIA_AL_30_DE_JUNIO_DEL_2015">#REF!</definedName>
    <definedName name="P03_SITUACIÓN_PRESUPUESTARIA_AL_30_DE_NOBIEMBRE_DE_2015">#REF!</definedName>
    <definedName name="P03_SITUACIÓN_PRESUPUESTARIA_AL_31_DE_OCTUBRE_DE_2015">#REF!</definedName>
    <definedName name="P05_EJECUCIÓN_PRESUPUESTARIA_ACUMULADA_AL_28_DE_FEBRERO_2015">#REF!</definedName>
    <definedName name="P05_EJECUCIÓN_PRESUPUESTARIA_ACUMULADA_AL_30_DE_ABRIL_DEL_2015">#REF!</definedName>
    <definedName name="P05_EJECUCIÓN_PRESUPUESTARIA_ACUMULADA_AL_30_DE_JUNIO_DEL_2015">#REF!</definedName>
    <definedName name="P05_EJECUCIÓN_PRESUPUESTARIA_ACUMULADA_AL_30_DE_SEPTIEMBRE_DEL_2015">#REF!</definedName>
    <definedName name="P05_EJECUCIÓN_PRESUPUESTARIA_ACUMULADA_AL_31_DE_AGOSTO_DEL_2015">#REF!</definedName>
    <definedName name="P05_EJECUCIÓN_PRESUPUESTARIA_ACUMULADA_AL_31_DE_DICIEMBRE_DE_2017">#REF!</definedName>
    <definedName name="P05_EJECUCIÓN_PRESUPUESTARIA_ACUMULADA_AL_31_DE_JULIO_DEL_2015">#REF!</definedName>
    <definedName name="P05_EJECUCIÓN_PRESUPUESTARIA_ACUMULADA_AL_31_DE_MAYO_DEL_2015">#REF!</definedName>
    <definedName name="P05_EJECUCIÓN_PRESUPUESTARIA_AL_28_DE_FEBRERO_2015">#REF!</definedName>
    <definedName name="P05_EJECUCIÓN_PRESUPUESTARIA_AL_30_DE_ABRIL_DEL_2015">#REF!</definedName>
    <definedName name="P05_EJECUCIÓN_PRESUPUESTARIA_AL_30_DE_JUNIO_DEL_2015">#REF!</definedName>
    <definedName name="P05_EJECUCIÓN_PRESUPUESTARIA_AL_30_DE_NOVIEMBRE_DEL_2015">#REF!</definedName>
    <definedName name="P05_EJECUCIÓN_PRESUPUESTARIA_AL_30_DE_SEPTIEMBRE_DEL_2015">#REF!</definedName>
    <definedName name="P05_EJECUCIÓN_PRESUPUESTARIA_AL_31_DE_AGOSTO_DEL_2015">#REF!</definedName>
    <definedName name="P05_EJECUCION_PRESUPUESTARIA_AL_31_DE_ENERO_2015">#REF!</definedName>
    <definedName name="P05_EJECUCIÓN_PRESUPUESTARIA_AL_31_DE_MAYO_DEL_2015">#REF!</definedName>
    <definedName name="P06_EJECUCIÓN_PRESUPUESTARIA_ACUMULADA_AL_30_DE_ABRIL_DEL_2015">#REF!</definedName>
    <definedName name="P06_EJECUCIÓN_PRESUPUESTARIA_ACUMULADA_AL_30_DE_JUNIO_DEL_2015">#REF!</definedName>
    <definedName name="P06_EJECUCIÓN_PRESUPUESTARIA_ACUMULADA_AL_30_DE_NOVIEMBRE_DEL_2015">#REF!</definedName>
    <definedName name="P06_EJECUCIÓN_PRESUPUESTARIA_ACUMULADA_AL_31_DE_AGOSTO_DEL_2015">#REF!</definedName>
    <definedName name="P06_EJECUCIÓN_PRESUPUESTARIA_ACUMULADA_AL_31_DE_JULIO_DEL_2015">#REF!</definedName>
    <definedName name="P06_EJECUCIÓN_PRESUPUESTARIA_ACUMULADA_AL_31_DE_MAYO_DEL_2015">#REF!</definedName>
    <definedName name="P06_EJECUCIÓN_PRESUPUESTARIA_AL_30_DE_JUNIO_DEL_2015">#REF!</definedName>
    <definedName name="P06_EJECUCIÓN_PRESUPUESTARIA_AL_31_DE_AGOSTO_DEL_2015">#REF!</definedName>
    <definedName name="P06_EJECUCIÓN_PRESUPUESTARIA_AL_31_DE_ENERO_2015">#REF!</definedName>
    <definedName name="pptovigenteamarzo">#REF!</definedName>
    <definedName name="pptovigentemayo">#REF!</definedName>
    <definedName name="PresupuestovigenteJulio">#REF!</definedName>
    <definedName name="presupuestovigentejunio">#REF!</definedName>
    <definedName name="PROG_01_EJECUCIÓN_ACUMULADA_AL_13_DE_MARZO_2014.">#REF!</definedName>
    <definedName name="PROG_01_EJECUCIÓN_ACUMULADA_AL_21_DE_MARZO_2014.">#REF!</definedName>
    <definedName name="PROG_01_EJECUCIÓN_ACUMULADA_AL_28_DE_FEBRERO_2017">#REF!</definedName>
    <definedName name="PROG_01_EJECUCIÓN_ACUMULADA_AL_29_DE_FEBRERO_2016">#REF!</definedName>
    <definedName name="PROG_01_EJECUCIÓN_ACUMULADA_AL_30_DE_ABRIL_2016">#REF!</definedName>
    <definedName name="PROG_01_EJECUCIÓN_ACUMULADA_AL_30_DE_JUNIO_2016">#REF!</definedName>
    <definedName name="PROG_01_EJECUCIÓN_ACUMULADA_AL_30_DE_NOVIEMBRE_2016">#REF!</definedName>
    <definedName name="PROG_01_EJECUCIÓN_ACUMULADA_AL_30_DE_SEPTIEMBRE_2016">#REF!</definedName>
    <definedName name="PROG_01_EJECUCIÓN_ACUMULADA_AL_31_DE_AGOSTO_2016">#REF!</definedName>
    <definedName name="PROG_01_EJECUCIÓN_ACUMULADA_AL_31_DE_DICIEMBRE_2016">#REF!</definedName>
    <definedName name="PROG_01_EJECUCIÓN_ACUMULADA_AL_31_DE_ENERO_2016">#REF!</definedName>
    <definedName name="PROG_01_EJECUCIÓN_ACUMULADA_AL_31_DE_ENERO_2017">#REF!</definedName>
    <definedName name="PROG_01_EJECUCIÓN_ACUMULADA_AL_31_DE_JULIO_2016">#REF!</definedName>
    <definedName name="PROG_01_EJECUCION_ACUMULADA_AL_31_DE_MARZO_2013">#REF!</definedName>
    <definedName name="PROG_01_EJECUCIÓN_ACUMULADA_AL_31_DE_MARZO_2016">#REF!</definedName>
    <definedName name="PROG_01_EJECUCIÓN_ACUMULADA_AL_31_DE_MARZO_2017">#REF!</definedName>
    <definedName name="PROG_01_EJECUCIÓN_ACUMULADA_AL_31_DE_MARZO_DEL_2014">#REF!</definedName>
    <definedName name="PROG_01_EJECUCION_ACUMULADA_AL_31_DE_MAYO_2014">#REF!</definedName>
    <definedName name="PROG_01_EJECUCIÓN_ACUMULADA_AL_31_DE_MAYO_2016">#REF!</definedName>
    <definedName name="PROG_01_EJECUCIÓN_ACUMULADA_AL_31_DE_OCTUBRE_2016">#REF!</definedName>
    <definedName name="PROG_01_EJECUCION_PRESUPUESTARIA_30_DE_ABRIL_2014">#REF!</definedName>
    <definedName name="PROG_01_EJECUCION_PRESUPUESTARIA_30_DE_JUNIO_2013">#REF!</definedName>
    <definedName name="PROG_01_EJECUCION_PRESUPUESTARIA_30_DE_JUNIO_2014">#REF!</definedName>
    <definedName name="PROG_01_EJECUCION_PRESUPUESTARIA_31_DE_JULIO_2013">#REF!</definedName>
    <definedName name="PROG_01_EJECUCION_PRESUPUESTARIA_31_DE_JULIO_2014">#REF!</definedName>
    <definedName name="PROG_01_EJECUCIÓN_PRESUPUESTARIA_31_DE_MARZO_2015">#REF!</definedName>
    <definedName name="PROG_01_EJECUCION_PRESUPUESTARIA_31_DE_MAYO_2014">#REF!</definedName>
    <definedName name="PROG_01_EJECUCIÓN_PRESUPUESTARIA_ACUMULADA_31_ENERO_2017">#REF!</definedName>
    <definedName name="PROG_01_EJECUCIÓN_PRESUPUESTARIA_ACUMULADA_AL_13_DE_MARZO_2017">#REF!</definedName>
    <definedName name="PROG_01_EJECUCIÓN_PRESUPUESTARIA_ACUMULADA_AL_13_DE_MARZO_2018">#REF!</definedName>
    <definedName name="PROG_01_EJECUCIÓN_PRESUPUESTARIA_ACUMULADA_AL_28_DE_febrero_2017">#REF!</definedName>
    <definedName name="PROG_01_EJECUCIÓN_PRESUPUESTARIA_ACUMULADA_AL_28_DE_FEBRERO_2018">#REF!</definedName>
    <definedName name="PROG_01_EJECUCION_PRESUPUESTARIA_ACUMULADA_AL_30_DE_ABRIL_2013">#REF!</definedName>
    <definedName name="PROG_01_EJECUCION_PRESUPUESTARIA_ACUMULADA_AL_30_DE_ABRIL_2014">#REF!</definedName>
    <definedName name="PROG_01_EJECUCIÓN_PRESUPUESTARIA_ACUMULADA_AL_30_DE_ABRIL_2017">#REF!</definedName>
    <definedName name="PROG_01_EJECUCIÓN_PRESUPUESTARIA_ACUMULADA_AL_30_DE_ABRIL_2018">#REF!</definedName>
    <definedName name="PROG_01_EJECUCION_PRESUPUESTARIA_ACUMULADA_AL_30_DE_JUNIO_2013">#REF!</definedName>
    <definedName name="PROG_01_EJECUCION_PRESUPUESTARIA_ACUMULADA_AL_30_DE_JUNIO_2014">#REF!</definedName>
    <definedName name="PROG_01_EJECUCIÓN_PRESUPUESTARIA_ACUMULADA_AL_30_DE_JUNIO_2017">#REF!</definedName>
    <definedName name="PROG_01_EJECUCION_PRESUPUESTARIA_ACUMULADA_AL_30_DE_NOVIEMBRE_2014">#REF!</definedName>
    <definedName name="PROG_01_EJECUCIÓN_PRESUPUESTARIA_ACUMULADA_AL_30_DE_NOVIEMBRE_2017">#REF!</definedName>
    <definedName name="PROG_01_EJECUCION_PRESUPUESTARIA_ACUMULADA_AL_30_DE_SEPTIEMBRE_2014">#REF!</definedName>
    <definedName name="PROG_01_EJECUCIÓN_PRESUPUESTARIA_ACUMULADA_AL_30_DE_SEPTIEMBRE_2017">#REF!</definedName>
    <definedName name="PROG_01_EJECUCION_PRESUPUESTARIA_ACUMULADA_AL_31_DE_AGOSTO_2014">#REF!</definedName>
    <definedName name="PROG_01_EJECUCIÓN_PRESUPUESTARIA_ACUMULADA_AL_31_DE_AGOSTO_2017">#REF!</definedName>
    <definedName name="PROG_01_EJECUCIÓN_PRESUPUESTARIA_ACUMULADA_AL_31_DE_AGOSTO_DEL_2015">#REF!</definedName>
    <definedName name="PROG_01_EJECUCION_PRESUPUESTARIA_ACUMULADA_AL_31_DE_DICIEMBRE_2014">#REF!</definedName>
    <definedName name="PROG_01_EJECUCIÓN_PRESUPUESTARIA_ACUMULADA_AL_31_DE_DICIEMBRE_2017">#REF!</definedName>
    <definedName name="PROG_01_EJECUCIÓN_PRESUPUESTARIA_ACUMULADA_AL_31_DE_Enero_2018">#REF!</definedName>
    <definedName name="PROG_01_EJECUCION_PRESUPUESTARIA_ACUMULADA_AL_31_DE_JULIO_2013">#REF!</definedName>
    <definedName name="PROG_01_EJECUCION_PRESUPUESTARIA_ACUMULADA_AL_31_DE_JULIO_2014">#REF!</definedName>
    <definedName name="PROG_01_EJECUCIÓN_PRESUPUESTARIA_ACUMULADA_AL_31_DE_JULIO_2017">#REF!</definedName>
    <definedName name="PROG_01_EJECUCIÓN_PRESUPUESTARIA_ACUMULADA_AL_31_DE_MARZO_2017">#REF!</definedName>
    <definedName name="PROG_01_EJECUCIÓN_PRESUPUESTARIA_ACUMULADA_AL_31_DE_MARZO_2018">#REF!</definedName>
    <definedName name="PROG_01_EJECUCIÓN_PRESUPUESTARIA_ACUMULADA_AL_31_DE_MARZO_DEL_2015">#REF!</definedName>
    <definedName name="PROG_01_EJECUCION_PRESUPUESTARIA_ACUMULADA_AL_31_DE_MAYO_2013">#REF!</definedName>
    <definedName name="PROG_01_EJECUCION_PRESUPUESTARIA_ACUMULADA_AL_31_DE_MAYO_2014">#REF!</definedName>
    <definedName name="PROG_01_EJECUCIÓN_PRESUPUESTARIA_ACUMULADA_AL_31_DE_MAYO_2016">#REF!</definedName>
    <definedName name="PROG_01_EJECUCIÓN_PRESUPUESTARIA_ACUMULADA_AL_31_DE_MAYO_2017">#REF!</definedName>
    <definedName name="PROG_01_EJECUCIÓN_PRESUPUESTARIA_ACUMULADA_AL_31_DE_MAYO_2018">#REF!</definedName>
    <definedName name="PROG_01_EJECUCION_PRESUPUESTARIA_ACUMULADA_AL_31_DE_OCTUBRE_2014">#REF!</definedName>
    <definedName name="PROG_01_EJECUCIÓN_PRESUPUESTARIA_ACUMULADA_AL_31_DE_OCTUBRE_2017">#REF!</definedName>
    <definedName name="PROG_01_EJECUCIÓN_PRESUPUESTARIA_AL_13_DE_MARZO_2014.">#REF!</definedName>
    <definedName name="PROG_01_EJECUCIÓN_PRESUPUESTARIA_AL_13_DE_MARZO_2017">#REF!</definedName>
    <definedName name="PROG_01_EJECUCIÓN_PRESUPUESTARIA_AL_13_DE_MARZO_2018">#REF!</definedName>
    <definedName name="PROG_01_EJECUCIÓN_PRESUPUESTARIA_AL_13_DEMARZO__2017">#REF!</definedName>
    <definedName name="PROG_01_EJECUCIÓN_PRESUPUESTARIA_AL_21_DE_MARZO_2014.">#REF!</definedName>
    <definedName name="PROG_01_EJECUCION_PRESUPUESTARIA_AL_22_DE_ABRIL_2014">#REF!</definedName>
    <definedName name="PROG_01_EJECUCIÓN_PRESUPUESTARIA_AL_28_DE_FEBRERO_2014.">#REF!</definedName>
    <definedName name="PROG_01_EJECUCIÓN_PRESUPUESTARIA_AL_28_DE_FEBRERO_2017">#REF!</definedName>
    <definedName name="PROG_01_EJECUCIÓN_PRESUPUESTARIA_AL_28_DE_FEBRERO_2018">#REF!</definedName>
    <definedName name="PROG_01_EJECUCION_PRESUPUESTARIA_AL_28_DE_FEBRERO_DEL_2013">#REF!</definedName>
    <definedName name="PROG_01_EJECUCIÓN_PRESUPUESTARIA_AL_28_FEBRERO_2017">#REF!</definedName>
    <definedName name="PROG_01_EJECUCIÓN_PRESUPUESTARIA_AL_29_DE_FEBRERO_2016">#REF!</definedName>
    <definedName name="PROG_01_EJECUCIÓN_PRESUPUESTARIA_AL_30_DE_ABRIL_2016">#REF!</definedName>
    <definedName name="PROG_01_EJECUCIÓN_PRESUPUESTARIA_AL_30_DE_ABRIL_2017">#REF!</definedName>
    <definedName name="PROG_01_EJECUCIÓN_PRESUPUESTARIA_AL_30_DE_ABRIL_2018">#REF!</definedName>
    <definedName name="PROG_01_EJECUCION_PRESUPUESTARIA_AL_30_DE_ABRIL_DEL_2013">#REF!</definedName>
    <definedName name="PROG_01_EJECUCION_PRESUPUESTARIA_AL_30_DE_ABRIL_DEL_2013_V2">#REF!</definedName>
    <definedName name="PROG_01_EJECUCIÓN_PRESUPUESTARIA_AL_30_DE_JUNIO_2016">#REF!</definedName>
    <definedName name="PROG_01_EJECUCIÓN_PRESUPUESTARIA_AL_30_DE_JUNIO_2017">#REF!</definedName>
    <definedName name="PROG_01_EJECUCIÓN_PRESUPUESTARIA_AL_30_DE_JUNIO_2018">#REF!</definedName>
    <definedName name="PROG_01_EJECUCION_PRESUPUESTARIA_AL_30_DE_NOVIEMBRE_2014">#REF!</definedName>
    <definedName name="PROG_01_EJECUCIÓN_PRESUPUESTARIA_AL_30_DE_NOVIEMBRE_2016">#REF!</definedName>
    <definedName name="PROG_01_EJECUCIÓN_PRESUPUESTARIA_AL_30_DE_NOVIEMBRE_2017">#REF!</definedName>
    <definedName name="PROG_01_EJECUCION_PRESUPUESTARIA_AL_30_DE_SEPTIEMBRE_2014">#REF!</definedName>
    <definedName name="PROG_01_EJECUCIÓN_PRESUPUESTARIA_AL_30_DE_SEPTIEMBRE_2016">#REF!</definedName>
    <definedName name="PROG_01_EJECUCIÓN_PRESUPUESTARIA_AL_30_DE_SEPTIEMBRE_2017">#REF!</definedName>
    <definedName name="PROG_01_EJECUCIÓN_PRESUPUESTARIA_AL_30_DE_SEPTIEMBRE_DEL_2015">#REF!</definedName>
    <definedName name="PROG_01_EJECUCION_PRESUPUESTARIA_AL_31_DE_AGOSTO_2014">#REF!</definedName>
    <definedName name="PROG_01_EJECUCIÓN_PRESUPUESTARIA_AL_31_DE_AGOSTO_2016">#REF!</definedName>
    <definedName name="PROG_01_EJECUCIÓN_PRESUPUESTARIA_AL_31_DE_AGOSTO_2017">#REF!</definedName>
    <definedName name="PROG_01_EJECUCION_PRESUPUESTARIA_AL_31_DE_DICIEMBRE_2014">#REF!</definedName>
    <definedName name="PROG_01_EJECUCIÓN_PRESUPUESTARIA_AL_31_DE_DICIEMBRE_2016">#REF!</definedName>
    <definedName name="PROG_01_EJECUCIÓN_PRESUPUESTARIA_AL_31_DE_DICIEMBRE_2017">#REF!</definedName>
    <definedName name="PROG_01_EJECUCIÓN_PRESUPUESTARIA_AL_31_DE_ENERO_2014.">#REF!</definedName>
    <definedName name="PROG_01_EJECUCION_PRESUPUESTARIA_AL_31_DE_ENERO_DEL_2013">#REF!</definedName>
    <definedName name="PROG_01_EJECUCIÓN_PRESUPUESTARIA_AL_31_DE_JULIO_2016">#REF!</definedName>
    <definedName name="PROG_01_EJECUCIÓN_PRESUPUESTARIA_AL_31_DE_JULIO_2017">#REF!</definedName>
    <definedName name="PROG_01_EJECUCIÓN_PRESUPUESTARIA_AL_31_DE_JULIO_DEL_2015">#REF!</definedName>
    <definedName name="PROG_01_EJECUCION_PRESUPUESTARIA_AL_31_DE_MARZO_2014">#REF!</definedName>
    <definedName name="PROG_01_EJECUCIÓN_PRESUPUESTARIA_AL_31_DE_MARZO_2016">#REF!</definedName>
    <definedName name="PROG_01_EJECUCIÓN_PRESUPUESTARIA_AL_31_DE_MARZO_2017">#REF!</definedName>
    <definedName name="PROG_01_EJECUCIÓN_PRESUPUESTARIA_AL_31_DE_MARZO_2018">#REF!</definedName>
    <definedName name="PROG_01_EJECUCION_PRESUPUESTARIA_AL_31_DE_MARZO_DEL_2013">#REF!</definedName>
    <definedName name="PROG_01_EJECUCIÓN_PRESUPUESTARIA_AL_31_DE_MAYO_2016">#REF!</definedName>
    <definedName name="PROG_01_EJECUCIÓN_PRESUPUESTARIA_AL_31_DE_MAYO_2017">#REF!</definedName>
    <definedName name="PROG_01_EJECUCIÓN_PRESUPUESTARIA_AL_31_DE_MAYO_2018">#REF!</definedName>
    <definedName name="PROG_01_EJECUCION_PRESUPUESTARIA_AL_31_DE_MAYO_DEL_2013">#REF!</definedName>
    <definedName name="PROG_01_EJECUCION_PRESUPUESTARIA_AL_31_DE_OCTUBRE_2014">#REF!</definedName>
    <definedName name="PROG_01_EJECUCIÓN_PRESUPUESTARIA_AL_31_DE_OCTUBRE_2016">#REF!</definedName>
    <definedName name="PROG_01_EJECUCIÓN_PRESUPUESTARIA_AL_31_DE_OCTUBRE_2017">#REF!</definedName>
    <definedName name="PROG_01EJECUCIÓN_PRESUPUESTARIA_31_DE_MAYO_2016">#REF!</definedName>
    <definedName name="PROG_02_EJECUCION_ACUMULADA_AL_31_DE_MARZO_DEL_2013">#REF!</definedName>
    <definedName name="PROG_02_EJECUCIÓN_ACUMULADA_AL_31_DE_MARZO_DEL_2014">#REF!</definedName>
    <definedName name="PROG_02_EJECUCION_PRESUPUESTARIA_30_DE_JUNIO_2013">#REF!</definedName>
    <definedName name="PROG_02_EJECUCION_PRESUPUESTARIA_31_DE_MAYO_DEL_2013">#REF!</definedName>
    <definedName name="PROG_02_EJECUCION_PRESUPUESTARIA_ACUMULADA_AL_30_DE_ABRIL_2014">#REF!</definedName>
    <definedName name="PROG_02_EJECUCION_PRESUPUESTARIA_ACUMULADA_AL_30_DE_JUNIO_2014">#REF!</definedName>
    <definedName name="PROG_02_EJECUCION_PRESUPUESTARIA_ACUMULADA_AL_30_DE_SEPTIEMBRE_2014">#REF!</definedName>
    <definedName name="PROG_02_EJECUCION_PRESUPUESTARIA_ACUMULADA_AL_31_DE_AGOSTO_2014">#REF!</definedName>
    <definedName name="PROG_02_EJECUCIÓN_PRESUPUESTARIA_ACUMULADA_AL_31_DE_DICIEMBRE_DEL_2014">#REF!</definedName>
    <definedName name="PROG_02_EJECUCION_PRESUPUESTARIA_ACUMULADA_AL_31_DE_JULIO_2014">#REF!</definedName>
    <definedName name="PROG_02_EJECUCION_PRESUPUESTARIA_ACUMULADA_AL_31_DE_MAYO_2014">#REF!</definedName>
    <definedName name="PROG_02_EJECUCION_PRESUPUESTARIA_ACUMULADA_AL_31_DE_MAYO_DEL_2013">#REF!</definedName>
    <definedName name="PROG_02_EJECUCION_PRESUPUESTARIA_AL_13_DE_MARZO_2014.">#REF!</definedName>
    <definedName name="PROG_02_EJECUCION_PRESUPUESTARIA_AL_28_DE_FEBRERO_2014.">#REF!</definedName>
    <definedName name="PROG_02_EJECUCION_PRESUPUESTARIA_AL_28_DE_FEBRERO_DEL_2013">#REF!</definedName>
    <definedName name="PROG_02_EJECUCION_PRESUPUESTARIA_AL_30_DE_ABRIL_2014">#REF!</definedName>
    <definedName name="PROG_02_EJECUCION_PRESUPUESTARIA_AL_30_DE_ABRIL_DEL_2013">#REF!</definedName>
    <definedName name="PROG_02_EJECUCION_PRESUPUESTARIA_AL_30_DE_JUNIO_2014">#REF!</definedName>
    <definedName name="PROG_02_EJECUCION_PRESUPUESTARIA_AL_30_DE_SEPTIEMBRE_2014">#REF!</definedName>
    <definedName name="PROG_02_EJECUCION_PRESUPUESTARIA_AL_31_DE_AGOSTO_2014">#REF!</definedName>
    <definedName name="PROG_02_EJECUCION_PRESUPUESTARIA_AL_31_DE_ENERO_2014.">#REF!</definedName>
    <definedName name="PROG_02_EJECUCION_PRESUPUESTARIA_AL_31_DE_ENERO_DEL_2013">#REF!</definedName>
    <definedName name="PROG_02_EJECUCION_PRESUPUESTARIA_AL_31_DE_JULIO_2014">#REF!</definedName>
    <definedName name="PROG_02_EJECUCION_PRESUPUESTARIA_AL_31_DE_MARZO_DEL_2013">#REF!</definedName>
    <definedName name="PROG_02_EJECUCION_PRESUPUESTARIA_AL_31_DE_MARZO_DEL_2014">#REF!</definedName>
    <definedName name="PROG_02_EJECUCION_PRESUPUESTARIA_AL_31_DE_MAYO_2014">#REF!</definedName>
    <definedName name="PROG_02_SITUACIÓN_PRESUPUESTARIA_ACUMULADA_AL_31_DE_MARZO_DE_2015">#REF!</definedName>
    <definedName name="PROG_03_EJECUCION_ACUMULADA_AL_31_DE_MARZO_DEL_2014">#REF!</definedName>
    <definedName name="PROG_03_EJECUCION_PRESIPUESTARIA_AL_28_DE_FEBRERO_DEL_2013">#REF!</definedName>
    <definedName name="PROG_03_EJECUCION_PRESIPUESTARIA_AL_31_DE_ENERO_DEL_2013">#REF!</definedName>
    <definedName name="PROG_03_EJECUCION_PRESUPUESTARIA_31_DE_MAYO_DEL_2013">#REF!</definedName>
    <definedName name="PROG_03_EJECUCIÓN_PRESUPUESTARIA_ACUMULADA_AL_29_DE_FEBRERO_2016">#REF!</definedName>
    <definedName name="PROG_03_EJECUCION_PRESUPUESTARIA_ACUMULADA_AL_30_DE_ABRIL_2014">#REF!</definedName>
    <definedName name="PROG_03_EJECUCIÓN_PRESUPUESTARIA_ACUMULADA_AL_30_DE_ABRIL_2016">#REF!</definedName>
    <definedName name="PROG_03_EJECUCION_PRESUPUESTARIA_ACUMULADA_AL_30_DE_JUNIO_2014">#REF!</definedName>
    <definedName name="PROG_03_EJECUCION_PRESUPUESTARIA_ACUMULADA_AL_30_DE_SEPTIEMBRE_2014">#REF!</definedName>
    <definedName name="PROG_03_EJECUCIÓN_PRESUPUESTARIA_ACUMULADA_AL_31_DE__JULIO_2016">#REF!</definedName>
    <definedName name="PROG_03_EJECUCIÓN_PRESUPUESTARIA_ACUMULADA_AL_31_DE_DICIEMBRE_DEL_2014">#REF!</definedName>
    <definedName name="PROG_03_EJECUCIÓN_PRESUPUESTARIA_ACUMULADA_AL_31_DE_ENERO_2016">#REF!</definedName>
    <definedName name="PROG_03_EJECUCION_PRESUPUESTARIA_ACUMULADA_AL_31_DE_JULIO_2014">#REF!</definedName>
    <definedName name="PROG_03_EJECUCION_PRESUPUESTARIA_ACUMULADA_AL_31_DE_MAYO_2014">#REF!</definedName>
    <definedName name="PROG_03_EJECUCION_PRESUPUESTARIA_ACUMULADA_AL_31_DE_OCTUBRE_2014">#REF!</definedName>
    <definedName name="PROG_03_EJECUCION_PRESUPUESTARIA_AL_28_DE_FEBRERO_2014.">#REF!</definedName>
    <definedName name="PROG_03_EJECUCIÓN_PRESUPUESTARIA_AL_29_DE_FEBRERO_2016">#REF!</definedName>
    <definedName name="PROG_03_EJECUCION_PRESUPUESTARIA_AL_30_DE_ABRIL_DEL_2013">#REF!</definedName>
    <definedName name="PROG_03_EJECUCION_PRESUPUESTARIA_AL_31_DE_ENERO_2014.">#REF!</definedName>
    <definedName name="PROG_03_EJECUCION_PRESUPUESTARIA_AL_31_DE_JULIO_2014">#REF!</definedName>
    <definedName name="PROG_03_EJECUCIÓN_PRESUPUESTARIA_AL_31_DE_JULIO_2016">#REF!</definedName>
    <definedName name="PROG_03_EJECUCION_PRESUPUESTARIA_AL_31_DE_MARZO_DEL_2013">#REF!</definedName>
    <definedName name="PROG_03_EJECUCION_PRESUPUESTARIA_AL_31_DE_MARZO_DEL_2014">#REF!</definedName>
    <definedName name="PROG_03_EJECUCIÓN_PRESUPUESTARIA_AL_31_DICIEMBRE_DEL_2014">#REF!</definedName>
    <definedName name="PROG_03_SITUACIÓN_PRESUPUESTARIA_ACUMULADA_AL_31_DE_MARZO_AL_2015">#REF!</definedName>
    <definedName name="PROG_03_SITUACION_PRESUPUESTARIA_AL_30_DE_ABRIL_2014">#REF!</definedName>
    <definedName name="PROG_03_SITUACION_PRESUPUESTARIA_AL_30_DE_JUNIO_2014">#REF!</definedName>
    <definedName name="PROG_03_SITUACION_PRESUPUESTARIA_AL_30_DE_SEPTIEMBRE_2014">#REF!</definedName>
    <definedName name="PROG_03_SITUACION_PRESUPUESTARIA_AL_31_DE_JULIO_2014">#REF!</definedName>
    <definedName name="PROG_03_SITUACIÓN_PRESUPUESTARIA_AL_31_DE_MARZO_DEL_2015">#REF!</definedName>
    <definedName name="PROG_03_SITUACION_PRESUPUESTARIA_AL_31_DE_MAYO_2014">#REF!</definedName>
    <definedName name="PROG_03_SITUACION_PRESUPUESTARIA_AL_31_DE_OCTUBRE_2014">#REF!</definedName>
    <definedName name="PROG_05_EJECUCIÓN_ACUMULADA_AL_28_DE_FEBRERO_DE_2018">#REF!</definedName>
    <definedName name="PROG_05_EJECUCIÓN_ACUMULADA_AL_29_DE_FEBRERO_DEL_2016">#REF!</definedName>
    <definedName name="PROG_05_EJECUCIÓN_ACUMULADA_AL_30_DE_JUNIO_DEL_2016">#REF!</definedName>
    <definedName name="PROG_05_EJECUCIÓN_ACUMULADA_AL_30_DE_NOVIEMBRE_DEL_2016">#REF!</definedName>
    <definedName name="PROG_05_EJECUCIÓN_ACUMULADA_AL_30_DE_SEPTIEMBRE_DEL_2016">#REF!</definedName>
    <definedName name="PROG_05_EJECUCIÓN_ACUMULADA_AL_31_DE_DICIEMBRE_DEL_2016">#REF!</definedName>
    <definedName name="PROG_05_EJECUCIÓN_ACUMULADA_AL_31_DE_ENERO_2016">#REF!</definedName>
    <definedName name="PROG_05_EJECUCIÓN_ACUMULADA_AL_31_DE_JULIO_DEL_2016">#REF!</definedName>
    <definedName name="PROG_05_EJECUCIÓN_ACUMULADA_AL_31_DE_MARZO_DEL_2014">#REF!</definedName>
    <definedName name="PROG_05_EJECUCIÓN_ACUMULADA_AL_31_DE_MARZO_DEL_2016">#REF!</definedName>
    <definedName name="PROG_05_EJECUCIÓN_ACUMULADA_AL_31_DE_MAYO_DEL_2016">#REF!</definedName>
    <definedName name="PROG_05_EJECUCIÓN_ACUMULADA_AL_31_DE_OCTUBRE_DEL_2016">#REF!</definedName>
    <definedName name="PROG_05_EJECUCIÓN_AL_30_DE_JUNIO_DEL_2016">#REF!</definedName>
    <definedName name="PROG_05_EJECUCIÓN_AL_30_DE_NOVIEMBRE_DEL_2016">#REF!</definedName>
    <definedName name="PROG_05_EJECUCIÓN_AL_30_DE_SEPTIEMBRE_DEL_2016">#REF!</definedName>
    <definedName name="PROG_05_EJECUCIÓN_AL_31_DE_AGOSTO_DEL_2016">#REF!</definedName>
    <definedName name="PROG_05_EJECUCIÓN_AL_31_DE_DICIEMBRE_DEL_2016">#REF!</definedName>
    <definedName name="PROG_05_EJECUCIÓN_AL_31_DE_JULIO_2016">#REF!</definedName>
    <definedName name="PROG_05_EJECUCIÓN_AL_31_DE_JULIO_DEL_2016">#REF!</definedName>
    <definedName name="PROG_05_EJECUCIÓN_AL_31_DE_MAYO_DEL_2016">#REF!</definedName>
    <definedName name="PROG_05_EJECUCIÓN_AL_31_DE_OCTUBRE_DEL_2016">#REF!</definedName>
    <definedName name="PROG_05_EJECUCIÓN_AL_31_DE_SEPTIEMBRE_DEL_2016">#REF!</definedName>
    <definedName name="PROG_05_EJECUCION_MES_DE_ENERO_2015">#REF!</definedName>
    <definedName name="PROG_05_EJECUCIÓN_PRESUPUESTARIA_30_DE_JUNIO_DE_2017">#REF!</definedName>
    <definedName name="PROG_05_EJECUCIÓN_PRESUPUESTARIA_31_DE_JULIO_DE_2017">#REF!</definedName>
    <definedName name="PROG_05_EJECUCIÓN_PRESUPUESTARIA_31_DE_MAYO_DE_2017">#REF!</definedName>
    <definedName name="PROG_05_EJECUCIÓN_PRESUPUESTARIA_ACUMULADA_AL_13_DE_MARZO_DE_2017">#REF!</definedName>
    <definedName name="PROG_05_EJECUCION_PRESUPUESTARIA_ACUMULADA_AL_30_DE_ABRIL_2014">#REF!</definedName>
    <definedName name="PROG_05_EJECUCION_PRESUPUESTARIA_ACUMULADA_AL_30_DE_JUNIO_2014">#REF!</definedName>
    <definedName name="PROG_05_EJECUCIÓN_PRESUPUESTARIA_ACUMULADA_AL_30_DE_JUNIO_DE_2017">#REF!</definedName>
    <definedName name="PROG_05_EJECUCIÓN_PRESUPUESTARIA_ACUMULADA_AL_30_DE_NOVIEMBRE_DE_2017">#REF!</definedName>
    <definedName name="PROG_05_EJECUCION_PRESUPUESTARIA_ACUMULADA_AL_30_DE_SEPTIEMBRE_2014">#REF!</definedName>
    <definedName name="PROG_05_EJECUCIÓN_PRESUPUESTARIA_ACUMULADA_AL_30_DE_SEPTIEMBRE_DE_2017">#REF!</definedName>
    <definedName name="PROG_05_EJECUCIÓN_PRESUPUESTARIA_ACUMULADA_AL_31_DE_AGOSTO_DE_2017">#REF!</definedName>
    <definedName name="PROG_05_EJECUCIÓN_PRESUPUESTARIA_ACUMULADA_AL_31_DE_DICIEMBRE_DEL_2015">#REF!</definedName>
    <definedName name="PROG_05_EJECUCION_PRESUPUESTARIA_ACUMULADA_AL_31_DE_JULIO_2014">#REF!</definedName>
    <definedName name="PROG_05_EJECUCIÓN_PRESUPUESTARIA_ACUMULADA_AL_31_DE_JULIO_DE_2017">#REF!</definedName>
    <definedName name="PROG_05_EJECUCIÓN_PRESUPUESTARIA_ACUMULADA_AL_31_DE_MARZO_DEL_2015">#REF!</definedName>
    <definedName name="PROG_05_EJECUCION_PRESUPUESTARIA_ACUMULADA_AL_31_DE_MAYO_2014">#REF!</definedName>
    <definedName name="PROG_05_EJECUCION_PRESUPUESTARIA_ACUMULADA_AL_31_DE_OCTUBRE_2014">#REF!</definedName>
    <definedName name="PROG_05_EJECUCIÓN_PRESUPUESTARIA_ACUMULADA_AL_31_DE_OCTUBRE_DE_2017">#REF!</definedName>
    <definedName name="PROG_05_EJECUCION_PRESUPUESTARIA_AL_28_DE_FEBHRERO_2014.">#REF!</definedName>
    <definedName name="PROG_05_EJECUCIÓN_PRESUPUESTARIA_AL_28_DE_FEBRERO_DE_2018" localSheetId="11">#REF!</definedName>
    <definedName name="PROG_05_EJECUCIÓN_PRESUPUESTARIA_AL_28_DE_FEBRERO_DE_2018">#REF!</definedName>
    <definedName name="PROG_05_EJECUCIÓN_PRESUPUESTARIA_AL_29_DE_FEBRERO_DEL_2016">#REF!</definedName>
    <definedName name="PROG_05_EJECUCION_PRESUPUESTARIA_AL_30_DE_ABRIL_2014">#REF!</definedName>
    <definedName name="PROG_05_EJECUCION_PRESUPUESTARIA_AL_30_DE_JUNIO_2014">#REF!</definedName>
    <definedName name="PROG_05_EJECUCIÓN_PRESUPUESTARIA_AL_30_DE_NOVIEMBRE_DE_2017">#REF!</definedName>
    <definedName name="PROG_05_EJECUCION_PRESUPUESTARIA_AL_30_DE_SEPTIEMBRE_2014">#REF!</definedName>
    <definedName name="PROG_05_EJECUCIÓN_PRESUPUESTARIA_AL_30_DE_SEPTIEMBRE_DE_2017">#REF!</definedName>
    <definedName name="PROG_05_EJECUCIÓN_PRESUPUESTARIA_AL_31_DE_AGOSTO_DE_2017">#REF!</definedName>
    <definedName name="PROG_05_EJECUCIÓN_PRESUPUESTARIA_AL_31_DE_DICIEMBRE_DE_2017">#REF!</definedName>
    <definedName name="PROG_05_EJECUCIÓN_PRESUPUESTARIA_AL_31_DE_DICIEMBRE_DEL_2015">#REF!</definedName>
    <definedName name="PROG_05_EJECUCION_PRESUPUESTARIA_AL_31_DE_ENERO_2014.">#REF!</definedName>
    <definedName name="PROG_05_EJECUCIÓN_PRESUPUESTARIA_AL_31_DE_ENERO_DE_2017">#REF!</definedName>
    <definedName name="PROG_05_EJECUCIÓN_PRESUPUESTARIA_AL_31_DE_ENERO_DE_2018">#REF!</definedName>
    <definedName name="PROG_05_EJECUCION_PRESUPUESTARIA_AL_31_DE_JULIO_2014">#REF!</definedName>
    <definedName name="PROG_05_EJECUCIÓN_PRESUPUESTARIA_AL_31_DE_MARZO_DEL_2014">#REF!</definedName>
    <definedName name="PROG_05_EJECUCION_PRESUPUESTARIA_AL_31_DE_MAYO_2014">#REF!</definedName>
    <definedName name="PROG_05_EJECUCION_PRESUPUESTARIA_AL_31_DE_OCTUBRE_2014">#REF!</definedName>
    <definedName name="PROG_05_EJECUCIÓN_PRESUPUESTARIA_AL_31_DE_OCTUBRE_DE_2017">#REF!</definedName>
    <definedName name="PROG_05_SITUACIÓN_PRESUPUESTARIA_AL_31_DE_MARZO_DEL_2015">#REF!</definedName>
    <definedName name="PROG_06_EJECUCIÓN_ACUMULADA_AL_13_DE_MARZO_DE_2018">#REF!</definedName>
    <definedName name="PROG_06_EJECUCIÓN_ACUMULADA_AL_31_DE_AGOSTO_DEL_2016">#REF!</definedName>
    <definedName name="PROG_06_EJECUCIÓN_PRESUPUESTARIA_ACUMULADA_AL_13_DE_MARZO_DE_2017">#REF!</definedName>
    <definedName name="PROG_06_EJECUCIÓN_PRESUPUESTARIA_ACUMULADA_AL_28_DE_FEBRERO_DE_2018">#REF!</definedName>
    <definedName name="PROG_06_EJECUCIÓN_PRESUPUESTARIA_ACUMULADA_AL_29_DE_FEBRERO_DEL_2016">#REF!</definedName>
    <definedName name="PROG_06_EJECUCIÓN_PRESUPUESTARIA_ACUMULADA_AL_30_DE_JUNIO_DE_2017">#REF!</definedName>
    <definedName name="PROG_06_EJECUCIÓN_PRESUPUESTARIA_ACUMULADA_AL_30_DE_JUNIO_DEL_2016">#REF!</definedName>
    <definedName name="PROG_06_EJECUCIÓN_PRESUPUESTARIA_ACUMULADA_AL_30_DE_NOVIEMBRE_DE_2017">#REF!</definedName>
    <definedName name="PROG_06_EJECUCIÓN_PRESUPUESTARIA_ACUMULADA_AL_30_DE_NOVIEMBRE_DEL_2016">#REF!</definedName>
    <definedName name="PROG_06_EJECUCIÓN_PRESUPUESTARIA_ACUMULADA_AL_30_DE_SEPTIEMBRE_2017">#REF!</definedName>
    <definedName name="PROG_06_EJECUCIÓN_PRESUPUESTARIA_ACUMULADA_AL_30_DE_SEPTIEMBRE_DE_2017">#REF!</definedName>
    <definedName name="PROG_06_EJECUCIÓN_PRESUPUESTARIA_ACUMULADA_AL_30_DE_SEPTIEMBRE_DEL_2016">#REF!</definedName>
    <definedName name="PROG_06_EJECUCIÓN_PRESUPUESTARIA_ACUMULADA_AL_31_DE_AGOSTO_DE_2017">#REF!</definedName>
    <definedName name="PROG_06_EJECUCIÓN_PRESUPUESTARIA_ACUMULADA_AL_31_DE_DICIEMBRE_DE_2017">#REF!</definedName>
    <definedName name="PROG_06_EJECUCIÓN_PRESUPUESTARIA_ACUMULADA_AL_31_DE_DICIEMBRE_DEL_2016">#REF!</definedName>
    <definedName name="PROG_06_EJECUCIÓN_PRESUPUESTARIA_ACUMULADA_AL_31_DE_JULIO_DE_2017">#REF!</definedName>
    <definedName name="PROG_06_EJECUCIÓN_PRESUPUESTARIA_ACUMULADA_AL_31_DE_JULIO_DE_2018">#REF!</definedName>
    <definedName name="PROG_06_EJECUCIÓN_PRESUPUESTARIA_ACUMULADA_AL_31_DE_JULIO_DEL_2016">#REF!</definedName>
    <definedName name="PROG_06_EJECUCIÓN_PRESUPUESTARIA_ACUMULADA_AL_31_DE_MARZO_DEL_2016">#REF!</definedName>
    <definedName name="PROG_06_EJECUCIÓN_PRESUPUESTARIA_ACUMULADA_AL_31_DE_MAYO_DE_2017">#REF!</definedName>
    <definedName name="PROG_06_EJECUCIÓN_PRESUPUESTARIA_ACUMULADA_AL_31_DE_MAYO_DEL_2016">#REF!</definedName>
    <definedName name="PROG_06_EJECUCIÓN_PRESUPUESTARIA_ACUMULADA_AL_31_DE_OCTUBRE_DE_2017">#REF!</definedName>
    <definedName name="PROG_06_EJECUCIÓN_PRESUPUESTARIA_ACUMULADA_AL_31_DE_OCTUBRE_DEL_2016">#REF!</definedName>
    <definedName name="PROG_06_EJECUCIÓN_PRESUPUESTARIA_AL_29_DE_FEBRERO_DEL_2016">#REF!</definedName>
    <definedName name="PROG_06_EJECUCIÓN_PRESUPUESTARIA_AL_30_DE_JUNIO_DE_2017">#REF!</definedName>
    <definedName name="PROG_06_EJECUCIÓN_PRESUPUESTARIA_AL_30_DE_JUNIO_DE_2017_V1">#REF!</definedName>
    <definedName name="PROG_06_EJECUCIÓN_PRESUPUESTARIA_AL_30_DE_JUNIO_DEL_2016">#REF!</definedName>
    <definedName name="PROG_06_EJECUCIÓN_PRESUPUESTARIA_AL_30_DE_NOVIEMBRE_DE_2017">#REF!</definedName>
    <definedName name="PROG_06_EJECUCIÓN_PRESUPUESTARIA_AL_30_DE_NOVIEMBRE_DEL_2016">#REF!</definedName>
    <definedName name="PROG_06_EJECUCIÓN_PRESUPUESTARIA_AL_30_DE_SEPTIEMBRE_DE_2017">#REF!</definedName>
    <definedName name="PROG_06_EJECUCIÓN_PRESUPUESTARIA_AL_30_DE_SEPTIEMBRE_DEL_2016">#REF!</definedName>
    <definedName name="PROG_06_EJECUCIÓN_PRESUPUESTARIA_AL_31_DE_AGOSTO_DE_2017">#REF!</definedName>
    <definedName name="PROG_06_EJECUCIÓN_PRESUPUESTARIA_AL_31_DE_AGOSTO_DEL_2016">#REF!</definedName>
    <definedName name="PROG_06_EJECUCIÓN_PRESUPUESTARIA_AL_31_DE_DICIEMBRE_DE_2017">#REF!</definedName>
    <definedName name="PROG_06_EJECUCIÓN_PRESUPUESTARIA_AL_31_DE_DICIEMBRE_DEL_2016">#REF!</definedName>
    <definedName name="PROG_06_EJECUCIÓN_PRESUPUESTARIA_AL_31_DE_ENERO_2016">#REF!</definedName>
    <definedName name="PROG_06_EJECUCIÓN_PRESUPUESTARIA_AL_31_DE_ENERO_DE_2017">#REF!</definedName>
    <definedName name="PROG_06_EJECUCIÓN_PRESUPUESTARIA_AL_31_DE_ENERO_DE_2018">#REF!</definedName>
    <definedName name="PROG_06_EJECUCIÓN_PRESUPUESTARIA_AL_31_DE_JULIO_DE_2017">#REF!</definedName>
    <definedName name="PROG_06_EJECUCION_PRESUPUESTARIA_AL_31_DE_JULIO_DE_2018">#REF!</definedName>
    <definedName name="PROG_06_EJECUCIÓN_PRESUPUESTARIA_AL_31_DE_JULIO_DE_2018">#REF!</definedName>
    <definedName name="PROG_06_EJECUCIÓN_PRESUPUESTARIA_AL_31_DE_JULIO_DEL_2016">#REF!</definedName>
    <definedName name="PROG_06_EJECUCIÓN_PRESUPUESTARIA_AL_31_DE_MAYO_DE_2017">#REF!</definedName>
    <definedName name="PROG_06_EJECUCIÓN_PRESUPUESTARIA_AL_31_DE_MAYO_DEL_2016">#REF!</definedName>
    <definedName name="PROG_06_EJECUCIÓN_PRESUPUESTARIA_AL_31_DE_OCTUBRE_DE_2017">#REF!</definedName>
    <definedName name="PROG_06_EJECUCIÓN_PRESUPUESTARIA_AL_31_DE_OCTUBRE_DEL_2016">#REF!</definedName>
    <definedName name="PROG01_EJECUCIÓN_PRESUPUESTARIA_ACUMULADA_AL_31_DE_MARZO_2018">#REF!</definedName>
    <definedName name="PROG01_EJECUCIÓN_PRESUPUESTARIA_AL_31_DE_MARZO_2018">#REF!</definedName>
    <definedName name="PROGRAMA_01_EJECUCIÓN_ACUMULADA_AL_28_DE_FEBRERO_2017">#REF!</definedName>
    <definedName name="PROGRAMA_01_EJECUCIÓN_PRESUPUESTARIA_AL_30_DE_JUNIO_2018">#REF!</definedName>
    <definedName name="PRROG_05_EJECUCIÓN_PRESUPUESTARIA_ACUMULADA_AL_31_DE_MAYO_DE_2017">#REF!</definedName>
    <definedName name="Requerimiento2022">'P01 2022'!$D$2:$D$131</definedName>
    <definedName name="RequerimientoENERO">'P01 2023'!$F$2:$F$147</definedName>
    <definedName name="Saldo_ENERO">'P01 2023'!$H$2:$H$147</definedName>
    <definedName name="sep_2012">#REF!</definedName>
    <definedName name="SEPTIEMBRE_2012">#REF!</definedName>
    <definedName name="Situacionjulio">#REF!</definedName>
    <definedName name="_xlnm.Print_Titles" localSheetId="1">CONSOLIDADO!$B:$G,CONSOLIDADO!$4:$9</definedName>
    <definedName name="_xlnm.Print_Titles" localSheetId="2">'Prog 01'!$5:$187</definedName>
    <definedName name="_xlnm.Print_Titles" localSheetId="8">'Prog 03'!$B:$G,'Prog 03'!$7:$11</definedName>
    <definedName name="_xlnm.Print_Titles" localSheetId="11">'Prog 05'!$2:$8</definedName>
  </definedNames>
  <calcPr calcId="152511"/>
  <pivotCaches>
    <pivotCache cacheId="8" r:id="rId17"/>
    <pivotCache cacheId="11" r:id="rId18"/>
  </pivotCaches>
</workbook>
</file>

<file path=xl/calcChain.xml><?xml version="1.0" encoding="utf-8"?>
<calcChain xmlns="http://schemas.openxmlformats.org/spreadsheetml/2006/main">
  <c r="P88" i="39" l="1"/>
  <c r="I60" i="54" l="1"/>
  <c r="I59" i="54"/>
  <c r="L53" i="54"/>
  <c r="I53" i="54"/>
  <c r="AI9" i="54"/>
  <c r="AI35" i="54"/>
  <c r="AI34" i="54" s="1"/>
  <c r="AI53" i="54"/>
  <c r="DH4" i="131"/>
  <c r="DI4" i="131"/>
  <c r="DJ4" i="131"/>
  <c r="DH5" i="131"/>
  <c r="DI5" i="131"/>
  <c r="DJ5" i="131"/>
  <c r="DH6" i="131"/>
  <c r="DI6" i="131"/>
  <c r="DJ6" i="131"/>
  <c r="DI3" i="131"/>
  <c r="DJ3" i="131"/>
  <c r="DH3" i="131"/>
  <c r="CZ3" i="131"/>
  <c r="P60" i="54"/>
  <c r="P59" i="54"/>
  <c r="P57" i="54"/>
  <c r="P33" i="54"/>
  <c r="L20" i="37" l="1"/>
  <c r="L17" i="37"/>
  <c r="L18" i="37"/>
  <c r="L19" i="37"/>
  <c r="L21" i="37"/>
  <c r="L55" i="37"/>
  <c r="L52" i="37"/>
  <c r="L51" i="37"/>
  <c r="L50" i="37"/>
  <c r="L49" i="37"/>
  <c r="L48" i="37"/>
  <c r="L47" i="37"/>
  <c r="L46" i="37"/>
  <c r="L45" i="37"/>
  <c r="L44" i="37"/>
  <c r="L42" i="37"/>
  <c r="L41" i="37"/>
  <c r="L40" i="37"/>
  <c r="L39" i="37"/>
  <c r="L31" i="37"/>
  <c r="L24" i="37"/>
  <c r="L15" i="37"/>
  <c r="I55" i="37"/>
  <c r="I53" i="37"/>
  <c r="I52" i="37"/>
  <c r="I51" i="37"/>
  <c r="I50" i="37"/>
  <c r="I49" i="37"/>
  <c r="I48" i="37"/>
  <c r="I47" i="37"/>
  <c r="I46" i="37"/>
  <c r="I45" i="37"/>
  <c r="I44" i="37"/>
  <c r="I42" i="37"/>
  <c r="I41" i="37"/>
  <c r="I40" i="37"/>
  <c r="I39" i="37"/>
  <c r="I31" i="37"/>
  <c r="I24" i="37"/>
  <c r="I22" i="37"/>
  <c r="I21" i="37"/>
  <c r="I20" i="37"/>
  <c r="I19" i="37"/>
  <c r="I18" i="37"/>
  <c r="I17" i="37"/>
  <c r="I15" i="37"/>
  <c r="P21" i="37"/>
  <c r="P15" i="37"/>
  <c r="P55" i="37"/>
  <c r="P52" i="37"/>
  <c r="P51" i="37"/>
  <c r="P50" i="37"/>
  <c r="P49" i="37"/>
  <c r="P48" i="37"/>
  <c r="P47" i="37"/>
  <c r="P46" i="37"/>
  <c r="P45" i="37"/>
  <c r="P44" i="37"/>
  <c r="P41" i="37"/>
  <c r="P40" i="37"/>
  <c r="P39" i="37"/>
  <c r="P31" i="37"/>
  <c r="P24" i="37"/>
  <c r="P22" i="37"/>
  <c r="P20" i="37"/>
  <c r="P19" i="37"/>
  <c r="P18" i="37"/>
  <c r="P17" i="37"/>
  <c r="FB16" i="132"/>
  <c r="AI52" i="37"/>
  <c r="AI51" i="37"/>
  <c r="AI49" i="37"/>
  <c r="AI48" i="37"/>
  <c r="AI47" i="37"/>
  <c r="AI44" i="37"/>
  <c r="AI40" i="37"/>
  <c r="AI42" i="37"/>
  <c r="AI39" i="37"/>
  <c r="AI31" i="37"/>
  <c r="AI30" i="37" s="1"/>
  <c r="AI18" i="37"/>
  <c r="AI19" i="37"/>
  <c r="AI17" i="37"/>
  <c r="AI16" i="37" s="1"/>
  <c r="AI14" i="37" s="1"/>
  <c r="AI12" i="37" s="1"/>
  <c r="FK4" i="132"/>
  <c r="FL4" i="132"/>
  <c r="FM4" i="132"/>
  <c r="FK5" i="132"/>
  <c r="FL5" i="132"/>
  <c r="FM5" i="132"/>
  <c r="FK6" i="132"/>
  <c r="FL6" i="132"/>
  <c r="FM6" i="132"/>
  <c r="FK7" i="132"/>
  <c r="FL7" i="132"/>
  <c r="FM7" i="132"/>
  <c r="FK8" i="132"/>
  <c r="FL8" i="132"/>
  <c r="FM8" i="132"/>
  <c r="FK9" i="132"/>
  <c r="FL9" i="132"/>
  <c r="FM9" i="132"/>
  <c r="FK10" i="132"/>
  <c r="FL10" i="132"/>
  <c r="FM10" i="132"/>
  <c r="FK11" i="132"/>
  <c r="FL11" i="132"/>
  <c r="FM11" i="132"/>
  <c r="FK12" i="132"/>
  <c r="FL12" i="132"/>
  <c r="FM12" i="132"/>
  <c r="FK13" i="132"/>
  <c r="FL13" i="132"/>
  <c r="FM13" i="132"/>
  <c r="FK14" i="132"/>
  <c r="FL14" i="132"/>
  <c r="FM14" i="132"/>
  <c r="FK15" i="132"/>
  <c r="FL15" i="132"/>
  <c r="FM15" i="132"/>
  <c r="FK16" i="132"/>
  <c r="FL16" i="132"/>
  <c r="FM16" i="132"/>
  <c r="FK17" i="132"/>
  <c r="FL17" i="132"/>
  <c r="FM17" i="132"/>
  <c r="FK18" i="132"/>
  <c r="FL18" i="132"/>
  <c r="FM18" i="132"/>
  <c r="FK19" i="132"/>
  <c r="FL19" i="132"/>
  <c r="FM19" i="132"/>
  <c r="FK20" i="132"/>
  <c r="FL20" i="132"/>
  <c r="FM20" i="132"/>
  <c r="FK21" i="132"/>
  <c r="FL21" i="132"/>
  <c r="FM21" i="132"/>
  <c r="FK22" i="132"/>
  <c r="FL22" i="132"/>
  <c r="FM22" i="132"/>
  <c r="FK23" i="132"/>
  <c r="FL23" i="132"/>
  <c r="FM23" i="132"/>
  <c r="FK24" i="132"/>
  <c r="FL24" i="132"/>
  <c r="FM24" i="132"/>
  <c r="FK25" i="132"/>
  <c r="FL25" i="132"/>
  <c r="FM25" i="132"/>
  <c r="FK26" i="132"/>
  <c r="FL26" i="132"/>
  <c r="FM26" i="132"/>
  <c r="FK27" i="132"/>
  <c r="FL27" i="132"/>
  <c r="FM27" i="132"/>
  <c r="FK28" i="132"/>
  <c r="FL28" i="132"/>
  <c r="FM28" i="132"/>
  <c r="FK29" i="132"/>
  <c r="FL29" i="132"/>
  <c r="FM29" i="132"/>
  <c r="FK30" i="132"/>
  <c r="FL30" i="132"/>
  <c r="FM30" i="132"/>
  <c r="FK31" i="132"/>
  <c r="FL31" i="132"/>
  <c r="FM31" i="132"/>
  <c r="FK32" i="132"/>
  <c r="FL32" i="132"/>
  <c r="FM32" i="132"/>
  <c r="FK33" i="132"/>
  <c r="FL33" i="132"/>
  <c r="FM33" i="132"/>
  <c r="FK34" i="132"/>
  <c r="FL34" i="132"/>
  <c r="FM34" i="132"/>
  <c r="FK35" i="132"/>
  <c r="FL35" i="132"/>
  <c r="FM35" i="132"/>
  <c r="FK36" i="132"/>
  <c r="FL36" i="132"/>
  <c r="FM36" i="132"/>
  <c r="FK37" i="132"/>
  <c r="FL37" i="132"/>
  <c r="FM37" i="132"/>
  <c r="FK38" i="132"/>
  <c r="FL38" i="132"/>
  <c r="FM38" i="132"/>
  <c r="FK39" i="132"/>
  <c r="FL39" i="132"/>
  <c r="FM39" i="132"/>
  <c r="FK40" i="132"/>
  <c r="FL40" i="132"/>
  <c r="FM40" i="132"/>
  <c r="FK41" i="132"/>
  <c r="FL41" i="132"/>
  <c r="FM41" i="132"/>
  <c r="FK42" i="132"/>
  <c r="FL42" i="132"/>
  <c r="FM42" i="132"/>
  <c r="FK43" i="132"/>
  <c r="FL43" i="132"/>
  <c r="FM43" i="132"/>
  <c r="FK44" i="132"/>
  <c r="FL44" i="132"/>
  <c r="FM44" i="132"/>
  <c r="FK45" i="132"/>
  <c r="FL45" i="132"/>
  <c r="FM45" i="132"/>
  <c r="FK46" i="132"/>
  <c r="FL46" i="132"/>
  <c r="FM46" i="132"/>
  <c r="FK47" i="132"/>
  <c r="FL47" i="132"/>
  <c r="FM47" i="132"/>
  <c r="FK48" i="132"/>
  <c r="FL48" i="132"/>
  <c r="FM48" i="132"/>
  <c r="FK49" i="132"/>
  <c r="FL49" i="132"/>
  <c r="FM49" i="132"/>
  <c r="FK50" i="132"/>
  <c r="FL50" i="132"/>
  <c r="FM50" i="132"/>
  <c r="FK51" i="132"/>
  <c r="FL51" i="132"/>
  <c r="FM51" i="132"/>
  <c r="FK52" i="132"/>
  <c r="FL52" i="132"/>
  <c r="FM52" i="132"/>
  <c r="FK53" i="132"/>
  <c r="FL53" i="132"/>
  <c r="FM53" i="132"/>
  <c r="FL3" i="132"/>
  <c r="FM3" i="132"/>
  <c r="FK3" i="132"/>
  <c r="FB4" i="132"/>
  <c r="FB5" i="132"/>
  <c r="FB6" i="132"/>
  <c r="FB7" i="132"/>
  <c r="FB8" i="132"/>
  <c r="FB9" i="132"/>
  <c r="FB10" i="132"/>
  <c r="FB11" i="132"/>
  <c r="FB12" i="132"/>
  <c r="FB13" i="132"/>
  <c r="FB14" i="132"/>
  <c r="FB15" i="132"/>
  <c r="FB3" i="132"/>
  <c r="FB2" i="132"/>
  <c r="L31" i="35"/>
  <c r="L35" i="35"/>
  <c r="L33" i="35"/>
  <c r="L25" i="35"/>
  <c r="L24" i="35"/>
  <c r="L23" i="35"/>
  <c r="L22" i="35"/>
  <c r="L21" i="35"/>
  <c r="L19" i="35"/>
  <c r="L17" i="35"/>
  <c r="L16" i="35"/>
  <c r="L15" i="35"/>
  <c r="L49" i="35"/>
  <c r="L46" i="35"/>
  <c r="L45" i="35"/>
  <c r="L44" i="35"/>
  <c r="L43" i="35"/>
  <c r="L39" i="35"/>
  <c r="L36" i="35"/>
  <c r="L32" i="35"/>
  <c r="L27" i="35"/>
  <c r="L12" i="35"/>
  <c r="I49" i="35"/>
  <c r="I47" i="35"/>
  <c r="I46" i="35"/>
  <c r="I45" i="35"/>
  <c r="I44" i="35"/>
  <c r="I43" i="35"/>
  <c r="I36" i="35"/>
  <c r="I35" i="35"/>
  <c r="I34" i="35"/>
  <c r="I33" i="35"/>
  <c r="I32" i="35"/>
  <c r="I31" i="35"/>
  <c r="I27" i="35"/>
  <c r="I25" i="35"/>
  <c r="I24" i="35"/>
  <c r="I23" i="35"/>
  <c r="I22" i="35"/>
  <c r="I21" i="35"/>
  <c r="I19" i="35"/>
  <c r="I18" i="35"/>
  <c r="I17" i="35"/>
  <c r="I16" i="35"/>
  <c r="I15" i="35"/>
  <c r="I12" i="35"/>
  <c r="FM55" i="133"/>
  <c r="FN55" i="133"/>
  <c r="FL55" i="133"/>
  <c r="FA10" i="133"/>
  <c r="P49" i="35"/>
  <c r="M97" i="4"/>
  <c r="J97" i="4"/>
  <c r="M72" i="4"/>
  <c r="M73" i="4"/>
  <c r="M74" i="4"/>
  <c r="O187" i="4"/>
  <c r="O186" i="4"/>
  <c r="O184" i="4"/>
  <c r="O183" i="4"/>
  <c r="O181" i="4"/>
  <c r="O180" i="4"/>
  <c r="O176" i="4"/>
  <c r="O175" i="4"/>
  <c r="O173" i="4"/>
  <c r="O172" i="4"/>
  <c r="O171" i="4"/>
  <c r="O170" i="4"/>
  <c r="O169" i="4"/>
  <c r="O168" i="4"/>
  <c r="O166" i="4"/>
  <c r="O164" i="4"/>
  <c r="O163" i="4"/>
  <c r="O159" i="4"/>
  <c r="O156" i="4"/>
  <c r="O148" i="4"/>
  <c r="O144" i="4"/>
  <c r="O143" i="4"/>
  <c r="O142" i="4"/>
  <c r="O141" i="4"/>
  <c r="O140" i="4"/>
  <c r="O139" i="4"/>
  <c r="O138" i="4"/>
  <c r="O137" i="4"/>
  <c r="O136" i="4"/>
  <c r="O135" i="4"/>
  <c r="O134" i="4"/>
  <c r="O133" i="4"/>
  <c r="O131" i="4"/>
  <c r="O130" i="4"/>
  <c r="O129" i="4"/>
  <c r="O128" i="4"/>
  <c r="O127" i="4"/>
  <c r="O126" i="4"/>
  <c r="O125" i="4"/>
  <c r="O124" i="4"/>
  <c r="O123" i="4"/>
  <c r="O122" i="4"/>
  <c r="O121" i="4"/>
  <c r="O120" i="4"/>
  <c r="O119" i="4"/>
  <c r="O118" i="4"/>
  <c r="O116" i="4"/>
  <c r="O115" i="4"/>
  <c r="O113" i="4"/>
  <c r="O111" i="4"/>
  <c r="O110" i="4"/>
  <c r="O109" i="4"/>
  <c r="O108" i="4"/>
  <c r="O107" i="4"/>
  <c r="O106" i="4"/>
  <c r="O105" i="4"/>
  <c r="O104" i="4"/>
  <c r="O103" i="4"/>
  <c r="O102" i="4"/>
  <c r="O101" i="4"/>
  <c r="O100" i="4"/>
  <c r="O99" i="4"/>
  <c r="O98" i="4"/>
  <c r="O96" i="4"/>
  <c r="O95" i="4"/>
  <c r="O94" i="4"/>
  <c r="O92" i="4"/>
  <c r="O91" i="4"/>
  <c r="O90" i="4"/>
  <c r="O89" i="4"/>
  <c r="O87" i="4"/>
  <c r="O86" i="4"/>
  <c r="O85" i="4"/>
  <c r="O84" i="4"/>
  <c r="O83" i="4"/>
  <c r="O82" i="4"/>
  <c r="O81" i="4"/>
  <c r="O79" i="4"/>
  <c r="O78" i="4"/>
  <c r="O77" i="4"/>
  <c r="O76" i="4"/>
  <c r="O75" i="4"/>
  <c r="O74" i="4"/>
  <c r="O73" i="4"/>
  <c r="O72" i="4"/>
  <c r="O71" i="4"/>
  <c r="O70" i="4"/>
  <c r="O69" i="4"/>
  <c r="O68" i="4"/>
  <c r="O67" i="4"/>
  <c r="O66" i="4"/>
  <c r="O65" i="4"/>
  <c r="O64"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0" i="4"/>
  <c r="O29" i="4"/>
  <c r="O28" i="4"/>
  <c r="O27" i="4"/>
  <c r="O26" i="4"/>
  <c r="O25" i="4"/>
  <c r="O24" i="4"/>
  <c r="O23" i="4"/>
  <c r="O22" i="4"/>
  <c r="O21" i="4"/>
  <c r="O20" i="4"/>
  <c r="O19" i="4"/>
  <c r="O18" i="4"/>
  <c r="O17" i="4"/>
  <c r="O16" i="4"/>
  <c r="O15" i="4"/>
  <c r="O14" i="4"/>
  <c r="O13" i="4"/>
  <c r="O12" i="4"/>
  <c r="O11" i="4"/>
  <c r="O10" i="4"/>
  <c r="M186" i="4"/>
  <c r="M184" i="4"/>
  <c r="M183" i="4"/>
  <c r="M181" i="4"/>
  <c r="M180" i="4"/>
  <c r="M176" i="4"/>
  <c r="M175" i="4"/>
  <c r="M173" i="4"/>
  <c r="M172" i="4"/>
  <c r="M171" i="4"/>
  <c r="M170" i="4"/>
  <c r="M169" i="4"/>
  <c r="M168" i="4"/>
  <c r="M166" i="4"/>
  <c r="M164" i="4"/>
  <c r="M163" i="4"/>
  <c r="M159" i="4"/>
  <c r="M156" i="4"/>
  <c r="M148" i="4"/>
  <c r="M144" i="4"/>
  <c r="M143" i="4"/>
  <c r="M142" i="4"/>
  <c r="M141" i="4"/>
  <c r="M140" i="4"/>
  <c r="M139" i="4"/>
  <c r="M138" i="4"/>
  <c r="M137" i="4"/>
  <c r="M136" i="4"/>
  <c r="M135" i="4"/>
  <c r="M134" i="4"/>
  <c r="M133" i="4"/>
  <c r="M131" i="4"/>
  <c r="M130" i="4"/>
  <c r="M129" i="4"/>
  <c r="M128" i="4"/>
  <c r="M127" i="4"/>
  <c r="M126" i="4"/>
  <c r="M125" i="4"/>
  <c r="M124" i="4"/>
  <c r="M123" i="4"/>
  <c r="M122" i="4"/>
  <c r="M121" i="4"/>
  <c r="M120" i="4"/>
  <c r="M119" i="4"/>
  <c r="M118" i="4"/>
  <c r="M117" i="4"/>
  <c r="M116" i="4"/>
  <c r="M115" i="4"/>
  <c r="M113" i="4"/>
  <c r="M111" i="4"/>
  <c r="M110" i="4"/>
  <c r="M109" i="4"/>
  <c r="M108" i="4"/>
  <c r="M107" i="4"/>
  <c r="M106" i="4"/>
  <c r="M105" i="4"/>
  <c r="M104" i="4"/>
  <c r="M103" i="4"/>
  <c r="M102" i="4"/>
  <c r="M101" i="4"/>
  <c r="M100" i="4"/>
  <c r="M99" i="4"/>
  <c r="M98" i="4"/>
  <c r="M96" i="4"/>
  <c r="M95" i="4"/>
  <c r="M94" i="4"/>
  <c r="M92" i="4"/>
  <c r="M91" i="4"/>
  <c r="M90" i="4"/>
  <c r="M89" i="4"/>
  <c r="M87" i="4"/>
  <c r="M86" i="4"/>
  <c r="M85" i="4"/>
  <c r="M84" i="4"/>
  <c r="M83" i="4"/>
  <c r="M82" i="4"/>
  <c r="M81" i="4"/>
  <c r="M79" i="4"/>
  <c r="M78" i="4"/>
  <c r="M77" i="4"/>
  <c r="M76" i="4"/>
  <c r="M75" i="4"/>
  <c r="M71" i="4"/>
  <c r="M70" i="4"/>
  <c r="M69" i="4"/>
  <c r="M68" i="4"/>
  <c r="M67" i="4"/>
  <c r="M66" i="4"/>
  <c r="M65" i="4"/>
  <c r="M64"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0" i="4"/>
  <c r="M29" i="4"/>
  <c r="M28" i="4"/>
  <c r="M27" i="4"/>
  <c r="M26" i="4"/>
  <c r="M25" i="4"/>
  <c r="M24" i="4"/>
  <c r="M23" i="4"/>
  <c r="M22" i="4"/>
  <c r="M21" i="4"/>
  <c r="M20" i="4"/>
  <c r="M19" i="4"/>
  <c r="M18" i="4"/>
  <c r="M17" i="4"/>
  <c r="M16" i="4"/>
  <c r="M15" i="4"/>
  <c r="M14" i="4"/>
  <c r="M13" i="4"/>
  <c r="M12" i="4"/>
  <c r="M11" i="4"/>
  <c r="M10" i="4"/>
  <c r="J187" i="4"/>
  <c r="J186" i="4"/>
  <c r="J184" i="4"/>
  <c r="J183" i="4"/>
  <c r="J181" i="4"/>
  <c r="J180" i="4"/>
  <c r="J176" i="4"/>
  <c r="J175" i="4"/>
  <c r="J173" i="4"/>
  <c r="J172" i="4"/>
  <c r="J171" i="4"/>
  <c r="J170" i="4"/>
  <c r="J169" i="4"/>
  <c r="J168" i="4"/>
  <c r="J166" i="4"/>
  <c r="J164" i="4"/>
  <c r="J163" i="4"/>
  <c r="J159" i="4"/>
  <c r="J156" i="4"/>
  <c r="J148" i="4"/>
  <c r="J144" i="4"/>
  <c r="J143" i="4"/>
  <c r="J142" i="4"/>
  <c r="J141" i="4"/>
  <c r="J140" i="4"/>
  <c r="J139" i="4"/>
  <c r="J138" i="4"/>
  <c r="J137" i="4"/>
  <c r="J136" i="4"/>
  <c r="J135" i="4"/>
  <c r="J134" i="4"/>
  <c r="J133" i="4"/>
  <c r="J131" i="4"/>
  <c r="J130" i="4"/>
  <c r="J129" i="4"/>
  <c r="J128" i="4"/>
  <c r="J127" i="4"/>
  <c r="J126" i="4"/>
  <c r="J125" i="4"/>
  <c r="J124" i="4"/>
  <c r="J123" i="4"/>
  <c r="J122" i="4"/>
  <c r="J121" i="4"/>
  <c r="J120" i="4"/>
  <c r="J119" i="4"/>
  <c r="J118" i="4"/>
  <c r="J117" i="4"/>
  <c r="J116" i="4"/>
  <c r="J115" i="4"/>
  <c r="J113" i="4"/>
  <c r="J111" i="4"/>
  <c r="J110" i="4"/>
  <c r="J109" i="4"/>
  <c r="J108" i="4"/>
  <c r="J107" i="4"/>
  <c r="J106" i="4"/>
  <c r="J105" i="4"/>
  <c r="J104" i="4"/>
  <c r="J103" i="4"/>
  <c r="J102" i="4"/>
  <c r="J101" i="4"/>
  <c r="J100" i="4"/>
  <c r="J99" i="4"/>
  <c r="J98" i="4"/>
  <c r="J96" i="4"/>
  <c r="J95" i="4"/>
  <c r="J94" i="4"/>
  <c r="J92" i="4"/>
  <c r="J91" i="4"/>
  <c r="J90" i="4"/>
  <c r="J89" i="4"/>
  <c r="J87" i="4"/>
  <c r="J86" i="4"/>
  <c r="J85" i="4"/>
  <c r="J84" i="4"/>
  <c r="J83" i="4"/>
  <c r="J82" i="4"/>
  <c r="J81" i="4"/>
  <c r="J79" i="4"/>
  <c r="J78" i="4"/>
  <c r="J77" i="4"/>
  <c r="J76" i="4"/>
  <c r="J75" i="4"/>
  <c r="J74" i="4"/>
  <c r="J73" i="4"/>
  <c r="J72" i="4"/>
  <c r="J71" i="4"/>
  <c r="J70" i="4"/>
  <c r="J69" i="4"/>
  <c r="J68" i="4"/>
  <c r="J67" i="4"/>
  <c r="J66" i="4"/>
  <c r="J65" i="4"/>
  <c r="J64"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0" i="4"/>
  <c r="J29" i="4"/>
  <c r="J28" i="4"/>
  <c r="J27" i="4"/>
  <c r="J26" i="4"/>
  <c r="J25" i="4"/>
  <c r="J24" i="4"/>
  <c r="J23" i="4"/>
  <c r="J22" i="4"/>
  <c r="J21" i="4"/>
  <c r="J20" i="4"/>
  <c r="J19" i="4"/>
  <c r="J18" i="4"/>
  <c r="J17" i="4"/>
  <c r="J16" i="4"/>
  <c r="J15" i="4"/>
  <c r="J14" i="4"/>
  <c r="J13" i="4"/>
  <c r="J11" i="4"/>
  <c r="J10" i="4"/>
  <c r="AJ184" i="4"/>
  <c r="AJ183" i="4"/>
  <c r="AJ182" i="4"/>
  <c r="AJ180" i="4"/>
  <c r="AJ179" i="4"/>
  <c r="AJ175" i="4"/>
  <c r="AJ174" i="4"/>
  <c r="AJ170" i="4"/>
  <c r="AJ169" i="4"/>
  <c r="AJ168" i="4"/>
  <c r="AJ159" i="4"/>
  <c r="AJ155" i="4"/>
  <c r="AJ146" i="4"/>
  <c r="AJ141" i="4"/>
  <c r="AJ134" i="4"/>
  <c r="AJ135" i="4"/>
  <c r="AJ136" i="4"/>
  <c r="AJ137" i="4"/>
  <c r="AJ138" i="4"/>
  <c r="AJ139" i="4"/>
  <c r="AJ133" i="4"/>
  <c r="AJ126" i="4"/>
  <c r="AJ127" i="4"/>
  <c r="AJ128" i="4"/>
  <c r="AJ129" i="4"/>
  <c r="AJ130" i="4"/>
  <c r="AJ131" i="4"/>
  <c r="AJ116" i="4"/>
  <c r="AJ117" i="4"/>
  <c r="AJ118" i="4"/>
  <c r="AJ119" i="4"/>
  <c r="AJ120" i="4"/>
  <c r="AJ121" i="4"/>
  <c r="AJ122" i="4"/>
  <c r="AJ123" i="4"/>
  <c r="AJ124" i="4"/>
  <c r="AJ125" i="4"/>
  <c r="AJ115" i="4"/>
  <c r="AJ113" i="4"/>
  <c r="AJ105" i="4"/>
  <c r="AJ106" i="4"/>
  <c r="AJ107" i="4"/>
  <c r="AJ108" i="4"/>
  <c r="AJ109" i="4"/>
  <c r="AJ110" i="4"/>
  <c r="AJ97" i="4"/>
  <c r="AJ98" i="4"/>
  <c r="AJ99" i="4"/>
  <c r="AJ100" i="4"/>
  <c r="AJ101" i="4"/>
  <c r="AJ102" i="4"/>
  <c r="AJ103" i="4"/>
  <c r="AJ104" i="4"/>
  <c r="AJ96" i="4"/>
  <c r="AJ90" i="4"/>
  <c r="AJ84" i="4"/>
  <c r="AJ85" i="4"/>
  <c r="AJ86" i="4"/>
  <c r="AJ83" i="4"/>
  <c r="AJ81" i="4"/>
  <c r="AJ79" i="4"/>
  <c r="AJ73" i="4"/>
  <c r="AJ74" i="4"/>
  <c r="AJ75" i="4"/>
  <c r="AJ76" i="4"/>
  <c r="AJ77" i="4"/>
  <c r="AJ78" i="4"/>
  <c r="AJ72" i="4"/>
  <c r="AJ69" i="4"/>
  <c r="AJ68" i="4"/>
  <c r="AJ64" i="4"/>
  <c r="AJ65" i="4"/>
  <c r="AJ66" i="4"/>
  <c r="AJ63" i="4"/>
  <c r="AJ57" i="4"/>
  <c r="AJ58" i="4"/>
  <c r="AJ59" i="4"/>
  <c r="AJ60" i="4"/>
  <c r="AJ61" i="4"/>
  <c r="AJ56" i="4"/>
  <c r="AJ49" i="4"/>
  <c r="AJ50" i="4"/>
  <c r="AJ51" i="4"/>
  <c r="AJ52" i="4"/>
  <c r="AJ48" i="4"/>
  <c r="AJ42" i="4"/>
  <c r="AJ43" i="4"/>
  <c r="AJ44" i="4"/>
  <c r="AJ45" i="4"/>
  <c r="AJ46" i="4"/>
  <c r="AJ41" i="4"/>
  <c r="AJ38" i="4"/>
  <c r="AJ37" i="4"/>
  <c r="AJ33" i="4"/>
  <c r="AJ34" i="4"/>
  <c r="AJ35" i="4"/>
  <c r="AJ32" i="4"/>
  <c r="AJ27" i="4"/>
  <c r="AJ28" i="4"/>
  <c r="AJ29" i="4"/>
  <c r="AJ30" i="4"/>
  <c r="AJ26" i="4"/>
  <c r="AJ25" i="4"/>
  <c r="AJ11" i="4"/>
  <c r="AJ12" i="4"/>
  <c r="AJ13" i="4"/>
  <c r="AJ14" i="4"/>
  <c r="AJ15" i="4"/>
  <c r="AJ16" i="4"/>
  <c r="AJ17" i="4"/>
  <c r="AJ18" i="4"/>
  <c r="AJ19" i="4"/>
  <c r="AJ20" i="4"/>
  <c r="AJ21" i="4"/>
  <c r="AJ22" i="4"/>
  <c r="AJ23" i="4"/>
  <c r="AJ10" i="4"/>
  <c r="EF4" i="135"/>
  <c r="EG4" i="135"/>
  <c r="EH4" i="135"/>
  <c r="EI4" i="135"/>
  <c r="EF5" i="135"/>
  <c r="EG5" i="135"/>
  <c r="EH5" i="135"/>
  <c r="EI5" i="135"/>
  <c r="EF6" i="135"/>
  <c r="EG6" i="135"/>
  <c r="EH6" i="135"/>
  <c r="EI6" i="135"/>
  <c r="EF7" i="135"/>
  <c r="EG7" i="135"/>
  <c r="EH7" i="135"/>
  <c r="EI7" i="135"/>
  <c r="EF8" i="135"/>
  <c r="EG8" i="135"/>
  <c r="EH8" i="135"/>
  <c r="EI8" i="135"/>
  <c r="EF9" i="135"/>
  <c r="EG9" i="135"/>
  <c r="EH9" i="135"/>
  <c r="EI9" i="135"/>
  <c r="EF10" i="135"/>
  <c r="EG10" i="135"/>
  <c r="EH10" i="135"/>
  <c r="EI10" i="135"/>
  <c r="EF11" i="135"/>
  <c r="EG11" i="135"/>
  <c r="EH11" i="135"/>
  <c r="EI11" i="135"/>
  <c r="EF12" i="135"/>
  <c r="EG12" i="135"/>
  <c r="EH12" i="135"/>
  <c r="EI12" i="135"/>
  <c r="EF13" i="135"/>
  <c r="EG13" i="135"/>
  <c r="EH13" i="135"/>
  <c r="EI13" i="135"/>
  <c r="EF14" i="135"/>
  <c r="EG14" i="135"/>
  <c r="EH14" i="135"/>
  <c r="EI14" i="135"/>
  <c r="EF15" i="135"/>
  <c r="EG15" i="135"/>
  <c r="EH15" i="135"/>
  <c r="EI15" i="135"/>
  <c r="EF16" i="135"/>
  <c r="EG16" i="135"/>
  <c r="EH16" i="135"/>
  <c r="EI16" i="135"/>
  <c r="EF17" i="135"/>
  <c r="EG17" i="135"/>
  <c r="EH17" i="135"/>
  <c r="EI17" i="135"/>
  <c r="EF18" i="135"/>
  <c r="EG18" i="135"/>
  <c r="EH18" i="135"/>
  <c r="EI18" i="135"/>
  <c r="EF19" i="135"/>
  <c r="EG19" i="135"/>
  <c r="EH19" i="135"/>
  <c r="EI19" i="135"/>
  <c r="EF20" i="135"/>
  <c r="EG20" i="135"/>
  <c r="EH20" i="135"/>
  <c r="EI20" i="135"/>
  <c r="EF21" i="135"/>
  <c r="EG21" i="135"/>
  <c r="EH21" i="135"/>
  <c r="EI21" i="135"/>
  <c r="EF22" i="135"/>
  <c r="EG22" i="135"/>
  <c r="EH22" i="135"/>
  <c r="EI22" i="135"/>
  <c r="EF23" i="135"/>
  <c r="EG23" i="135"/>
  <c r="EH23" i="135"/>
  <c r="EI23" i="135"/>
  <c r="EF24" i="135"/>
  <c r="EG24" i="135"/>
  <c r="EH24" i="135"/>
  <c r="EI24" i="135"/>
  <c r="EF25" i="135"/>
  <c r="EG25" i="135"/>
  <c r="EH25" i="135"/>
  <c r="EI25" i="135"/>
  <c r="EF26" i="135"/>
  <c r="EG26" i="135"/>
  <c r="EH26" i="135"/>
  <c r="EI26" i="135"/>
  <c r="EF27" i="135"/>
  <c r="EG27" i="135"/>
  <c r="EH27" i="135"/>
  <c r="EI27" i="135"/>
  <c r="EF28" i="135"/>
  <c r="EG28" i="135"/>
  <c r="EH28" i="135"/>
  <c r="EI28" i="135"/>
  <c r="EF29" i="135"/>
  <c r="EG29" i="135"/>
  <c r="EH29" i="135"/>
  <c r="EI29" i="135"/>
  <c r="EF30" i="135"/>
  <c r="EG30" i="135"/>
  <c r="EH30" i="135"/>
  <c r="EI30" i="135"/>
  <c r="EF31" i="135"/>
  <c r="EG31" i="135"/>
  <c r="EH31" i="135"/>
  <c r="EI31" i="135"/>
  <c r="EF32" i="135"/>
  <c r="EG32" i="135"/>
  <c r="EH32" i="135"/>
  <c r="EI32" i="135"/>
  <c r="EF33" i="135"/>
  <c r="EG33" i="135"/>
  <c r="EH33" i="135"/>
  <c r="EI33" i="135"/>
  <c r="EF34" i="135"/>
  <c r="EG34" i="135"/>
  <c r="EH34" i="135"/>
  <c r="EI34" i="135"/>
  <c r="EF35" i="135"/>
  <c r="EG35" i="135"/>
  <c r="EH35" i="135"/>
  <c r="EI35" i="135"/>
  <c r="EF36" i="135"/>
  <c r="EG36" i="135"/>
  <c r="EH36" i="135"/>
  <c r="EI36" i="135"/>
  <c r="EF37" i="135"/>
  <c r="EG37" i="135"/>
  <c r="EH37" i="135"/>
  <c r="EI37" i="135"/>
  <c r="EF38" i="135"/>
  <c r="EG38" i="135"/>
  <c r="EH38" i="135"/>
  <c r="EI38" i="135"/>
  <c r="EF39" i="135"/>
  <c r="EG39" i="135"/>
  <c r="EH39" i="135"/>
  <c r="EI39" i="135"/>
  <c r="EF40" i="135"/>
  <c r="EG40" i="135"/>
  <c r="EH40" i="135"/>
  <c r="EI40" i="135"/>
  <c r="EF41" i="135"/>
  <c r="EG41" i="135"/>
  <c r="EH41" i="135"/>
  <c r="EI41" i="135"/>
  <c r="EF42" i="135"/>
  <c r="EG42" i="135"/>
  <c r="EH42" i="135"/>
  <c r="EI42" i="135"/>
  <c r="EF43" i="135"/>
  <c r="EG43" i="135"/>
  <c r="EH43" i="135"/>
  <c r="EI43" i="135"/>
  <c r="EF44" i="135"/>
  <c r="EG44" i="135"/>
  <c r="EH44" i="135"/>
  <c r="EI44" i="135"/>
  <c r="EF45" i="135"/>
  <c r="EG45" i="135"/>
  <c r="EH45" i="135"/>
  <c r="EI45" i="135"/>
  <c r="EF46" i="135"/>
  <c r="EG46" i="135"/>
  <c r="EH46" i="135"/>
  <c r="EI46" i="135"/>
  <c r="EF47" i="135"/>
  <c r="EG47" i="135"/>
  <c r="EH47" i="135"/>
  <c r="EI47" i="135"/>
  <c r="EF48" i="135"/>
  <c r="EG48" i="135"/>
  <c r="EH48" i="135"/>
  <c r="EI48" i="135"/>
  <c r="EF49" i="135"/>
  <c r="EG49" i="135"/>
  <c r="EH49" i="135"/>
  <c r="EI49" i="135"/>
  <c r="EF50" i="135"/>
  <c r="EG50" i="135"/>
  <c r="EH50" i="135"/>
  <c r="EI50" i="135"/>
  <c r="EF51" i="135"/>
  <c r="EG51" i="135"/>
  <c r="EH51" i="135"/>
  <c r="EI51" i="135"/>
  <c r="EF52" i="135"/>
  <c r="EG52" i="135"/>
  <c r="EH52" i="135"/>
  <c r="EI52" i="135"/>
  <c r="EF53" i="135"/>
  <c r="EG53" i="135"/>
  <c r="EH53" i="135"/>
  <c r="EI53" i="135"/>
  <c r="EF54" i="135"/>
  <c r="EG54" i="135"/>
  <c r="EH54" i="135"/>
  <c r="EI54" i="135"/>
  <c r="EF55" i="135"/>
  <c r="EG55" i="135"/>
  <c r="EH55" i="135"/>
  <c r="EI55" i="135"/>
  <c r="EF56" i="135"/>
  <c r="EG56" i="135"/>
  <c r="EH56" i="135"/>
  <c r="EI56" i="135"/>
  <c r="EF57" i="135"/>
  <c r="EG57" i="135"/>
  <c r="EH57" i="135"/>
  <c r="EI57" i="135"/>
  <c r="EF58" i="135"/>
  <c r="EG58" i="135"/>
  <c r="EH58" i="135"/>
  <c r="EI58" i="135"/>
  <c r="EF59" i="135"/>
  <c r="EG59" i="135"/>
  <c r="EH59" i="135"/>
  <c r="EI59" i="135"/>
  <c r="EF60" i="135"/>
  <c r="EG60" i="135"/>
  <c r="EH60" i="135"/>
  <c r="EI60" i="135"/>
  <c r="EF61" i="135"/>
  <c r="EG61" i="135"/>
  <c r="EH61" i="135"/>
  <c r="EI61" i="135"/>
  <c r="EF62" i="135"/>
  <c r="EG62" i="135"/>
  <c r="EH62" i="135"/>
  <c r="EI62" i="135"/>
  <c r="EF63" i="135"/>
  <c r="EG63" i="135"/>
  <c r="EH63" i="135"/>
  <c r="EI63" i="135"/>
  <c r="EF64" i="135"/>
  <c r="EG64" i="135"/>
  <c r="EH64" i="135"/>
  <c r="EI64" i="135"/>
  <c r="EF65" i="135"/>
  <c r="EG65" i="135"/>
  <c r="EH65" i="135"/>
  <c r="EI65" i="135"/>
  <c r="EF66" i="135"/>
  <c r="EG66" i="135"/>
  <c r="EH66" i="135"/>
  <c r="EI66" i="135"/>
  <c r="EF67" i="135"/>
  <c r="EG67" i="135"/>
  <c r="EH67" i="135"/>
  <c r="EI67" i="135"/>
  <c r="EF68" i="135"/>
  <c r="EG68" i="135"/>
  <c r="EH68" i="135"/>
  <c r="EI68" i="135"/>
  <c r="EF69" i="135"/>
  <c r="EG69" i="135"/>
  <c r="EH69" i="135"/>
  <c r="EI69" i="135"/>
  <c r="EF70" i="135"/>
  <c r="EG70" i="135"/>
  <c r="EH70" i="135"/>
  <c r="EI70" i="135"/>
  <c r="EF71" i="135"/>
  <c r="EG71" i="135"/>
  <c r="EH71" i="135"/>
  <c r="EI71" i="135"/>
  <c r="EF72" i="135"/>
  <c r="EG72" i="135"/>
  <c r="EH72" i="135"/>
  <c r="EI72" i="135"/>
  <c r="EF73" i="135"/>
  <c r="EG73" i="135"/>
  <c r="EH73" i="135"/>
  <c r="EI73" i="135"/>
  <c r="EF74" i="135"/>
  <c r="EG74" i="135"/>
  <c r="EH74" i="135"/>
  <c r="EI74" i="135"/>
  <c r="EF75" i="135"/>
  <c r="EG75" i="135"/>
  <c r="EH75" i="135"/>
  <c r="EI75" i="135"/>
  <c r="EF76" i="135"/>
  <c r="EG76" i="135"/>
  <c r="EH76" i="135"/>
  <c r="EI76" i="135"/>
  <c r="EF77" i="135"/>
  <c r="EG77" i="135"/>
  <c r="EH77" i="135"/>
  <c r="EI77" i="135"/>
  <c r="EF78" i="135"/>
  <c r="EG78" i="135"/>
  <c r="EH78" i="135"/>
  <c r="EI78" i="135"/>
  <c r="EF79" i="135"/>
  <c r="EG79" i="135"/>
  <c r="EH79" i="135"/>
  <c r="EI79" i="135"/>
  <c r="EF80" i="135"/>
  <c r="EG80" i="135"/>
  <c r="EH80" i="135"/>
  <c r="EI80" i="135"/>
  <c r="EF81" i="135"/>
  <c r="EG81" i="135"/>
  <c r="EH81" i="135"/>
  <c r="EI81" i="135"/>
  <c r="EF82" i="135"/>
  <c r="EG82" i="135"/>
  <c r="EH82" i="135"/>
  <c r="EI82" i="135"/>
  <c r="EF83" i="135"/>
  <c r="EG83" i="135"/>
  <c r="EH83" i="135"/>
  <c r="EI83" i="135"/>
  <c r="EF84" i="135"/>
  <c r="EG84" i="135"/>
  <c r="EH84" i="135"/>
  <c r="EI84" i="135"/>
  <c r="EF85" i="135"/>
  <c r="EG85" i="135"/>
  <c r="EH85" i="135"/>
  <c r="EI85" i="135"/>
  <c r="EF86" i="135"/>
  <c r="EG86" i="135"/>
  <c r="EH86" i="135"/>
  <c r="EI86" i="135"/>
  <c r="EF87" i="135"/>
  <c r="EG87" i="135"/>
  <c r="EH87" i="135"/>
  <c r="EI87" i="135"/>
  <c r="EF88" i="135"/>
  <c r="EG88" i="135"/>
  <c r="EH88" i="135"/>
  <c r="EI88" i="135"/>
  <c r="EF89" i="135"/>
  <c r="EG89" i="135"/>
  <c r="EH89" i="135"/>
  <c r="EI89" i="135"/>
  <c r="EF90" i="135"/>
  <c r="EG90" i="135"/>
  <c r="EH90" i="135"/>
  <c r="EI90" i="135"/>
  <c r="EF91" i="135"/>
  <c r="EG91" i="135"/>
  <c r="EH91" i="135"/>
  <c r="EI91" i="135"/>
  <c r="EF92" i="135"/>
  <c r="EG92" i="135"/>
  <c r="EH92" i="135"/>
  <c r="EI92" i="135"/>
  <c r="EF93" i="135"/>
  <c r="EG93" i="135"/>
  <c r="EH93" i="135"/>
  <c r="EI93" i="135"/>
  <c r="EF94" i="135"/>
  <c r="EG94" i="135"/>
  <c r="EH94" i="135"/>
  <c r="EI94" i="135"/>
  <c r="EF95" i="135"/>
  <c r="EG95" i="135"/>
  <c r="EH95" i="135"/>
  <c r="EI95" i="135"/>
  <c r="EF96" i="135"/>
  <c r="EG96" i="135"/>
  <c r="EH96" i="135"/>
  <c r="EI96" i="135"/>
  <c r="EF97" i="135"/>
  <c r="EG97" i="135"/>
  <c r="EH97" i="135"/>
  <c r="EI97" i="135"/>
  <c r="EF98" i="135"/>
  <c r="EG98" i="135"/>
  <c r="EH98" i="135"/>
  <c r="EI98" i="135"/>
  <c r="EF99" i="135"/>
  <c r="EG99" i="135"/>
  <c r="EH99" i="135"/>
  <c r="EI99" i="135"/>
  <c r="EF100" i="135"/>
  <c r="EG100" i="135"/>
  <c r="EH100" i="135"/>
  <c r="EI100" i="135"/>
  <c r="EF101" i="135"/>
  <c r="EG101" i="135"/>
  <c r="EH101" i="135"/>
  <c r="EI101" i="135"/>
  <c r="EF102" i="135"/>
  <c r="EG102" i="135"/>
  <c r="EH102" i="135"/>
  <c r="EI102" i="135"/>
  <c r="EF103" i="135"/>
  <c r="EG103" i="135"/>
  <c r="EH103" i="135"/>
  <c r="EI103" i="135"/>
  <c r="EF104" i="135"/>
  <c r="EG104" i="135"/>
  <c r="EH104" i="135"/>
  <c r="EI104" i="135"/>
  <c r="EF105" i="135"/>
  <c r="EG105" i="135"/>
  <c r="EH105" i="135"/>
  <c r="EI105" i="135"/>
  <c r="EF106" i="135"/>
  <c r="EG106" i="135"/>
  <c r="EH106" i="135"/>
  <c r="EI106" i="135"/>
  <c r="EF107" i="135"/>
  <c r="EG107" i="135"/>
  <c r="EH107" i="135"/>
  <c r="EI107" i="135"/>
  <c r="EF108" i="135"/>
  <c r="EG108" i="135"/>
  <c r="EH108" i="135"/>
  <c r="EI108" i="135"/>
  <c r="EF109" i="135"/>
  <c r="EG109" i="135"/>
  <c r="EH109" i="135"/>
  <c r="EI109" i="135"/>
  <c r="EF110" i="135"/>
  <c r="EG110" i="135"/>
  <c r="EH110" i="135"/>
  <c r="EI110" i="135"/>
  <c r="EF111" i="135"/>
  <c r="EG111" i="135"/>
  <c r="EH111" i="135"/>
  <c r="EI111" i="135"/>
  <c r="EF112" i="135"/>
  <c r="EG112" i="135"/>
  <c r="EH112" i="135"/>
  <c r="EI112" i="135"/>
  <c r="EF113" i="135"/>
  <c r="EG113" i="135"/>
  <c r="EH113" i="135"/>
  <c r="EI113" i="135"/>
  <c r="EF114" i="135"/>
  <c r="EG114" i="135"/>
  <c r="EH114" i="135"/>
  <c r="EI114" i="135"/>
  <c r="EF115" i="135"/>
  <c r="EG115" i="135"/>
  <c r="EH115" i="135"/>
  <c r="EI115" i="135"/>
  <c r="EF116" i="135"/>
  <c r="EG116" i="135"/>
  <c r="EH116" i="135"/>
  <c r="EI116" i="135"/>
  <c r="EF117" i="135"/>
  <c r="EG117" i="135"/>
  <c r="EH117" i="135"/>
  <c r="EI117" i="135"/>
  <c r="EF118" i="135"/>
  <c r="EG118" i="135"/>
  <c r="EH118" i="135"/>
  <c r="EI118" i="135"/>
  <c r="EF119" i="135"/>
  <c r="EG119" i="135"/>
  <c r="EH119" i="135"/>
  <c r="EI119" i="135"/>
  <c r="EF120" i="135"/>
  <c r="EG120" i="135"/>
  <c r="EH120" i="135"/>
  <c r="EI120" i="135"/>
  <c r="EF121" i="135"/>
  <c r="EG121" i="135"/>
  <c r="EH121" i="135"/>
  <c r="EI121" i="135"/>
  <c r="EF122" i="135"/>
  <c r="EG122" i="135"/>
  <c r="EH122" i="135"/>
  <c r="EI122" i="135"/>
  <c r="EF123" i="135"/>
  <c r="EG123" i="135"/>
  <c r="EH123" i="135"/>
  <c r="EI123" i="135"/>
  <c r="EF124" i="135"/>
  <c r="EG124" i="135"/>
  <c r="EH124" i="135"/>
  <c r="EI124" i="135"/>
  <c r="EF125" i="135"/>
  <c r="EG125" i="135"/>
  <c r="EH125" i="135"/>
  <c r="EI125" i="135"/>
  <c r="EF126" i="135"/>
  <c r="EG126" i="135"/>
  <c r="EH126" i="135"/>
  <c r="EI126" i="135"/>
  <c r="EF127" i="135"/>
  <c r="EG127" i="135"/>
  <c r="EH127" i="135"/>
  <c r="EI127" i="135"/>
  <c r="EF128" i="135"/>
  <c r="EG128" i="135"/>
  <c r="EH128" i="135"/>
  <c r="EI128" i="135"/>
  <c r="EF129" i="135"/>
  <c r="EG129" i="135"/>
  <c r="EH129" i="135"/>
  <c r="EI129" i="135"/>
  <c r="EF130" i="135"/>
  <c r="EG130" i="135"/>
  <c r="EH130" i="135"/>
  <c r="EI130" i="135"/>
  <c r="EF131" i="135"/>
  <c r="EG131" i="135"/>
  <c r="EH131" i="135"/>
  <c r="EI131" i="135"/>
  <c r="EF132" i="135"/>
  <c r="EG132" i="135"/>
  <c r="EH132" i="135"/>
  <c r="EI132" i="135"/>
  <c r="EF133" i="135"/>
  <c r="EG133" i="135"/>
  <c r="EH133" i="135"/>
  <c r="EI133" i="135"/>
  <c r="EF134" i="135"/>
  <c r="EG134" i="135"/>
  <c r="EH134" i="135"/>
  <c r="EI134" i="135"/>
  <c r="EF135" i="135"/>
  <c r="EG135" i="135"/>
  <c r="EH135" i="135"/>
  <c r="EI135" i="135"/>
  <c r="EF136" i="135"/>
  <c r="EG136" i="135"/>
  <c r="EH136" i="135"/>
  <c r="EI136" i="135"/>
  <c r="EF137" i="135"/>
  <c r="EG137" i="135"/>
  <c r="EH137" i="135"/>
  <c r="EI137" i="135"/>
  <c r="EF138" i="135"/>
  <c r="EG138" i="135"/>
  <c r="EH138" i="135"/>
  <c r="EI138" i="135"/>
  <c r="EF139" i="135"/>
  <c r="EG139" i="135"/>
  <c r="EH139" i="135"/>
  <c r="EI139" i="135"/>
  <c r="EF140" i="135"/>
  <c r="EG140" i="135"/>
  <c r="EH140" i="135"/>
  <c r="EI140" i="135"/>
  <c r="EF141" i="135"/>
  <c r="EG141" i="135"/>
  <c r="EH141" i="135"/>
  <c r="EI141" i="135"/>
  <c r="EF142" i="135"/>
  <c r="EG142" i="135"/>
  <c r="EH142" i="135"/>
  <c r="EI142" i="135"/>
  <c r="EF143" i="135"/>
  <c r="EG143" i="135"/>
  <c r="EH143" i="135"/>
  <c r="EI143" i="135"/>
  <c r="EF144" i="135"/>
  <c r="EG144" i="135"/>
  <c r="EH144" i="135"/>
  <c r="EI144" i="135"/>
  <c r="EF145" i="135"/>
  <c r="EG145" i="135"/>
  <c r="EH145" i="135"/>
  <c r="EI145" i="135"/>
  <c r="EF146" i="135"/>
  <c r="EG146" i="135"/>
  <c r="EH146" i="135"/>
  <c r="EI146" i="135"/>
  <c r="EF147" i="135"/>
  <c r="EG147" i="135"/>
  <c r="EH147" i="135"/>
  <c r="EI147" i="135"/>
  <c r="EF148" i="135"/>
  <c r="EG148" i="135"/>
  <c r="EH148" i="135"/>
  <c r="EI148" i="135"/>
  <c r="EF149" i="135"/>
  <c r="EG149" i="135"/>
  <c r="EH149" i="135"/>
  <c r="EI149" i="135"/>
  <c r="EF150" i="135"/>
  <c r="EG150" i="135"/>
  <c r="EH150" i="135"/>
  <c r="EI150" i="135"/>
  <c r="EF151" i="135"/>
  <c r="EG151" i="135"/>
  <c r="EH151" i="135"/>
  <c r="EI151" i="135"/>
  <c r="EF152" i="135"/>
  <c r="EG152" i="135"/>
  <c r="EH152" i="135"/>
  <c r="EI152" i="135"/>
  <c r="EF153" i="135"/>
  <c r="EG153" i="135"/>
  <c r="EH153" i="135"/>
  <c r="EI153" i="135"/>
  <c r="EF154" i="135"/>
  <c r="EG154" i="135"/>
  <c r="EH154" i="135"/>
  <c r="EI154" i="135"/>
  <c r="EF155" i="135"/>
  <c r="EG155" i="135"/>
  <c r="EH155" i="135"/>
  <c r="EI155" i="135"/>
  <c r="EF156" i="135"/>
  <c r="EG156" i="135"/>
  <c r="EH156" i="135"/>
  <c r="EI156" i="135"/>
  <c r="EF157" i="135"/>
  <c r="EG157" i="135"/>
  <c r="EH157" i="135"/>
  <c r="EI157" i="135"/>
  <c r="EF158" i="135"/>
  <c r="EG158" i="135"/>
  <c r="EH158" i="135"/>
  <c r="EI158" i="135"/>
  <c r="EF159" i="135"/>
  <c r="EG159" i="135"/>
  <c r="EH159" i="135"/>
  <c r="EI159" i="135"/>
  <c r="EF160" i="135"/>
  <c r="EG160" i="135"/>
  <c r="EH160" i="135"/>
  <c r="EI160" i="135"/>
  <c r="EF161" i="135"/>
  <c r="EG161" i="135"/>
  <c r="EH161" i="135"/>
  <c r="EI161" i="135"/>
  <c r="EF162" i="135"/>
  <c r="EG162" i="135"/>
  <c r="EH162" i="135"/>
  <c r="EI162" i="135"/>
  <c r="EG3" i="135"/>
  <c r="EH3" i="135"/>
  <c r="EI3" i="135"/>
  <c r="EF3" i="135"/>
  <c r="EG2" i="135"/>
  <c r="EH2" i="135"/>
  <c r="EI2" i="135"/>
  <c r="EF2" i="135"/>
  <c r="DX4" i="135"/>
  <c r="DX5" i="135"/>
  <c r="DX6" i="135"/>
  <c r="DX7" i="135"/>
  <c r="DX8" i="135"/>
  <c r="DX9" i="135"/>
  <c r="DX10" i="135"/>
  <c r="DX11" i="135"/>
  <c r="DX12" i="135"/>
  <c r="DX13" i="135"/>
  <c r="DX14" i="135"/>
  <c r="DX15" i="135"/>
  <c r="DX16" i="135"/>
  <c r="DX17" i="135"/>
  <c r="DX18" i="135"/>
  <c r="DX19" i="135"/>
  <c r="DX20" i="135"/>
  <c r="DX21" i="135"/>
  <c r="DX22" i="135"/>
  <c r="DX23" i="135"/>
  <c r="DX24" i="135"/>
  <c r="DX25" i="135"/>
  <c r="DX26" i="135"/>
  <c r="DX27" i="135"/>
  <c r="DX28" i="135"/>
  <c r="DX29" i="135"/>
  <c r="DX30" i="135"/>
  <c r="DX31" i="135"/>
  <c r="DX32" i="135"/>
  <c r="DX33" i="135"/>
  <c r="DX34" i="135"/>
  <c r="DX35" i="135"/>
  <c r="DX36" i="135"/>
  <c r="DX37" i="135"/>
  <c r="DX38" i="135"/>
  <c r="DX39" i="135"/>
  <c r="DX40" i="135"/>
  <c r="DX41" i="135"/>
  <c r="DX42" i="135"/>
  <c r="DX43" i="135"/>
  <c r="DX44" i="135"/>
  <c r="DX45" i="135"/>
  <c r="DX46" i="135"/>
  <c r="DX47" i="135"/>
  <c r="DX48" i="135"/>
  <c r="DX49" i="135"/>
  <c r="DX50" i="135"/>
  <c r="DX51" i="135"/>
  <c r="DX52" i="135"/>
  <c r="DX53" i="135"/>
  <c r="DX54" i="135"/>
  <c r="DX55" i="135"/>
  <c r="DX56" i="135"/>
  <c r="DX57" i="135"/>
  <c r="DX58" i="135"/>
  <c r="DX59" i="135"/>
  <c r="DX60" i="135"/>
  <c r="DX61" i="135"/>
  <c r="DX62" i="135"/>
  <c r="DX63" i="135"/>
  <c r="DX64" i="135"/>
  <c r="DX65" i="135"/>
  <c r="DX66" i="135"/>
  <c r="DX67" i="135"/>
  <c r="DX68" i="135"/>
  <c r="DX69" i="135"/>
  <c r="DX70" i="135"/>
  <c r="DX71" i="135"/>
  <c r="DX72" i="135"/>
  <c r="DX73" i="135"/>
  <c r="DX74" i="135"/>
  <c r="DX75" i="135"/>
  <c r="DX76" i="135"/>
  <c r="DX77" i="135"/>
  <c r="DX78" i="135"/>
  <c r="DX79" i="135"/>
  <c r="DX80" i="135"/>
  <c r="DX81" i="135"/>
  <c r="DX82" i="135"/>
  <c r="DX83" i="135"/>
  <c r="DX84" i="135"/>
  <c r="DX85" i="135"/>
  <c r="DX86" i="135"/>
  <c r="DX87" i="135"/>
  <c r="DX88" i="135"/>
  <c r="DX89" i="135"/>
  <c r="DX90" i="135"/>
  <c r="DX91" i="135"/>
  <c r="DX92" i="135"/>
  <c r="DX93" i="135"/>
  <c r="DX94" i="135"/>
  <c r="DX95" i="135"/>
  <c r="DX96" i="135"/>
  <c r="DX97" i="135"/>
  <c r="DX98" i="135"/>
  <c r="DX99" i="135"/>
  <c r="DX100" i="135"/>
  <c r="DX101" i="135"/>
  <c r="DX102" i="135"/>
  <c r="DX103" i="135"/>
  <c r="DX104" i="135"/>
  <c r="DX105" i="135"/>
  <c r="DX106" i="135"/>
  <c r="DX107" i="135"/>
  <c r="DX108" i="135"/>
  <c r="DX109" i="135"/>
  <c r="DX110" i="135"/>
  <c r="DX111" i="135"/>
  <c r="DX112" i="135"/>
  <c r="DX113" i="135"/>
  <c r="DX114" i="135"/>
  <c r="DX115" i="135"/>
  <c r="DX116" i="135"/>
  <c r="DX117" i="135"/>
  <c r="DX118" i="135"/>
  <c r="DX119" i="135"/>
  <c r="DX120" i="135"/>
  <c r="DX121" i="135"/>
  <c r="DX122" i="135"/>
  <c r="DX123" i="135"/>
  <c r="DX124" i="135"/>
  <c r="DX125" i="135"/>
  <c r="DX126" i="135"/>
  <c r="DX127" i="135"/>
  <c r="DX3" i="135"/>
  <c r="Q186" i="4"/>
  <c r="Q185" i="4"/>
  <c r="Q184" i="4"/>
  <c r="Q183" i="4"/>
  <c r="Q180" i="4"/>
  <c r="Q178" i="4"/>
  <c r="Q169" i="4"/>
  <c r="Q161" i="4"/>
  <c r="Q159" i="4"/>
  <c r="Q156" i="4"/>
  <c r="Q131" i="4"/>
  <c r="Q138" i="4"/>
  <c r="Q139" i="4"/>
  <c r="Q140" i="4"/>
  <c r="Q141" i="4"/>
  <c r="Q142" i="4"/>
  <c r="Q143" i="4"/>
  <c r="Q144" i="4"/>
  <c r="Q135" i="4"/>
  <c r="Q136" i="4"/>
  <c r="Q137" i="4"/>
  <c r="Q134" i="4"/>
  <c r="Q122" i="4"/>
  <c r="Q123" i="4"/>
  <c r="Q124" i="4"/>
  <c r="Q125" i="4"/>
  <c r="Q126" i="4"/>
  <c r="Q127" i="4"/>
  <c r="Q128" i="4"/>
  <c r="Q129" i="4"/>
  <c r="Q130" i="4"/>
  <c r="Q121" i="4"/>
  <c r="Q118" i="4"/>
  <c r="Q119" i="4"/>
  <c r="Q117" i="4"/>
  <c r="Q116" i="4"/>
  <c r="Q113" i="4"/>
  <c r="Q108" i="4"/>
  <c r="Q109" i="4"/>
  <c r="Q110" i="4"/>
  <c r="Q107" i="4"/>
  <c r="Q98" i="4"/>
  <c r="Q99" i="4"/>
  <c r="Q100" i="4"/>
  <c r="Q101" i="4"/>
  <c r="Q102" i="4"/>
  <c r="Q103" i="4"/>
  <c r="Q104" i="4"/>
  <c r="Q105" i="4"/>
  <c r="Q106" i="4"/>
  <c r="Q85" i="4"/>
  <c r="Q86" i="4"/>
  <c r="Q87" i="4"/>
  <c r="Q88" i="4"/>
  <c r="Q89" i="4"/>
  <c r="Q90" i="4"/>
  <c r="Q91" i="4"/>
  <c r="Q92" i="4"/>
  <c r="Q93" i="4"/>
  <c r="Q94" i="4"/>
  <c r="Q95" i="4"/>
  <c r="Q96" i="4"/>
  <c r="Q97" i="4"/>
  <c r="Q83" i="4"/>
  <c r="Q84" i="4"/>
  <c r="Q82" i="4"/>
  <c r="Q81" i="4"/>
  <c r="Q80" i="4"/>
  <c r="Q79" i="4"/>
  <c r="Q78" i="4"/>
  <c r="Q77" i="4"/>
  <c r="Q76" i="4"/>
  <c r="Q75" i="4"/>
  <c r="Q74" i="4"/>
  <c r="Q73" i="4"/>
  <c r="Q72" i="4"/>
  <c r="Q71" i="4"/>
  <c r="Q70" i="4"/>
  <c r="Q69" i="4"/>
  <c r="Q68" i="4"/>
  <c r="Q66" i="4"/>
  <c r="Q65" i="4"/>
  <c r="Q64" i="4"/>
  <c r="Q61" i="4"/>
  <c r="Q60" i="4"/>
  <c r="Q59" i="4"/>
  <c r="Q58" i="4"/>
  <c r="Q57" i="4"/>
  <c r="Q56" i="4"/>
  <c r="Q53" i="4"/>
  <c r="Q52" i="4"/>
  <c r="Q51" i="4"/>
  <c r="Q50" i="4"/>
  <c r="Q49" i="4"/>
  <c r="Q48" i="4"/>
  <c r="Q47" i="4"/>
  <c r="Q46" i="4"/>
  <c r="Q45" i="4"/>
  <c r="Q44" i="4"/>
  <c r="Q43" i="4"/>
  <c r="Q42" i="4"/>
  <c r="Q41" i="4"/>
  <c r="Q40" i="4"/>
  <c r="Q39" i="4"/>
  <c r="Q38" i="4"/>
  <c r="Q37" i="4"/>
  <c r="Q36" i="4"/>
  <c r="Q35" i="4"/>
  <c r="Q34" i="4"/>
  <c r="Q33" i="4"/>
  <c r="Q32" i="4"/>
  <c r="Q30" i="4"/>
  <c r="Q29" i="4"/>
  <c r="Q28" i="4"/>
  <c r="Q27" i="4"/>
  <c r="Q26" i="4"/>
  <c r="Q25" i="4"/>
  <c r="Q22" i="4"/>
  <c r="Q21" i="4"/>
  <c r="Q20" i="4"/>
  <c r="Q19" i="4"/>
  <c r="Q18" i="4"/>
  <c r="Q17" i="4"/>
  <c r="Q16" i="4"/>
  <c r="Q15" i="4"/>
  <c r="Q14" i="4"/>
  <c r="Q13" i="4"/>
  <c r="AI30" i="35"/>
  <c r="AI11" i="35"/>
  <c r="AI45" i="35"/>
  <c r="AI44" i="35"/>
  <c r="AI42" i="35" s="1"/>
  <c r="AI41" i="35" s="1"/>
  <c r="AI40" i="35" s="1"/>
  <c r="AI25" i="35"/>
  <c r="AI23" i="35"/>
  <c r="AI20" i="35" s="1"/>
  <c r="AI15" i="35"/>
  <c r="AI14" i="35" s="1"/>
  <c r="FL4" i="133"/>
  <c r="FM4" i="133"/>
  <c r="FN4" i="133"/>
  <c r="FL5" i="133"/>
  <c r="FM5" i="133"/>
  <c r="FN5" i="133"/>
  <c r="FL6" i="133"/>
  <c r="FM6" i="133"/>
  <c r="FN6" i="133"/>
  <c r="FL7" i="133"/>
  <c r="FM7" i="133"/>
  <c r="FN7" i="133"/>
  <c r="FL8" i="133"/>
  <c r="FM8" i="133"/>
  <c r="FN8" i="133"/>
  <c r="FL9" i="133"/>
  <c r="FM9" i="133"/>
  <c r="FN9" i="133"/>
  <c r="FL10" i="133"/>
  <c r="FM10" i="133"/>
  <c r="FN10" i="133"/>
  <c r="FL11" i="133"/>
  <c r="FM11" i="133"/>
  <c r="FN11" i="133"/>
  <c r="FL12" i="133"/>
  <c r="FM12" i="133"/>
  <c r="FN12" i="133"/>
  <c r="FL13" i="133"/>
  <c r="FM13" i="133"/>
  <c r="FN13" i="133"/>
  <c r="FL14" i="133"/>
  <c r="FM14" i="133"/>
  <c r="FN14" i="133"/>
  <c r="FL15" i="133"/>
  <c r="FM15" i="133"/>
  <c r="FN15" i="133"/>
  <c r="FL16" i="133"/>
  <c r="FM16" i="133"/>
  <c r="FN16" i="133"/>
  <c r="FL17" i="133"/>
  <c r="FM17" i="133"/>
  <c r="FN17" i="133"/>
  <c r="FL18" i="133"/>
  <c r="FM18" i="133"/>
  <c r="FN18" i="133"/>
  <c r="FL19" i="133"/>
  <c r="FM19" i="133"/>
  <c r="FN19" i="133"/>
  <c r="FL20" i="133"/>
  <c r="FM20" i="133"/>
  <c r="FN20" i="133"/>
  <c r="FL21" i="133"/>
  <c r="FM21" i="133"/>
  <c r="FN21" i="133"/>
  <c r="FL22" i="133"/>
  <c r="FM22" i="133"/>
  <c r="FN22" i="133"/>
  <c r="FL23" i="133"/>
  <c r="FM23" i="133"/>
  <c r="FN23" i="133"/>
  <c r="FL24" i="133"/>
  <c r="FM24" i="133"/>
  <c r="FN24" i="133"/>
  <c r="FL25" i="133"/>
  <c r="FM25" i="133"/>
  <c r="FN25" i="133"/>
  <c r="FL26" i="133"/>
  <c r="FM26" i="133"/>
  <c r="FN26" i="133"/>
  <c r="FL27" i="133"/>
  <c r="FM27" i="133"/>
  <c r="FN27" i="133"/>
  <c r="FL28" i="133"/>
  <c r="FM28" i="133"/>
  <c r="FN28" i="133"/>
  <c r="FL29" i="133"/>
  <c r="FM29" i="133"/>
  <c r="FN29" i="133"/>
  <c r="FL30" i="133"/>
  <c r="FM30" i="133"/>
  <c r="FN30" i="133"/>
  <c r="FL31" i="133"/>
  <c r="FM31" i="133"/>
  <c r="FN31" i="133"/>
  <c r="FL32" i="133"/>
  <c r="FM32" i="133"/>
  <c r="FN32" i="133"/>
  <c r="FL33" i="133"/>
  <c r="FM33" i="133"/>
  <c r="FN33" i="133"/>
  <c r="FL34" i="133"/>
  <c r="FM34" i="133"/>
  <c r="FN34" i="133"/>
  <c r="FL35" i="133"/>
  <c r="FM35" i="133"/>
  <c r="FN35" i="133"/>
  <c r="FL36" i="133"/>
  <c r="FM36" i="133"/>
  <c r="FN36" i="133"/>
  <c r="FL37" i="133"/>
  <c r="FM37" i="133"/>
  <c r="FN37" i="133"/>
  <c r="FL38" i="133"/>
  <c r="FM38" i="133"/>
  <c r="FN38" i="133"/>
  <c r="FL39" i="133"/>
  <c r="FM39" i="133"/>
  <c r="FN39" i="133"/>
  <c r="FL40" i="133"/>
  <c r="FM40" i="133"/>
  <c r="FN40" i="133"/>
  <c r="FL41" i="133"/>
  <c r="FM41" i="133"/>
  <c r="FN41" i="133"/>
  <c r="FL42" i="133"/>
  <c r="FM42" i="133"/>
  <c r="FN42" i="133"/>
  <c r="FL43" i="133"/>
  <c r="FM43" i="133"/>
  <c r="FN43" i="133"/>
  <c r="FL44" i="133"/>
  <c r="FM44" i="133"/>
  <c r="FN44" i="133"/>
  <c r="FL45" i="133"/>
  <c r="FM45" i="133"/>
  <c r="FN45" i="133"/>
  <c r="FL46" i="133"/>
  <c r="FM46" i="133"/>
  <c r="FN46" i="133"/>
  <c r="FL47" i="133"/>
  <c r="FM47" i="133"/>
  <c r="FN47" i="133"/>
  <c r="FL48" i="133"/>
  <c r="FM48" i="133"/>
  <c r="FN48" i="133"/>
  <c r="FL49" i="133"/>
  <c r="FM49" i="133"/>
  <c r="FN49" i="133"/>
  <c r="FL50" i="133"/>
  <c r="FM50" i="133"/>
  <c r="FN50" i="133"/>
  <c r="FL51" i="133"/>
  <c r="FM51" i="133"/>
  <c r="FN51" i="133"/>
  <c r="FL52" i="133"/>
  <c r="FM52" i="133"/>
  <c r="FN52" i="133"/>
  <c r="FL53" i="133"/>
  <c r="FM53" i="133"/>
  <c r="FN53" i="133"/>
  <c r="FL54" i="133"/>
  <c r="FM54" i="133"/>
  <c r="FN54" i="133"/>
  <c r="FM3" i="133"/>
  <c r="FN3" i="133"/>
  <c r="FL3" i="133"/>
  <c r="FA4" i="133"/>
  <c r="FA5" i="133"/>
  <c r="FA6" i="133"/>
  <c r="FA7" i="133"/>
  <c r="FA8" i="133"/>
  <c r="FA9" i="133"/>
  <c r="FA3" i="133"/>
  <c r="AI43" i="37" l="1"/>
  <c r="AI38" i="37"/>
  <c r="AJ9" i="4"/>
  <c r="AI13" i="35"/>
  <c r="AI10" i="35" s="1"/>
  <c r="AI9" i="35" s="1"/>
  <c r="P47" i="35"/>
  <c r="P46" i="35"/>
  <c r="P45" i="35"/>
  <c r="P44" i="35"/>
  <c r="P43" i="35"/>
  <c r="P36" i="35"/>
  <c r="P35" i="35"/>
  <c r="P33" i="35"/>
  <c r="P32" i="35"/>
  <c r="P31" i="35"/>
  <c r="P29" i="35"/>
  <c r="P27" i="35"/>
  <c r="P25" i="35"/>
  <c r="P24" i="35"/>
  <c r="P23" i="35"/>
  <c r="P22" i="35"/>
  <c r="P21" i="35"/>
  <c r="P19" i="35"/>
  <c r="P18" i="35"/>
  <c r="P17" i="35"/>
  <c r="P16" i="35"/>
  <c r="P15" i="35"/>
  <c r="GE17" i="116"/>
  <c r="GE4" i="116"/>
  <c r="AI37" i="37" l="1"/>
  <c r="AI33" i="37" s="1"/>
  <c r="AI11" i="37" s="1"/>
  <c r="CS4" i="131"/>
  <c r="CT4" i="131"/>
  <c r="CU4" i="131"/>
  <c r="CS5" i="131"/>
  <c r="N59" i="54" s="1"/>
  <c r="CT5" i="131"/>
  <c r="CU5" i="131"/>
  <c r="CS6" i="131"/>
  <c r="N60" i="54" s="1"/>
  <c r="CT6" i="131"/>
  <c r="CU6" i="131"/>
  <c r="CT3" i="131"/>
  <c r="CU3" i="131"/>
  <c r="CS3" i="131"/>
  <c r="K13" i="37"/>
  <c r="AE23" i="37"/>
  <c r="N53" i="54" l="1"/>
  <c r="AG51" i="37"/>
  <c r="AG40" i="37"/>
  <c r="ER4" i="132"/>
  <c r="ES4" i="132"/>
  <c r="ET4" i="132"/>
  <c r="ER5" i="132"/>
  <c r="ES5" i="132"/>
  <c r="ET5" i="132"/>
  <c r="ER6" i="132"/>
  <c r="ES6" i="132"/>
  <c r="ET6" i="132"/>
  <c r="ER7" i="132"/>
  <c r="ES7" i="132"/>
  <c r="ET7" i="132"/>
  <c r="ER8" i="132"/>
  <c r="ES8" i="132"/>
  <c r="ET8" i="132"/>
  <c r="ER9" i="132"/>
  <c r="ES9" i="132"/>
  <c r="ET9" i="132"/>
  <c r="ER10" i="132"/>
  <c r="ES10" i="132"/>
  <c r="ET10" i="132"/>
  <c r="ER11" i="132"/>
  <c r="ES11" i="132"/>
  <c r="ET11" i="132"/>
  <c r="ER12" i="132"/>
  <c r="ES12" i="132"/>
  <c r="ET12" i="132"/>
  <c r="ER13" i="132"/>
  <c r="ES13" i="132"/>
  <c r="ET13" i="132"/>
  <c r="ER14" i="132"/>
  <c r="ES14" i="132"/>
  <c r="ET14" i="132"/>
  <c r="ER15" i="132"/>
  <c r="ES15" i="132"/>
  <c r="ET15" i="132"/>
  <c r="ER16" i="132"/>
  <c r="ES16" i="132"/>
  <c r="ET16" i="132"/>
  <c r="ER17" i="132"/>
  <c r="ES17" i="132"/>
  <c r="ET17" i="132"/>
  <c r="ER18" i="132"/>
  <c r="ES18" i="132"/>
  <c r="ET18" i="132"/>
  <c r="ER19" i="132"/>
  <c r="ES19" i="132"/>
  <c r="ET19" i="132"/>
  <c r="ER20" i="132"/>
  <c r="ES20" i="132"/>
  <c r="ET20" i="132"/>
  <c r="ER21" i="132"/>
  <c r="ES21" i="132"/>
  <c r="L25" i="37" s="1"/>
  <c r="ET21" i="132"/>
  <c r="ER22" i="132"/>
  <c r="ES22" i="132"/>
  <c r="ET22" i="132"/>
  <c r="ER23" i="132"/>
  <c r="ES23" i="132"/>
  <c r="ET23" i="132"/>
  <c r="ER24" i="132"/>
  <c r="ES24" i="132"/>
  <c r="ET24" i="132"/>
  <c r="ER25" i="132"/>
  <c r="ES25" i="132"/>
  <c r="ET25" i="132"/>
  <c r="ER26" i="132"/>
  <c r="ES26" i="132"/>
  <c r="ET26" i="132"/>
  <c r="ER27" i="132"/>
  <c r="ES27" i="132"/>
  <c r="ET27" i="132"/>
  <c r="ER28" i="132"/>
  <c r="ES28" i="132"/>
  <c r="ET28" i="132"/>
  <c r="ER29" i="132"/>
  <c r="ES29" i="132"/>
  <c r="ET29" i="132"/>
  <c r="ER30" i="132"/>
  <c r="ES30" i="132"/>
  <c r="ET30" i="132"/>
  <c r="ER31" i="132"/>
  <c r="ES31" i="132"/>
  <c r="ET31" i="132"/>
  <c r="ER32" i="132"/>
  <c r="N44" i="37" s="1"/>
  <c r="ES32" i="132"/>
  <c r="ET32" i="132"/>
  <c r="ER33" i="132"/>
  <c r="ES33" i="132"/>
  <c r="ET33" i="132"/>
  <c r="ER34" i="132"/>
  <c r="ES34" i="132"/>
  <c r="ET34" i="132"/>
  <c r="ER35" i="132"/>
  <c r="ES35" i="132"/>
  <c r="ET35" i="132"/>
  <c r="ER36" i="132"/>
  <c r="ES36" i="132"/>
  <c r="ET36" i="132"/>
  <c r="ER37" i="132"/>
  <c r="ES37" i="132"/>
  <c r="ET37" i="132"/>
  <c r="ER38" i="132"/>
  <c r="ES38" i="132"/>
  <c r="ET38" i="132"/>
  <c r="ER39" i="132"/>
  <c r="ES39" i="132"/>
  <c r="ET39" i="132"/>
  <c r="ER40" i="132"/>
  <c r="ES40" i="132"/>
  <c r="ET40" i="132"/>
  <c r="ER41" i="132"/>
  <c r="ES41" i="132"/>
  <c r="ET41" i="132"/>
  <c r="ER42" i="132"/>
  <c r="ES42" i="132"/>
  <c r="ET42" i="132"/>
  <c r="ER43" i="132"/>
  <c r="ES43" i="132"/>
  <c r="ET43" i="132"/>
  <c r="ER44" i="132"/>
  <c r="ES44" i="132"/>
  <c r="ET44" i="132"/>
  <c r="ER45" i="132"/>
  <c r="ES45" i="132"/>
  <c r="ET45" i="132"/>
  <c r="ER46" i="132"/>
  <c r="ES46" i="132"/>
  <c r="ET46" i="132"/>
  <c r="ER47" i="132"/>
  <c r="ES47" i="132"/>
  <c r="ET47" i="132"/>
  <c r="ER48" i="132"/>
  <c r="ES48" i="132"/>
  <c r="ET48" i="132"/>
  <c r="ER49" i="132"/>
  <c r="ES49" i="132"/>
  <c r="ET49" i="132"/>
  <c r="ER50" i="132"/>
  <c r="ES50" i="132"/>
  <c r="ET50" i="132"/>
  <c r="ER51" i="132"/>
  <c r="ES51" i="132"/>
  <c r="ET51" i="132"/>
  <c r="ER52" i="132"/>
  <c r="ES52" i="132"/>
  <c r="ET52" i="132"/>
  <c r="ES3" i="132"/>
  <c r="ES53" i="132" s="1"/>
  <c r="ET3" i="132"/>
  <c r="ET53" i="132" s="1"/>
  <c r="ER3" i="132"/>
  <c r="ER53" i="132" s="1"/>
  <c r="EI4" i="132"/>
  <c r="AG19" i="37" s="1"/>
  <c r="EI5" i="132"/>
  <c r="AG18" i="37" s="1"/>
  <c r="EI6" i="132"/>
  <c r="AG31" i="37" s="1"/>
  <c r="AG30" i="37" s="1"/>
  <c r="EI7" i="132"/>
  <c r="AG39" i="37" s="1"/>
  <c r="EI8" i="132"/>
  <c r="EI9" i="132"/>
  <c r="AG41" i="37" s="1"/>
  <c r="EI10" i="132"/>
  <c r="AG42" i="37" s="1"/>
  <c r="EI11" i="132"/>
  <c r="AG44" i="37" s="1"/>
  <c r="EI12" i="132"/>
  <c r="AG45" i="37" s="1"/>
  <c r="EI13" i="132"/>
  <c r="AG46" i="37" s="1"/>
  <c r="EI14" i="132"/>
  <c r="AG47" i="37" s="1"/>
  <c r="EI15" i="132"/>
  <c r="AG48" i="37" s="1"/>
  <c r="EI16" i="132"/>
  <c r="AG49" i="37" s="1"/>
  <c r="EI17" i="132"/>
  <c r="EI18" i="132"/>
  <c r="AG52" i="37" s="1"/>
  <c r="EI3" i="132"/>
  <c r="AG17" i="37" s="1"/>
  <c r="AG26" i="35"/>
  <c r="EP3" i="133"/>
  <c r="EP55" i="133" s="1"/>
  <c r="ER54" i="133"/>
  <c r="EQ54" i="133"/>
  <c r="EP54" i="133"/>
  <c r="ER53" i="133"/>
  <c r="EQ53" i="133"/>
  <c r="EP53" i="133"/>
  <c r="ER52" i="133"/>
  <c r="EQ52" i="133"/>
  <c r="EP52" i="133"/>
  <c r="ER51" i="133"/>
  <c r="EQ51" i="133"/>
  <c r="EP51" i="133"/>
  <c r="ER50" i="133"/>
  <c r="EQ50" i="133"/>
  <c r="EP50" i="133"/>
  <c r="ER49" i="133"/>
  <c r="EQ49" i="133"/>
  <c r="EP49" i="133"/>
  <c r="ER48" i="133"/>
  <c r="EQ48" i="133"/>
  <c r="EP48" i="133"/>
  <c r="ER47" i="133"/>
  <c r="EQ47" i="133"/>
  <c r="EP47" i="133"/>
  <c r="ER46" i="133"/>
  <c r="EQ46" i="133"/>
  <c r="EP46" i="133"/>
  <c r="ER45" i="133"/>
  <c r="EQ45" i="133"/>
  <c r="EP45" i="133"/>
  <c r="ER44" i="133"/>
  <c r="EQ44" i="133"/>
  <c r="EP44" i="133"/>
  <c r="ER43" i="133"/>
  <c r="EQ43" i="133"/>
  <c r="EP43" i="133"/>
  <c r="ER42" i="133"/>
  <c r="EQ42" i="133"/>
  <c r="EP42" i="133"/>
  <c r="ER41" i="133"/>
  <c r="EQ41" i="133"/>
  <c r="EP41" i="133"/>
  <c r="ER40" i="133"/>
  <c r="EQ40" i="133"/>
  <c r="EP40" i="133"/>
  <c r="ER39" i="133"/>
  <c r="EQ39" i="133"/>
  <c r="EP39" i="133"/>
  <c r="ER38" i="133"/>
  <c r="EQ38" i="133"/>
  <c r="EP38" i="133"/>
  <c r="ER37" i="133"/>
  <c r="EQ37" i="133"/>
  <c r="EP37" i="133"/>
  <c r="ER36" i="133"/>
  <c r="EQ36" i="133"/>
  <c r="EP36" i="133"/>
  <c r="ER35" i="133"/>
  <c r="EQ35" i="133"/>
  <c r="EP35" i="133"/>
  <c r="ER34" i="133"/>
  <c r="EQ34" i="133"/>
  <c r="EP34" i="133"/>
  <c r="ER33" i="133"/>
  <c r="EQ33" i="133"/>
  <c r="EP33" i="133"/>
  <c r="ER32" i="133"/>
  <c r="EQ32" i="133"/>
  <c r="EP32" i="133"/>
  <c r="ER31" i="133"/>
  <c r="EQ31" i="133"/>
  <c r="EP31" i="133"/>
  <c r="ER30" i="133"/>
  <c r="EQ30" i="133"/>
  <c r="EP30" i="133"/>
  <c r="ER29" i="133"/>
  <c r="EQ29" i="133"/>
  <c r="EP29" i="133"/>
  <c r="ER28" i="133"/>
  <c r="EQ28" i="133"/>
  <c r="EP28" i="133"/>
  <c r="ER27" i="133"/>
  <c r="EQ27" i="133"/>
  <c r="EP27" i="133"/>
  <c r="ER26" i="133"/>
  <c r="EQ26" i="133"/>
  <c r="EP26" i="133"/>
  <c r="ER25" i="133"/>
  <c r="EQ25" i="133"/>
  <c r="EP25" i="133"/>
  <c r="ER24" i="133"/>
  <c r="EQ24" i="133"/>
  <c r="EP24" i="133"/>
  <c r="ER23" i="133"/>
  <c r="EQ23" i="133"/>
  <c r="EP23" i="133"/>
  <c r="ER22" i="133"/>
  <c r="EQ22" i="133"/>
  <c r="EP22" i="133"/>
  <c r="ER21" i="133"/>
  <c r="EQ21" i="133"/>
  <c r="EP21" i="133"/>
  <c r="ER20" i="133"/>
  <c r="EQ20" i="133"/>
  <c r="EP20" i="133"/>
  <c r="ER19" i="133"/>
  <c r="EQ19" i="133"/>
  <c r="EP19" i="133"/>
  <c r="N24" i="35" s="1"/>
  <c r="ER18" i="133"/>
  <c r="EQ18" i="133"/>
  <c r="EP18" i="133"/>
  <c r="ER17" i="133"/>
  <c r="EQ17" i="133"/>
  <c r="EP17" i="133"/>
  <c r="ER16" i="133"/>
  <c r="EQ16" i="133"/>
  <c r="EP16" i="133"/>
  <c r="ER15" i="133"/>
  <c r="EQ15" i="133"/>
  <c r="EP15" i="133"/>
  <c r="ER14" i="133"/>
  <c r="EQ14" i="133"/>
  <c r="EP14" i="133"/>
  <c r="ER13" i="133"/>
  <c r="EQ13" i="133"/>
  <c r="EP13" i="133"/>
  <c r="ER12" i="133"/>
  <c r="EQ12" i="133"/>
  <c r="EP12" i="133"/>
  <c r="ER11" i="133"/>
  <c r="EQ11" i="133"/>
  <c r="EP11" i="133"/>
  <c r="EG11" i="133"/>
  <c r="AG44" i="35" s="1"/>
  <c r="ER10" i="133"/>
  <c r="EQ10" i="133"/>
  <c r="EP10" i="133"/>
  <c r="EG10" i="133"/>
  <c r="AG43" i="35" s="1"/>
  <c r="ER9" i="133"/>
  <c r="EQ9" i="133"/>
  <c r="EP9" i="133"/>
  <c r="EG9" i="133"/>
  <c r="AG33" i="35" s="1"/>
  <c r="ER8" i="133"/>
  <c r="EQ8" i="133"/>
  <c r="EP8" i="133"/>
  <c r="EG8" i="133"/>
  <c r="AG31" i="35" s="1"/>
  <c r="ER7" i="133"/>
  <c r="EQ7" i="133"/>
  <c r="EP7" i="133"/>
  <c r="EG7" i="133"/>
  <c r="AG32" i="35" s="1"/>
  <c r="ER6" i="133"/>
  <c r="EQ6" i="133"/>
  <c r="EP6" i="133"/>
  <c r="EG6" i="133"/>
  <c r="AG21" i="35" s="1"/>
  <c r="ER5" i="133"/>
  <c r="EQ5" i="133"/>
  <c r="EP5" i="133"/>
  <c r="EG5" i="133"/>
  <c r="AG23" i="35" s="1"/>
  <c r="ER4" i="133"/>
  <c r="EQ4" i="133"/>
  <c r="EP4" i="133"/>
  <c r="EG4" i="133"/>
  <c r="AG22" i="35" s="1"/>
  <c r="ER3" i="133"/>
  <c r="ER55" i="133" s="1"/>
  <c r="EQ3" i="133"/>
  <c r="EG3" i="133"/>
  <c r="AG15" i="35" s="1"/>
  <c r="BZ3" i="135"/>
  <c r="BU4" i="135"/>
  <c r="BU5" i="135"/>
  <c r="BU6" i="135"/>
  <c r="BU7" i="135"/>
  <c r="BU8" i="135"/>
  <c r="BU9" i="135"/>
  <c r="BU10" i="135"/>
  <c r="BU11" i="135"/>
  <c r="BU12" i="135"/>
  <c r="BU13" i="135"/>
  <c r="BU14" i="135"/>
  <c r="BU15" i="135"/>
  <c r="BU16" i="135"/>
  <c r="BU17" i="135"/>
  <c r="BU18" i="135"/>
  <c r="BU19" i="135"/>
  <c r="BU20" i="135"/>
  <c r="BU21" i="135"/>
  <c r="BU22" i="135"/>
  <c r="BU23" i="135"/>
  <c r="BU24" i="135"/>
  <c r="BU25" i="135"/>
  <c r="BU26" i="135"/>
  <c r="BU27" i="135"/>
  <c r="BU28" i="135"/>
  <c r="BU29" i="135"/>
  <c r="BU30" i="135"/>
  <c r="BU31" i="135"/>
  <c r="BU32" i="135"/>
  <c r="BU33" i="135"/>
  <c r="BU34" i="135"/>
  <c r="BU35" i="135"/>
  <c r="BU36" i="135"/>
  <c r="BU37" i="135"/>
  <c r="BU38" i="135"/>
  <c r="BU39" i="135"/>
  <c r="BU40" i="135"/>
  <c r="BU41" i="135"/>
  <c r="BU42" i="135"/>
  <c r="BU43" i="135"/>
  <c r="BU44" i="135"/>
  <c r="BU45" i="135"/>
  <c r="BU46" i="135"/>
  <c r="BU47" i="135"/>
  <c r="BU48" i="135"/>
  <c r="BU49" i="135"/>
  <c r="BU50" i="135"/>
  <c r="BU51" i="135"/>
  <c r="BU52" i="135"/>
  <c r="BU53" i="135"/>
  <c r="BU54" i="135"/>
  <c r="BU55" i="135"/>
  <c r="BU56" i="135"/>
  <c r="BU57" i="135"/>
  <c r="BU58" i="135"/>
  <c r="BU59" i="135"/>
  <c r="BU60" i="135"/>
  <c r="BU61" i="135"/>
  <c r="BU62" i="135"/>
  <c r="BU63" i="135"/>
  <c r="BU64" i="135"/>
  <c r="BU65" i="135"/>
  <c r="BU66" i="135"/>
  <c r="BU67" i="135"/>
  <c r="BU68" i="135"/>
  <c r="BU69" i="135"/>
  <c r="BU70" i="135"/>
  <c r="BU71" i="135"/>
  <c r="BU72" i="135"/>
  <c r="BU73" i="135"/>
  <c r="BU74" i="135"/>
  <c r="BU75" i="135"/>
  <c r="BU76" i="135"/>
  <c r="BU77" i="135"/>
  <c r="BU78" i="135"/>
  <c r="BU79" i="135"/>
  <c r="BU80" i="135"/>
  <c r="BU81" i="135"/>
  <c r="BU82" i="135"/>
  <c r="BU83" i="135"/>
  <c r="BU84" i="135"/>
  <c r="BU85" i="135"/>
  <c r="BU86" i="135"/>
  <c r="BU87" i="135"/>
  <c r="BU88" i="135"/>
  <c r="BU89" i="135"/>
  <c r="BU90" i="135"/>
  <c r="BU91" i="135"/>
  <c r="BU92" i="135"/>
  <c r="BU93" i="135"/>
  <c r="BU94" i="135"/>
  <c r="BU95" i="135"/>
  <c r="BU96" i="135"/>
  <c r="BU97" i="135"/>
  <c r="BU98" i="135"/>
  <c r="BU99" i="135"/>
  <c r="BU100" i="135"/>
  <c r="BU101" i="135"/>
  <c r="BU102" i="135"/>
  <c r="BU103" i="135"/>
  <c r="BU104" i="135"/>
  <c r="BU105" i="135"/>
  <c r="BU106" i="135"/>
  <c r="BU107" i="135"/>
  <c r="BU108" i="135"/>
  <c r="BU109" i="135"/>
  <c r="BU110" i="135"/>
  <c r="BU111" i="135"/>
  <c r="BU112" i="135"/>
  <c r="BU113" i="135"/>
  <c r="BU114" i="135"/>
  <c r="BU115" i="135"/>
  <c r="BU116" i="135"/>
  <c r="BU117" i="135"/>
  <c r="BU118" i="135"/>
  <c r="BU119" i="135"/>
  <c r="BU120" i="135"/>
  <c r="BU121" i="135"/>
  <c r="BU122" i="135"/>
  <c r="BU123" i="135"/>
  <c r="BU124" i="135"/>
  <c r="BU125" i="135"/>
  <c r="BU126" i="135"/>
  <c r="BU127" i="135"/>
  <c r="BU128" i="135"/>
  <c r="BU129" i="135"/>
  <c r="BU130" i="135"/>
  <c r="BU131" i="135"/>
  <c r="BU132" i="135"/>
  <c r="BU133" i="135"/>
  <c r="BU134" i="135"/>
  <c r="BU135" i="135"/>
  <c r="BU136" i="135"/>
  <c r="BU137" i="135"/>
  <c r="BU138" i="135"/>
  <c r="BU139" i="135"/>
  <c r="BU140" i="135"/>
  <c r="BU141" i="135"/>
  <c r="BU142" i="135"/>
  <c r="BU143" i="135"/>
  <c r="BU144" i="135"/>
  <c r="BU145" i="135"/>
  <c r="BU146" i="135"/>
  <c r="BU147" i="135"/>
  <c r="BU148" i="135"/>
  <c r="BU149" i="135"/>
  <c r="BU150" i="135"/>
  <c r="BU151" i="135"/>
  <c r="BU152" i="135"/>
  <c r="BU153" i="135"/>
  <c r="BU154" i="135"/>
  <c r="BU155" i="135"/>
  <c r="BU3" i="135"/>
  <c r="BT4" i="135"/>
  <c r="BT5" i="135"/>
  <c r="BT6" i="135"/>
  <c r="BT7" i="135"/>
  <c r="BT8" i="135"/>
  <c r="BT9" i="135"/>
  <c r="BT10" i="135"/>
  <c r="BT11" i="135"/>
  <c r="BT12" i="135"/>
  <c r="BT13" i="135"/>
  <c r="BT14" i="135"/>
  <c r="BT15" i="135"/>
  <c r="BT16" i="135"/>
  <c r="BT17" i="135"/>
  <c r="BT18" i="135"/>
  <c r="BT19" i="135"/>
  <c r="BT20" i="135"/>
  <c r="BT21" i="135"/>
  <c r="BT22" i="135"/>
  <c r="BT23" i="135"/>
  <c r="BT24" i="135"/>
  <c r="BT25" i="135"/>
  <c r="BT26" i="135"/>
  <c r="BT27" i="135"/>
  <c r="BT28" i="135"/>
  <c r="BT29" i="135"/>
  <c r="BT30" i="135"/>
  <c r="BT31" i="135"/>
  <c r="BT32" i="135"/>
  <c r="BT33" i="135"/>
  <c r="BT34" i="135"/>
  <c r="BT35" i="135"/>
  <c r="BT36" i="135"/>
  <c r="BT37" i="135"/>
  <c r="BT38" i="135"/>
  <c r="BT39" i="135"/>
  <c r="BT40" i="135"/>
  <c r="BT41" i="135"/>
  <c r="BT42" i="135"/>
  <c r="BT43" i="135"/>
  <c r="BT44" i="135"/>
  <c r="BT45" i="135"/>
  <c r="BT46" i="135"/>
  <c r="BT47" i="135"/>
  <c r="BT48" i="135"/>
  <c r="BT49" i="135"/>
  <c r="BT50" i="135"/>
  <c r="BT51" i="135"/>
  <c r="BT52" i="135"/>
  <c r="BT53" i="135"/>
  <c r="BT54" i="135"/>
  <c r="BT55" i="135"/>
  <c r="BT56" i="135"/>
  <c r="BT57" i="135"/>
  <c r="BT58" i="135"/>
  <c r="BT59" i="135"/>
  <c r="BT60" i="135"/>
  <c r="BT61" i="135"/>
  <c r="BT62" i="135"/>
  <c r="BT63" i="135"/>
  <c r="BT64" i="135"/>
  <c r="BT65" i="135"/>
  <c r="BT66" i="135"/>
  <c r="BT67" i="135"/>
  <c r="BT68" i="135"/>
  <c r="BT69" i="135"/>
  <c r="BT70" i="135"/>
  <c r="BT71" i="135"/>
  <c r="BT72" i="135"/>
  <c r="BT73" i="135"/>
  <c r="BT74" i="135"/>
  <c r="BT75" i="135"/>
  <c r="BT76" i="135"/>
  <c r="BT77" i="135"/>
  <c r="BT78" i="135"/>
  <c r="BT79" i="135"/>
  <c r="BT80" i="135"/>
  <c r="BT81" i="135"/>
  <c r="BT82" i="135"/>
  <c r="BT83" i="135"/>
  <c r="BT84" i="135"/>
  <c r="BT85" i="135"/>
  <c r="BT86" i="135"/>
  <c r="BT87" i="135"/>
  <c r="BT88" i="135"/>
  <c r="BT89" i="135"/>
  <c r="BT90" i="135"/>
  <c r="BT91" i="135"/>
  <c r="BT92" i="135"/>
  <c r="BT93" i="135"/>
  <c r="BT94" i="135"/>
  <c r="BT95" i="135"/>
  <c r="BT96" i="135"/>
  <c r="BT97" i="135"/>
  <c r="BT98" i="135"/>
  <c r="BT99" i="135"/>
  <c r="BT100" i="135"/>
  <c r="BT101" i="135"/>
  <c r="BT102" i="135"/>
  <c r="BT103" i="135"/>
  <c r="BT104" i="135"/>
  <c r="BT105" i="135"/>
  <c r="BT106" i="135"/>
  <c r="BT107" i="135"/>
  <c r="BT108" i="135"/>
  <c r="BT109" i="135"/>
  <c r="BT110" i="135"/>
  <c r="BT111" i="135"/>
  <c r="BT112" i="135"/>
  <c r="BT113" i="135"/>
  <c r="BT114" i="135"/>
  <c r="BT115" i="135"/>
  <c r="BT116" i="135"/>
  <c r="BT117" i="135"/>
  <c r="BT118" i="135"/>
  <c r="BT119" i="135"/>
  <c r="BT120" i="135"/>
  <c r="BT121" i="135"/>
  <c r="BT122" i="135"/>
  <c r="BT123" i="135"/>
  <c r="BT124" i="135"/>
  <c r="BT125" i="135"/>
  <c r="BT126" i="135"/>
  <c r="BT127" i="135"/>
  <c r="BT128" i="135"/>
  <c r="BT129" i="135"/>
  <c r="BT130" i="135"/>
  <c r="BT131" i="135"/>
  <c r="BT132" i="135"/>
  <c r="BT133" i="135"/>
  <c r="BT134" i="135"/>
  <c r="BT135" i="135"/>
  <c r="BT136" i="135"/>
  <c r="BT137" i="135"/>
  <c r="BT138" i="135"/>
  <c r="BT139" i="135"/>
  <c r="BT140" i="135"/>
  <c r="BT141" i="135"/>
  <c r="BT142" i="135"/>
  <c r="BT143" i="135"/>
  <c r="BT144" i="135"/>
  <c r="BT145" i="135"/>
  <c r="BT146" i="135"/>
  <c r="BT147" i="135"/>
  <c r="BT148" i="135"/>
  <c r="BT149" i="135"/>
  <c r="BT150" i="135"/>
  <c r="BT151" i="135"/>
  <c r="BT152" i="135"/>
  <c r="BT153" i="135"/>
  <c r="BT154" i="135"/>
  <c r="BT155" i="135"/>
  <c r="BT3" i="135"/>
  <c r="BS4" i="135"/>
  <c r="BS5" i="135"/>
  <c r="BS6" i="135"/>
  <c r="BS7" i="135"/>
  <c r="BS8" i="135"/>
  <c r="BS9" i="135"/>
  <c r="BS10" i="135"/>
  <c r="BS11" i="135"/>
  <c r="BS12" i="135"/>
  <c r="BS13" i="135"/>
  <c r="BS14" i="135"/>
  <c r="BS15" i="135"/>
  <c r="BS16" i="135"/>
  <c r="BS17" i="135"/>
  <c r="BS18" i="135"/>
  <c r="BS19" i="135"/>
  <c r="BS20" i="135"/>
  <c r="BS21" i="135"/>
  <c r="BS22" i="135"/>
  <c r="BS23" i="135"/>
  <c r="BS24" i="135"/>
  <c r="BS25" i="135"/>
  <c r="BS26" i="135"/>
  <c r="BS27" i="135"/>
  <c r="BS28" i="135"/>
  <c r="BS29" i="135"/>
  <c r="BS30" i="135"/>
  <c r="BS31" i="135"/>
  <c r="BS32" i="135"/>
  <c r="BS33" i="135"/>
  <c r="BS34" i="135"/>
  <c r="BS35" i="135"/>
  <c r="BS36" i="135"/>
  <c r="BS37" i="135"/>
  <c r="BS38" i="135"/>
  <c r="BS39" i="135"/>
  <c r="BS40" i="135"/>
  <c r="BS41" i="135"/>
  <c r="BS42" i="135"/>
  <c r="BS43" i="135"/>
  <c r="BS44" i="135"/>
  <c r="BS45" i="135"/>
  <c r="BS46" i="135"/>
  <c r="BS47" i="135"/>
  <c r="BS48" i="135"/>
  <c r="BS49" i="135"/>
  <c r="BS50" i="135"/>
  <c r="BS51" i="135"/>
  <c r="BS52" i="135"/>
  <c r="BS53" i="135"/>
  <c r="BS54" i="135"/>
  <c r="BS55" i="135"/>
  <c r="BS56" i="135"/>
  <c r="BS57" i="135"/>
  <c r="BS58" i="135"/>
  <c r="BS59" i="135"/>
  <c r="BS60" i="135"/>
  <c r="BS61" i="135"/>
  <c r="BS62" i="135"/>
  <c r="BS63" i="135"/>
  <c r="BS64" i="135"/>
  <c r="BS65" i="135"/>
  <c r="BS66" i="135"/>
  <c r="BS67" i="135"/>
  <c r="BS68" i="135"/>
  <c r="BS69" i="135"/>
  <c r="BS70" i="135"/>
  <c r="BS71" i="135"/>
  <c r="BS72" i="135"/>
  <c r="BS73" i="135"/>
  <c r="BS74" i="135"/>
  <c r="BS75" i="135"/>
  <c r="BS76" i="135"/>
  <c r="BS77" i="135"/>
  <c r="BS78" i="135"/>
  <c r="BS79" i="135"/>
  <c r="BS80" i="135"/>
  <c r="BS81" i="135"/>
  <c r="BS82" i="135"/>
  <c r="BS83" i="135"/>
  <c r="BS84" i="135"/>
  <c r="BS85" i="135"/>
  <c r="BS86" i="135"/>
  <c r="BS87" i="135"/>
  <c r="BS88" i="135"/>
  <c r="BS89" i="135"/>
  <c r="BS90" i="135"/>
  <c r="BS91" i="135"/>
  <c r="BS92" i="135"/>
  <c r="BS93" i="135"/>
  <c r="BS94" i="135"/>
  <c r="BS95" i="135"/>
  <c r="BS96" i="135"/>
  <c r="BS97" i="135"/>
  <c r="BS98" i="135"/>
  <c r="BS99" i="135"/>
  <c r="BS100" i="135"/>
  <c r="BS101" i="135"/>
  <c r="BS102" i="135"/>
  <c r="BS103" i="135"/>
  <c r="BS104" i="135"/>
  <c r="BS105" i="135"/>
  <c r="BS106" i="135"/>
  <c r="BS107" i="135"/>
  <c r="BS108" i="135"/>
  <c r="BS109" i="135"/>
  <c r="BS110" i="135"/>
  <c r="BS111" i="135"/>
  <c r="BS112" i="135"/>
  <c r="BS113" i="135"/>
  <c r="BS114" i="135"/>
  <c r="BS115" i="135"/>
  <c r="BS116" i="135"/>
  <c r="BS117" i="135"/>
  <c r="BS118" i="135"/>
  <c r="BS119" i="135"/>
  <c r="BS120" i="135"/>
  <c r="BS121" i="135"/>
  <c r="BS122" i="135"/>
  <c r="BS123" i="135"/>
  <c r="BS124" i="135"/>
  <c r="BS125" i="135"/>
  <c r="BS126" i="135"/>
  <c r="BS127" i="135"/>
  <c r="BS128" i="135"/>
  <c r="BS129" i="135"/>
  <c r="BS130" i="135"/>
  <c r="BS131" i="135"/>
  <c r="BS132" i="135"/>
  <c r="BS133" i="135"/>
  <c r="BS134" i="135"/>
  <c r="BS135" i="135"/>
  <c r="BS136" i="135"/>
  <c r="BS137" i="135"/>
  <c r="BS138" i="135"/>
  <c r="BS139" i="135"/>
  <c r="BS140" i="135"/>
  <c r="BS141" i="135"/>
  <c r="BS142" i="135"/>
  <c r="BS143" i="135"/>
  <c r="BS144" i="135"/>
  <c r="BS145" i="135"/>
  <c r="BS146" i="135"/>
  <c r="BS147" i="135"/>
  <c r="BS148" i="135"/>
  <c r="BS149" i="135"/>
  <c r="BS150" i="135"/>
  <c r="BS151" i="135"/>
  <c r="BS152" i="135"/>
  <c r="BS153" i="135"/>
  <c r="BS154" i="135"/>
  <c r="BS155" i="135"/>
  <c r="BS3" i="135"/>
  <c r="BR4" i="135"/>
  <c r="BR5" i="135"/>
  <c r="BR6" i="135"/>
  <c r="BR7" i="135"/>
  <c r="BR8" i="135"/>
  <c r="BR9" i="135"/>
  <c r="BR10" i="135"/>
  <c r="BR11" i="135"/>
  <c r="BR12" i="135"/>
  <c r="BR13" i="135"/>
  <c r="BR14" i="135"/>
  <c r="BR15" i="135"/>
  <c r="BR16" i="135"/>
  <c r="BR17" i="135"/>
  <c r="BR18" i="135"/>
  <c r="BR19" i="135"/>
  <c r="BR20" i="135"/>
  <c r="BR21" i="135"/>
  <c r="BR22" i="135"/>
  <c r="BR23" i="135"/>
  <c r="BR24" i="135"/>
  <c r="BR25" i="135"/>
  <c r="BR26" i="135"/>
  <c r="BR27" i="135"/>
  <c r="BR28" i="135"/>
  <c r="BR29" i="135"/>
  <c r="BR30" i="135"/>
  <c r="BR31" i="135"/>
  <c r="BR32" i="135"/>
  <c r="BR33" i="135"/>
  <c r="BR34" i="135"/>
  <c r="BR35" i="135"/>
  <c r="BR36" i="135"/>
  <c r="BR37" i="135"/>
  <c r="BR38" i="135"/>
  <c r="BR39" i="135"/>
  <c r="BR40" i="135"/>
  <c r="BR41" i="135"/>
  <c r="BR42" i="135"/>
  <c r="BR43" i="135"/>
  <c r="BR44" i="135"/>
  <c r="BR45" i="135"/>
  <c r="BR46" i="135"/>
  <c r="BR47" i="135"/>
  <c r="BR48" i="135"/>
  <c r="BR49" i="135"/>
  <c r="BR50" i="135"/>
  <c r="BR51" i="135"/>
  <c r="BR52" i="135"/>
  <c r="BR53" i="135"/>
  <c r="BR54" i="135"/>
  <c r="BR55" i="135"/>
  <c r="BR56" i="135"/>
  <c r="BR57" i="135"/>
  <c r="BR58" i="135"/>
  <c r="BR59" i="135"/>
  <c r="BR60" i="135"/>
  <c r="BR61" i="135"/>
  <c r="BR62" i="135"/>
  <c r="BR63" i="135"/>
  <c r="BR64" i="135"/>
  <c r="BR65" i="135"/>
  <c r="BR66" i="135"/>
  <c r="BR67" i="135"/>
  <c r="BR68" i="135"/>
  <c r="BR69" i="135"/>
  <c r="BR70" i="135"/>
  <c r="BR71" i="135"/>
  <c r="BR72" i="135"/>
  <c r="BR73" i="135"/>
  <c r="BR74" i="135"/>
  <c r="BR75" i="135"/>
  <c r="BR76" i="135"/>
  <c r="BR77" i="135"/>
  <c r="BR78" i="135"/>
  <c r="BR79" i="135"/>
  <c r="BR80" i="135"/>
  <c r="BR81" i="135"/>
  <c r="BR82" i="135"/>
  <c r="BR83" i="135"/>
  <c r="BR84" i="135"/>
  <c r="BR85" i="135"/>
  <c r="BR86" i="135"/>
  <c r="BR87" i="135"/>
  <c r="BR88" i="135"/>
  <c r="BR89" i="135"/>
  <c r="BR90" i="135"/>
  <c r="BR91" i="135"/>
  <c r="BR92" i="135"/>
  <c r="BR93" i="135"/>
  <c r="BR94" i="135"/>
  <c r="BR95" i="135"/>
  <c r="BR96" i="135"/>
  <c r="BR97" i="135"/>
  <c r="BR98" i="135"/>
  <c r="BR99" i="135"/>
  <c r="BR100" i="135"/>
  <c r="BR101" i="135"/>
  <c r="BR102" i="135"/>
  <c r="BR103" i="135"/>
  <c r="BR104" i="135"/>
  <c r="BR105" i="135"/>
  <c r="BR106" i="135"/>
  <c r="BR107" i="135"/>
  <c r="BR108" i="135"/>
  <c r="BR109" i="135"/>
  <c r="BR110" i="135"/>
  <c r="BR111" i="135"/>
  <c r="BR112" i="135"/>
  <c r="BR113" i="135"/>
  <c r="BR114" i="135"/>
  <c r="BR115" i="135"/>
  <c r="BR116" i="135"/>
  <c r="BR117" i="135"/>
  <c r="BR118" i="135"/>
  <c r="BR119" i="135"/>
  <c r="BR120" i="135"/>
  <c r="BR121" i="135"/>
  <c r="BR122" i="135"/>
  <c r="BR123" i="135"/>
  <c r="BR124" i="135"/>
  <c r="BR125" i="135"/>
  <c r="BR126" i="135"/>
  <c r="BR127" i="135"/>
  <c r="BR128" i="135"/>
  <c r="BR129" i="135"/>
  <c r="BR130" i="135"/>
  <c r="BR131" i="135"/>
  <c r="BR132" i="135"/>
  <c r="BR133" i="135"/>
  <c r="BR134" i="135"/>
  <c r="BR135" i="135"/>
  <c r="BR136" i="135"/>
  <c r="BR137" i="135"/>
  <c r="BR138" i="135"/>
  <c r="BR139" i="135"/>
  <c r="BR140" i="135"/>
  <c r="BR141" i="135"/>
  <c r="BR142" i="135"/>
  <c r="BR143" i="135"/>
  <c r="BR144" i="135"/>
  <c r="BR145" i="135"/>
  <c r="BR146" i="135"/>
  <c r="BR147" i="135"/>
  <c r="BR148" i="135"/>
  <c r="BR149" i="135"/>
  <c r="BR150" i="135"/>
  <c r="BR151" i="135"/>
  <c r="BR152" i="135"/>
  <c r="BR153" i="135"/>
  <c r="BR154" i="135"/>
  <c r="BR155" i="135"/>
  <c r="BR3" i="135"/>
  <c r="BJ4" i="135"/>
  <c r="BJ5" i="135"/>
  <c r="BJ6" i="135"/>
  <c r="BJ7" i="135"/>
  <c r="BJ8" i="135"/>
  <c r="BJ9" i="135"/>
  <c r="BJ10" i="135"/>
  <c r="BJ11" i="135"/>
  <c r="BJ12" i="135"/>
  <c r="BJ13" i="135"/>
  <c r="BJ14" i="135"/>
  <c r="BJ15" i="135"/>
  <c r="BJ16" i="135"/>
  <c r="BJ17" i="135"/>
  <c r="BJ18" i="135"/>
  <c r="BJ19" i="135"/>
  <c r="BJ20" i="135"/>
  <c r="BJ21" i="135"/>
  <c r="BJ22" i="135"/>
  <c r="BJ23" i="135"/>
  <c r="BJ24" i="135"/>
  <c r="BJ25" i="135"/>
  <c r="BJ26" i="135"/>
  <c r="BJ27" i="135"/>
  <c r="BJ28" i="135"/>
  <c r="BJ29" i="135"/>
  <c r="BJ30" i="135"/>
  <c r="BJ31" i="135"/>
  <c r="BJ32" i="135"/>
  <c r="BJ33" i="135"/>
  <c r="BJ34" i="135"/>
  <c r="BJ35" i="135"/>
  <c r="BJ36" i="135"/>
  <c r="BJ37" i="135"/>
  <c r="BJ38" i="135"/>
  <c r="BJ39" i="135"/>
  <c r="BJ40" i="135"/>
  <c r="BJ41" i="135"/>
  <c r="BJ42" i="135"/>
  <c r="BJ43" i="135"/>
  <c r="BJ44" i="135"/>
  <c r="BJ45" i="135"/>
  <c r="BJ46" i="135"/>
  <c r="BJ47" i="135"/>
  <c r="BJ48" i="135"/>
  <c r="BJ49" i="135"/>
  <c r="BJ50" i="135"/>
  <c r="BJ51" i="135"/>
  <c r="BJ52" i="135"/>
  <c r="BJ53" i="135"/>
  <c r="BJ54" i="135"/>
  <c r="BJ55" i="135"/>
  <c r="BJ56" i="135"/>
  <c r="BJ57" i="135"/>
  <c r="BJ58" i="135"/>
  <c r="BJ59" i="135"/>
  <c r="BJ60" i="135"/>
  <c r="BJ61" i="135"/>
  <c r="BJ62" i="135"/>
  <c r="BJ63" i="135"/>
  <c r="BJ64" i="135"/>
  <c r="BJ65" i="135"/>
  <c r="BJ66" i="135"/>
  <c r="BJ67" i="135"/>
  <c r="BJ68" i="135"/>
  <c r="BJ69" i="135"/>
  <c r="BJ70" i="135"/>
  <c r="BJ71" i="135"/>
  <c r="BJ72" i="135"/>
  <c r="BJ73" i="135"/>
  <c r="BJ74" i="135"/>
  <c r="BJ75" i="135"/>
  <c r="BJ76" i="135"/>
  <c r="BJ77" i="135"/>
  <c r="BJ78" i="135"/>
  <c r="BJ79" i="135"/>
  <c r="BJ80" i="135"/>
  <c r="BJ81" i="135"/>
  <c r="BJ82" i="135"/>
  <c r="BJ83" i="135"/>
  <c r="BJ84" i="135"/>
  <c r="BJ85" i="135"/>
  <c r="BJ86" i="135"/>
  <c r="BJ87" i="135"/>
  <c r="BJ88" i="135"/>
  <c r="BJ89" i="135"/>
  <c r="BJ90" i="135"/>
  <c r="BJ91" i="135"/>
  <c r="BJ92" i="135"/>
  <c r="BJ93" i="135"/>
  <c r="BJ94" i="135"/>
  <c r="BJ95" i="135"/>
  <c r="BJ96" i="135"/>
  <c r="BJ97" i="135"/>
  <c r="BJ98" i="135"/>
  <c r="BJ99" i="135"/>
  <c r="BJ100" i="135"/>
  <c r="BJ101" i="135"/>
  <c r="BJ102" i="135"/>
  <c r="BJ103" i="135"/>
  <c r="BJ104" i="135"/>
  <c r="BJ105" i="135"/>
  <c r="BJ106" i="135"/>
  <c r="BJ3" i="135"/>
  <c r="N173" i="4"/>
  <c r="P172" i="4"/>
  <c r="DR4" i="135"/>
  <c r="DR5" i="135"/>
  <c r="DR6" i="135"/>
  <c r="DR7" i="135"/>
  <c r="DR8" i="135"/>
  <c r="DR9" i="135"/>
  <c r="DR10" i="135"/>
  <c r="DR11" i="135"/>
  <c r="DR12" i="135"/>
  <c r="DR13" i="135"/>
  <c r="DR14" i="135"/>
  <c r="DR15" i="135"/>
  <c r="DR16" i="135"/>
  <c r="DR17" i="135"/>
  <c r="DR18" i="135"/>
  <c r="DR19" i="135"/>
  <c r="DR20" i="135"/>
  <c r="DR21" i="135"/>
  <c r="DR22" i="135"/>
  <c r="DR23" i="135"/>
  <c r="DR24" i="135"/>
  <c r="DR25" i="135"/>
  <c r="DR26" i="135"/>
  <c r="DR27" i="135"/>
  <c r="DR28" i="135"/>
  <c r="DR29" i="135"/>
  <c r="DR30" i="135"/>
  <c r="DR31" i="135"/>
  <c r="DR32" i="135"/>
  <c r="DR33" i="135"/>
  <c r="DR34" i="135"/>
  <c r="DR35" i="135"/>
  <c r="DR36" i="135"/>
  <c r="DR37" i="135"/>
  <c r="DR38" i="135"/>
  <c r="DR39" i="135"/>
  <c r="DR40" i="135"/>
  <c r="DR41" i="135"/>
  <c r="DR42" i="135"/>
  <c r="DR43" i="135"/>
  <c r="DR44" i="135"/>
  <c r="DR45" i="135"/>
  <c r="DR46" i="135"/>
  <c r="DR47" i="135"/>
  <c r="DR48" i="135"/>
  <c r="DR49" i="135"/>
  <c r="DR50" i="135"/>
  <c r="DR51" i="135"/>
  <c r="DR52" i="135"/>
  <c r="DR53" i="135"/>
  <c r="DR54" i="135"/>
  <c r="DR55" i="135"/>
  <c r="DR56" i="135"/>
  <c r="DR57" i="135"/>
  <c r="DR58" i="135"/>
  <c r="DR59" i="135"/>
  <c r="DR60" i="135"/>
  <c r="DR61" i="135"/>
  <c r="DR62" i="135"/>
  <c r="DR63" i="135"/>
  <c r="DR64" i="135"/>
  <c r="DR65" i="135"/>
  <c r="DR66" i="135"/>
  <c r="DR67" i="135"/>
  <c r="DR68" i="135"/>
  <c r="DR69" i="135"/>
  <c r="DR70" i="135"/>
  <c r="DR71" i="135"/>
  <c r="DR72" i="135"/>
  <c r="DR73" i="135"/>
  <c r="DR74" i="135"/>
  <c r="DR75" i="135"/>
  <c r="DR76" i="135"/>
  <c r="DR77" i="135"/>
  <c r="DR78" i="135"/>
  <c r="DR79" i="135"/>
  <c r="DR80" i="135"/>
  <c r="DR81" i="135"/>
  <c r="DR82" i="135"/>
  <c r="DR83" i="135"/>
  <c r="DR84" i="135"/>
  <c r="DR85" i="135"/>
  <c r="DR86" i="135"/>
  <c r="DR87" i="135"/>
  <c r="DR88" i="135"/>
  <c r="DR89" i="135"/>
  <c r="DR90" i="135"/>
  <c r="DR91" i="135"/>
  <c r="DR92" i="135"/>
  <c r="DR93" i="135"/>
  <c r="DR94" i="135"/>
  <c r="DR95" i="135"/>
  <c r="DR96" i="135"/>
  <c r="DR97" i="135"/>
  <c r="DR98" i="135"/>
  <c r="DR99" i="135"/>
  <c r="DR100" i="135"/>
  <c r="DR101" i="135"/>
  <c r="DR102" i="135"/>
  <c r="DR103" i="135"/>
  <c r="DR104" i="135"/>
  <c r="DR105" i="135"/>
  <c r="DR106" i="135"/>
  <c r="DR107" i="135"/>
  <c r="DR108" i="135"/>
  <c r="DR109" i="135"/>
  <c r="DR110" i="135"/>
  <c r="DR111" i="135"/>
  <c r="DR112" i="135"/>
  <c r="DR113" i="135"/>
  <c r="DR114" i="135"/>
  <c r="DR115" i="135"/>
  <c r="DR116" i="135"/>
  <c r="DR117" i="135"/>
  <c r="DR118" i="135"/>
  <c r="DR119" i="135"/>
  <c r="DR120" i="135"/>
  <c r="DR121" i="135"/>
  <c r="DR122" i="135"/>
  <c r="DR123" i="135"/>
  <c r="DR124" i="135"/>
  <c r="DR125" i="135"/>
  <c r="DR126" i="135"/>
  <c r="DR127" i="135"/>
  <c r="DR128" i="135"/>
  <c r="DR129" i="135"/>
  <c r="DR130" i="135"/>
  <c r="DR131" i="135"/>
  <c r="DR132" i="135"/>
  <c r="DR133" i="135"/>
  <c r="DR134" i="135"/>
  <c r="DR135" i="135"/>
  <c r="DR136" i="135"/>
  <c r="DR137" i="135"/>
  <c r="DR138" i="135"/>
  <c r="DR139" i="135"/>
  <c r="DR140" i="135"/>
  <c r="DR141" i="135"/>
  <c r="DR142" i="135"/>
  <c r="DR143" i="135"/>
  <c r="DR144" i="135"/>
  <c r="DR145" i="135"/>
  <c r="DR146" i="135"/>
  <c r="DR147" i="135"/>
  <c r="DR148" i="135"/>
  <c r="DR149" i="135"/>
  <c r="DR150" i="135"/>
  <c r="DR151" i="135"/>
  <c r="DR152" i="135"/>
  <c r="DR153" i="135"/>
  <c r="DR154" i="135"/>
  <c r="DR155" i="135"/>
  <c r="DR156" i="135"/>
  <c r="DR157" i="135"/>
  <c r="DR159" i="135"/>
  <c r="DR162" i="135"/>
  <c r="DR3" i="135"/>
  <c r="DQ4" i="135"/>
  <c r="DQ5" i="135"/>
  <c r="DQ6" i="135"/>
  <c r="DQ7" i="135"/>
  <c r="DQ8" i="135"/>
  <c r="DQ9" i="135"/>
  <c r="DQ10" i="135"/>
  <c r="DQ11" i="135"/>
  <c r="DQ12" i="135"/>
  <c r="DQ13" i="135"/>
  <c r="DQ14" i="135"/>
  <c r="DQ15" i="135"/>
  <c r="DQ16" i="135"/>
  <c r="DQ17" i="135"/>
  <c r="DQ18" i="135"/>
  <c r="DQ19" i="135"/>
  <c r="DQ20" i="135"/>
  <c r="DQ21" i="135"/>
  <c r="DQ22" i="135"/>
  <c r="DQ23" i="135"/>
  <c r="DQ24" i="135"/>
  <c r="DQ25" i="135"/>
  <c r="DQ26" i="135"/>
  <c r="DQ27" i="135"/>
  <c r="DQ28" i="135"/>
  <c r="DQ29" i="135"/>
  <c r="DQ30" i="135"/>
  <c r="DQ31" i="135"/>
  <c r="DQ32" i="135"/>
  <c r="DQ33" i="135"/>
  <c r="DQ34" i="135"/>
  <c r="DQ35" i="135"/>
  <c r="DQ36" i="135"/>
  <c r="DQ37" i="135"/>
  <c r="DQ38" i="135"/>
  <c r="DQ39" i="135"/>
  <c r="DQ40" i="135"/>
  <c r="DQ41" i="135"/>
  <c r="DQ42" i="135"/>
  <c r="DQ43" i="135"/>
  <c r="DQ44" i="135"/>
  <c r="DQ45" i="135"/>
  <c r="DQ46" i="135"/>
  <c r="DQ47" i="135"/>
  <c r="DQ48" i="135"/>
  <c r="DQ49" i="135"/>
  <c r="DQ50" i="135"/>
  <c r="DQ51" i="135"/>
  <c r="DQ52" i="135"/>
  <c r="DQ53" i="135"/>
  <c r="DQ54" i="135"/>
  <c r="DQ55" i="135"/>
  <c r="DQ56" i="135"/>
  <c r="DQ57" i="135"/>
  <c r="DQ58" i="135"/>
  <c r="DQ59" i="135"/>
  <c r="DQ60" i="135"/>
  <c r="DQ61" i="135"/>
  <c r="DQ62" i="135"/>
  <c r="DQ63" i="135"/>
  <c r="DQ64" i="135"/>
  <c r="DQ65" i="135"/>
  <c r="DQ66" i="135"/>
  <c r="DQ67" i="135"/>
  <c r="DQ68" i="135"/>
  <c r="DQ69" i="135"/>
  <c r="DQ70" i="135"/>
  <c r="DQ71" i="135"/>
  <c r="DQ72" i="135"/>
  <c r="DQ73" i="135"/>
  <c r="DQ74" i="135"/>
  <c r="DQ75" i="135"/>
  <c r="DQ76" i="135"/>
  <c r="DQ77" i="135"/>
  <c r="DQ78" i="135"/>
  <c r="DQ79" i="135"/>
  <c r="DQ80" i="135"/>
  <c r="DQ81" i="135"/>
  <c r="DQ82" i="135"/>
  <c r="DQ83" i="135"/>
  <c r="DQ84" i="135"/>
  <c r="DQ85" i="135"/>
  <c r="DQ86" i="135"/>
  <c r="DQ87" i="135"/>
  <c r="DQ88" i="135"/>
  <c r="DQ89" i="135"/>
  <c r="DQ90" i="135"/>
  <c r="DQ91" i="135"/>
  <c r="DQ92" i="135"/>
  <c r="DQ93" i="135"/>
  <c r="DQ94" i="135"/>
  <c r="DQ95" i="135"/>
  <c r="DQ96" i="135"/>
  <c r="DQ97" i="135"/>
  <c r="DQ98" i="135"/>
  <c r="DQ99" i="135"/>
  <c r="DQ100" i="135"/>
  <c r="DQ101" i="135"/>
  <c r="DQ102" i="135"/>
  <c r="DQ103" i="135"/>
  <c r="DQ104" i="135"/>
  <c r="DQ105" i="135"/>
  <c r="DQ106" i="135"/>
  <c r="DQ107" i="135"/>
  <c r="DQ108" i="135"/>
  <c r="DQ109" i="135"/>
  <c r="DQ110" i="135"/>
  <c r="DQ111" i="135"/>
  <c r="DQ112" i="135"/>
  <c r="DQ113" i="135"/>
  <c r="DQ114" i="135"/>
  <c r="DQ115" i="135"/>
  <c r="DQ116" i="135"/>
  <c r="DQ117" i="135"/>
  <c r="DQ118" i="135"/>
  <c r="DQ119" i="135"/>
  <c r="DQ120" i="135"/>
  <c r="DQ121" i="135"/>
  <c r="DQ122" i="135"/>
  <c r="DQ123" i="135"/>
  <c r="DQ124" i="135"/>
  <c r="DQ125" i="135"/>
  <c r="DQ126" i="135"/>
  <c r="DQ127" i="135"/>
  <c r="DQ128" i="135"/>
  <c r="DQ129" i="135"/>
  <c r="DQ130" i="135"/>
  <c r="DQ131" i="135"/>
  <c r="DQ132" i="135"/>
  <c r="DQ133" i="135"/>
  <c r="DQ134" i="135"/>
  <c r="DQ135" i="135"/>
  <c r="DQ136" i="135"/>
  <c r="DQ137" i="135"/>
  <c r="DQ138" i="135"/>
  <c r="DQ139" i="135"/>
  <c r="DQ140" i="135"/>
  <c r="DQ141" i="135"/>
  <c r="DQ142" i="135"/>
  <c r="DQ143" i="135"/>
  <c r="DQ144" i="135"/>
  <c r="DQ145" i="135"/>
  <c r="DQ146" i="135"/>
  <c r="DQ147" i="135"/>
  <c r="DQ148" i="135"/>
  <c r="DQ149" i="135"/>
  <c r="DQ150" i="135"/>
  <c r="DQ151" i="135"/>
  <c r="DQ152" i="135"/>
  <c r="DQ153" i="135"/>
  <c r="DQ154" i="135"/>
  <c r="DQ155" i="135"/>
  <c r="DQ156" i="135"/>
  <c r="DQ157" i="135"/>
  <c r="DQ159" i="135"/>
  <c r="DQ162" i="135"/>
  <c r="DQ3" i="135"/>
  <c r="DP3" i="135"/>
  <c r="DO3" i="135"/>
  <c r="DP4" i="135"/>
  <c r="DP5" i="135"/>
  <c r="DP6" i="135"/>
  <c r="DP7" i="135"/>
  <c r="DP8" i="135"/>
  <c r="DP9" i="135"/>
  <c r="DP10" i="135"/>
  <c r="DP11" i="135"/>
  <c r="DP12" i="135"/>
  <c r="DP13" i="135"/>
  <c r="DP14" i="135"/>
  <c r="DP15" i="135"/>
  <c r="DP16" i="135"/>
  <c r="DP17" i="135"/>
  <c r="DP18" i="135"/>
  <c r="DP19" i="135"/>
  <c r="DP20" i="135"/>
  <c r="DP21" i="135"/>
  <c r="DP22" i="135"/>
  <c r="DP23" i="135"/>
  <c r="DP24" i="135"/>
  <c r="DP25" i="135"/>
  <c r="DP26" i="135"/>
  <c r="DP27" i="135"/>
  <c r="DP28" i="135"/>
  <c r="DP29" i="135"/>
  <c r="DP30" i="135"/>
  <c r="DP31" i="135"/>
  <c r="DP32" i="135"/>
  <c r="DP33" i="135"/>
  <c r="DP34" i="135"/>
  <c r="DP35" i="135"/>
  <c r="DP36" i="135"/>
  <c r="DP37" i="135"/>
  <c r="DP38" i="135"/>
  <c r="DP39" i="135"/>
  <c r="DP40" i="135"/>
  <c r="DP41" i="135"/>
  <c r="DP42" i="135"/>
  <c r="DP43" i="135"/>
  <c r="DP44" i="135"/>
  <c r="DP45" i="135"/>
  <c r="DP46" i="135"/>
  <c r="DP47" i="135"/>
  <c r="DP48" i="135"/>
  <c r="DP49" i="135"/>
  <c r="DP50" i="135"/>
  <c r="DP51" i="135"/>
  <c r="DP52" i="135"/>
  <c r="DP53" i="135"/>
  <c r="DP54" i="135"/>
  <c r="DP55" i="135"/>
  <c r="DP56" i="135"/>
  <c r="DP57" i="135"/>
  <c r="DP58" i="135"/>
  <c r="DP59" i="135"/>
  <c r="DP60" i="135"/>
  <c r="DP61" i="135"/>
  <c r="DP62" i="135"/>
  <c r="DP63" i="135"/>
  <c r="DP64" i="135"/>
  <c r="DP65" i="135"/>
  <c r="DP66" i="135"/>
  <c r="DP67" i="135"/>
  <c r="DP68" i="135"/>
  <c r="DP69" i="135"/>
  <c r="DP70" i="135"/>
  <c r="DP71" i="135"/>
  <c r="DP72" i="135"/>
  <c r="DP73" i="135"/>
  <c r="DP74" i="135"/>
  <c r="DP75" i="135"/>
  <c r="DP76" i="135"/>
  <c r="DP77" i="135"/>
  <c r="DP78" i="135"/>
  <c r="DP79" i="135"/>
  <c r="DP80" i="135"/>
  <c r="DP81" i="135"/>
  <c r="DP82" i="135"/>
  <c r="DP83" i="135"/>
  <c r="DP84" i="135"/>
  <c r="DP85" i="135"/>
  <c r="DP86" i="135"/>
  <c r="DP87" i="135"/>
  <c r="DP88" i="135"/>
  <c r="DP89" i="135"/>
  <c r="DP90" i="135"/>
  <c r="DP91" i="135"/>
  <c r="DP92" i="135"/>
  <c r="DP93" i="135"/>
  <c r="DP94" i="135"/>
  <c r="DP95" i="135"/>
  <c r="DP96" i="135"/>
  <c r="DP97" i="135"/>
  <c r="DP98" i="135"/>
  <c r="DP99" i="135"/>
  <c r="DP100" i="135"/>
  <c r="DP101" i="135"/>
  <c r="DP102" i="135"/>
  <c r="DP103" i="135"/>
  <c r="DP104" i="135"/>
  <c r="DP105" i="135"/>
  <c r="DP106" i="135"/>
  <c r="DP107" i="135"/>
  <c r="DP108" i="135"/>
  <c r="DP109" i="135"/>
  <c r="DP110" i="135"/>
  <c r="DP111" i="135"/>
  <c r="DP112" i="135"/>
  <c r="DP113" i="135"/>
  <c r="DP114" i="135"/>
  <c r="DP115" i="135"/>
  <c r="DP116" i="135"/>
  <c r="DP117" i="135"/>
  <c r="DP118" i="135"/>
  <c r="DP119" i="135"/>
  <c r="DP120" i="135"/>
  <c r="DP121" i="135"/>
  <c r="DP122" i="135"/>
  <c r="DP123" i="135"/>
  <c r="DP124" i="135"/>
  <c r="DP125" i="135"/>
  <c r="DP126" i="135"/>
  <c r="DP127" i="135"/>
  <c r="DP128" i="135"/>
  <c r="DP129" i="135"/>
  <c r="DP130" i="135"/>
  <c r="DP131" i="135"/>
  <c r="DP132" i="135"/>
  <c r="DP133" i="135"/>
  <c r="DP134" i="135"/>
  <c r="DP135" i="135"/>
  <c r="DP136" i="135"/>
  <c r="DP137" i="135"/>
  <c r="DP138" i="135"/>
  <c r="DP139" i="135"/>
  <c r="DP140" i="135"/>
  <c r="DP141" i="135"/>
  <c r="DP142" i="135"/>
  <c r="DP143" i="135"/>
  <c r="DP144" i="135"/>
  <c r="DP145" i="135"/>
  <c r="DP146" i="135"/>
  <c r="DP147" i="135"/>
  <c r="DP148" i="135"/>
  <c r="DP149" i="135"/>
  <c r="DP150" i="135"/>
  <c r="DP151" i="135"/>
  <c r="DP152" i="135"/>
  <c r="DP153" i="135"/>
  <c r="DP154" i="135"/>
  <c r="DP155" i="135"/>
  <c r="DP156" i="135"/>
  <c r="DP157" i="135"/>
  <c r="DP159" i="135"/>
  <c r="DP162" i="135"/>
  <c r="DO4" i="135"/>
  <c r="DO5" i="135"/>
  <c r="DO6" i="135"/>
  <c r="DO7" i="135"/>
  <c r="DO8" i="135"/>
  <c r="DO9" i="135"/>
  <c r="DO10" i="135"/>
  <c r="DO11" i="135"/>
  <c r="DO12" i="135"/>
  <c r="DO13" i="135"/>
  <c r="DO14" i="135"/>
  <c r="DO15" i="135"/>
  <c r="DO16" i="135"/>
  <c r="DO17" i="135"/>
  <c r="DO18" i="135"/>
  <c r="DO19" i="135"/>
  <c r="DO20" i="135"/>
  <c r="DO21" i="135"/>
  <c r="DO22" i="135"/>
  <c r="DO23" i="135"/>
  <c r="DO24" i="135"/>
  <c r="DO25" i="135"/>
  <c r="DO26" i="135"/>
  <c r="DO27" i="135"/>
  <c r="DO28" i="135"/>
  <c r="DO29" i="135"/>
  <c r="DO30" i="135"/>
  <c r="DO31" i="135"/>
  <c r="DO32" i="135"/>
  <c r="DO33" i="135"/>
  <c r="DO34" i="135"/>
  <c r="DO35" i="135"/>
  <c r="DO36" i="135"/>
  <c r="DO37" i="135"/>
  <c r="DO38" i="135"/>
  <c r="DO39" i="135"/>
  <c r="DO40" i="135"/>
  <c r="DO41" i="135"/>
  <c r="DO42" i="135"/>
  <c r="DO43" i="135"/>
  <c r="DO44" i="135"/>
  <c r="DO45" i="135"/>
  <c r="DO46" i="135"/>
  <c r="DO47" i="135"/>
  <c r="DO48" i="135"/>
  <c r="DO49" i="135"/>
  <c r="DO50" i="135"/>
  <c r="DO51" i="135"/>
  <c r="DO52" i="135"/>
  <c r="DO53" i="135"/>
  <c r="DO54" i="135"/>
  <c r="DO55" i="135"/>
  <c r="DO56" i="135"/>
  <c r="DO57" i="135"/>
  <c r="DO58" i="135"/>
  <c r="DO59" i="135"/>
  <c r="DO60" i="135"/>
  <c r="DO61" i="135"/>
  <c r="DO62" i="135"/>
  <c r="DO63" i="135"/>
  <c r="DO64" i="135"/>
  <c r="DO65" i="135"/>
  <c r="DO66" i="135"/>
  <c r="DO67" i="135"/>
  <c r="DO68" i="135"/>
  <c r="DO69" i="135"/>
  <c r="DO70" i="135"/>
  <c r="DO71" i="135"/>
  <c r="DO72" i="135"/>
  <c r="DO73" i="135"/>
  <c r="DO74" i="135"/>
  <c r="DO75" i="135"/>
  <c r="DO76" i="135"/>
  <c r="DO77" i="135"/>
  <c r="DO78" i="135"/>
  <c r="DO79" i="135"/>
  <c r="DO80" i="135"/>
  <c r="DO81" i="135"/>
  <c r="DO82" i="135"/>
  <c r="DO83" i="135"/>
  <c r="DO84" i="135"/>
  <c r="DO85" i="135"/>
  <c r="DO86" i="135"/>
  <c r="DO87" i="135"/>
  <c r="DO88" i="135"/>
  <c r="DO89" i="135"/>
  <c r="DO90" i="135"/>
  <c r="DO91" i="135"/>
  <c r="DO92" i="135"/>
  <c r="DO93" i="135"/>
  <c r="DO94" i="135"/>
  <c r="DO95" i="135"/>
  <c r="DO96" i="135"/>
  <c r="DO97" i="135"/>
  <c r="DO98" i="135"/>
  <c r="DO99" i="135"/>
  <c r="DO100" i="135"/>
  <c r="DO101" i="135"/>
  <c r="DO102" i="135"/>
  <c r="DO103" i="135"/>
  <c r="DO104" i="135"/>
  <c r="DO105" i="135"/>
  <c r="DO106" i="135"/>
  <c r="DO107" i="135"/>
  <c r="DO108" i="135"/>
  <c r="DO109" i="135"/>
  <c r="DO110" i="135"/>
  <c r="DO111" i="135"/>
  <c r="DO112" i="135"/>
  <c r="DO113" i="135"/>
  <c r="DO114" i="135"/>
  <c r="DO115" i="135"/>
  <c r="DO116" i="135"/>
  <c r="DO117" i="135"/>
  <c r="DO118" i="135"/>
  <c r="DO119" i="135"/>
  <c r="DO120" i="135"/>
  <c r="DO121" i="135"/>
  <c r="DO122" i="135"/>
  <c r="DO123" i="135"/>
  <c r="DO124" i="135"/>
  <c r="DO125" i="135"/>
  <c r="DO126" i="135"/>
  <c r="DO127" i="135"/>
  <c r="DO128" i="135"/>
  <c r="DO129" i="135"/>
  <c r="DO130" i="135"/>
  <c r="DO131" i="135"/>
  <c r="DO132" i="135"/>
  <c r="DO133" i="135"/>
  <c r="DO134" i="135"/>
  <c r="DO135" i="135"/>
  <c r="DO136" i="135"/>
  <c r="DO137" i="135"/>
  <c r="DO138" i="135"/>
  <c r="DO139" i="135"/>
  <c r="DO140" i="135"/>
  <c r="DO141" i="135"/>
  <c r="DO142" i="135"/>
  <c r="DO143" i="135"/>
  <c r="DO144" i="135"/>
  <c r="DO145" i="135"/>
  <c r="DO146" i="135"/>
  <c r="DO147" i="135"/>
  <c r="DO148" i="135"/>
  <c r="DO149" i="135"/>
  <c r="DO150" i="135"/>
  <c r="DO151" i="135"/>
  <c r="DO152" i="135"/>
  <c r="DO153" i="135"/>
  <c r="DO154" i="135"/>
  <c r="DO155" i="135"/>
  <c r="DO156" i="135"/>
  <c r="DO157" i="135"/>
  <c r="DO159" i="135"/>
  <c r="DO162" i="135"/>
  <c r="DF4" i="135"/>
  <c r="AH11" i="4" s="1"/>
  <c r="DF5" i="135"/>
  <c r="AH12" i="4" s="1"/>
  <c r="DF6" i="135"/>
  <c r="AH13" i="4" s="1"/>
  <c r="DF7" i="135"/>
  <c r="AH14" i="4" s="1"/>
  <c r="DF8" i="135"/>
  <c r="AH15" i="4" s="1"/>
  <c r="DF9" i="135"/>
  <c r="AH16" i="4" s="1"/>
  <c r="DF10" i="135"/>
  <c r="AH17" i="4" s="1"/>
  <c r="DF11" i="135"/>
  <c r="AH18" i="4" s="1"/>
  <c r="DF12" i="135"/>
  <c r="AH19" i="4" s="1"/>
  <c r="DF13" i="135"/>
  <c r="AH20" i="4" s="1"/>
  <c r="DF14" i="135"/>
  <c r="AH22" i="4" s="1"/>
  <c r="DF15" i="135"/>
  <c r="AH23" i="4" s="1"/>
  <c r="DF16" i="135"/>
  <c r="AH25" i="4" s="1"/>
  <c r="DF17" i="135"/>
  <c r="AH26" i="4" s="1"/>
  <c r="DF18" i="135"/>
  <c r="AH27" i="4" s="1"/>
  <c r="DF19" i="135"/>
  <c r="AH32" i="4" s="1"/>
  <c r="DF20" i="135"/>
  <c r="AH33" i="4" s="1"/>
  <c r="DF21" i="135"/>
  <c r="AH34" i="4" s="1"/>
  <c r="DF22" i="135"/>
  <c r="AH35" i="4" s="1"/>
  <c r="DF23" i="135"/>
  <c r="AH41" i="4" s="1"/>
  <c r="DF24" i="135"/>
  <c r="AH42" i="4" s="1"/>
  <c r="DF25" i="135"/>
  <c r="AH43" i="4" s="1"/>
  <c r="DF26" i="135"/>
  <c r="AH44" i="4" s="1"/>
  <c r="DF27" i="135"/>
  <c r="AH45" i="4" s="1"/>
  <c r="DF28" i="135"/>
  <c r="AH46" i="4" s="1"/>
  <c r="DF29" i="135"/>
  <c r="AH48" i="4" s="1"/>
  <c r="DF30" i="135"/>
  <c r="AH49" i="4" s="1"/>
  <c r="DF31" i="135"/>
  <c r="AH50" i="4" s="1"/>
  <c r="DF32" i="135"/>
  <c r="AH54" i="4" s="1"/>
  <c r="DF33" i="135"/>
  <c r="AH56" i="4" s="1"/>
  <c r="DF34" i="135"/>
  <c r="AH57" i="4" s="1"/>
  <c r="DF35" i="135"/>
  <c r="AH58" i="4" s="1"/>
  <c r="DF36" i="135"/>
  <c r="AH63" i="4" s="1"/>
  <c r="DF37" i="135"/>
  <c r="AH64" i="4" s="1"/>
  <c r="DF38" i="135"/>
  <c r="AH65" i="4" s="1"/>
  <c r="DF39" i="135"/>
  <c r="AH66" i="4" s="1"/>
  <c r="DF40" i="135"/>
  <c r="AH72" i="4" s="1"/>
  <c r="DF41" i="135"/>
  <c r="AH73" i="4" s="1"/>
  <c r="DF42" i="135"/>
  <c r="AH74" i="4" s="1"/>
  <c r="DF43" i="135"/>
  <c r="AH75" i="4" s="1"/>
  <c r="DF44" i="135"/>
  <c r="AH76" i="4" s="1"/>
  <c r="DF45" i="135"/>
  <c r="AH78" i="4" s="1"/>
  <c r="DF46" i="135"/>
  <c r="AH79" i="4" s="1"/>
  <c r="DF47" i="135"/>
  <c r="AH81" i="4" s="1"/>
  <c r="DF48" i="135"/>
  <c r="AH82" i="4" s="1"/>
  <c r="DF49" i="135"/>
  <c r="AH85" i="4" s="1"/>
  <c r="DF50" i="135"/>
  <c r="DF51" i="135"/>
  <c r="AH89" i="4" s="1"/>
  <c r="DF52" i="135"/>
  <c r="AH90" i="4" s="1"/>
  <c r="DF53" i="135"/>
  <c r="AH92" i="4" s="1"/>
  <c r="DF54" i="135"/>
  <c r="AH94" i="4" s="1"/>
  <c r="DF55" i="135"/>
  <c r="DF56" i="135"/>
  <c r="AH98" i="4" s="1"/>
  <c r="DF57" i="135"/>
  <c r="AH99" i="4" s="1"/>
  <c r="DF58" i="135"/>
  <c r="AH100" i="4" s="1"/>
  <c r="DF59" i="135"/>
  <c r="AH101" i="4" s="1"/>
  <c r="DF60" i="135"/>
  <c r="AH102" i="4" s="1"/>
  <c r="DF61" i="135"/>
  <c r="AH103" i="4" s="1"/>
  <c r="DF62" i="135"/>
  <c r="AH105" i="4" s="1"/>
  <c r="DF63" i="135"/>
  <c r="AH106" i="4" s="1"/>
  <c r="DF64" i="135"/>
  <c r="AH107" i="4" s="1"/>
  <c r="DF65" i="135"/>
  <c r="AH108" i="4" s="1"/>
  <c r="DF66" i="135"/>
  <c r="AH109" i="4" s="1"/>
  <c r="DF67" i="135"/>
  <c r="AH110" i="4" s="1"/>
  <c r="DF68" i="135"/>
  <c r="DF69" i="135"/>
  <c r="AH115" i="4" s="1"/>
  <c r="DF70" i="135"/>
  <c r="AH116" i="4" s="1"/>
  <c r="DF71" i="135"/>
  <c r="AH117" i="4" s="1"/>
  <c r="DF72" i="135"/>
  <c r="AH118" i="4" s="1"/>
  <c r="DF73" i="135"/>
  <c r="AH119" i="4" s="1"/>
  <c r="DF74" i="135"/>
  <c r="DF75" i="135"/>
  <c r="AH121" i="4" s="1"/>
  <c r="DF76" i="135"/>
  <c r="AH122" i="4" s="1"/>
  <c r="DF77" i="135"/>
  <c r="AH124" i="4" s="1"/>
  <c r="DF78" i="135"/>
  <c r="AH125" i="4" s="1"/>
  <c r="DF79" i="135"/>
  <c r="AH126" i="4" s="1"/>
  <c r="DF80" i="135"/>
  <c r="AH127" i="4" s="1"/>
  <c r="DF81" i="135"/>
  <c r="AH128" i="4" s="1"/>
  <c r="DF82" i="135"/>
  <c r="AH129" i="4" s="1"/>
  <c r="DF83" i="135"/>
  <c r="AH130" i="4" s="1"/>
  <c r="DF84" i="135"/>
  <c r="AH131" i="4" s="1"/>
  <c r="DF85" i="135"/>
  <c r="AH133" i="4" s="1"/>
  <c r="DF86" i="135"/>
  <c r="AH134" i="4" s="1"/>
  <c r="DF87" i="135"/>
  <c r="AH135" i="4" s="1"/>
  <c r="DF88" i="135"/>
  <c r="AH136" i="4" s="1"/>
  <c r="DF89" i="135"/>
  <c r="AH137" i="4" s="1"/>
  <c r="DF90" i="135"/>
  <c r="AH138" i="4" s="1"/>
  <c r="DF91" i="135"/>
  <c r="AH139" i="4" s="1"/>
  <c r="DF92" i="135"/>
  <c r="DF93" i="135"/>
  <c r="AH146" i="4" s="1"/>
  <c r="DF94" i="135"/>
  <c r="AH155" i="4" s="1"/>
  <c r="DF95" i="135"/>
  <c r="AH159" i="4" s="1"/>
  <c r="DF96" i="135"/>
  <c r="AH168" i="4" s="1"/>
  <c r="DF97" i="135"/>
  <c r="AH169" i="4" s="1"/>
  <c r="DF98" i="135"/>
  <c r="AH170" i="4" s="1"/>
  <c r="DF99" i="135"/>
  <c r="AH174" i="4" s="1"/>
  <c r="DF100" i="135"/>
  <c r="AH175" i="4" s="1"/>
  <c r="DF101" i="135"/>
  <c r="DF102" i="135"/>
  <c r="DF3" i="135"/>
  <c r="AH10" i="4" s="1"/>
  <c r="EA99" i="117"/>
  <c r="EA4" i="117"/>
  <c r="AG42" i="35" l="1"/>
  <c r="AG41" i="35" s="1"/>
  <c r="AG40" i="35" s="1"/>
  <c r="N171" i="4"/>
  <c r="DR163" i="135"/>
  <c r="P173" i="4"/>
  <c r="AG16" i="37"/>
  <c r="AG14" i="37" s="1"/>
  <c r="AG12" i="37" s="1"/>
  <c r="AG43" i="37"/>
  <c r="I16" i="37"/>
  <c r="N172" i="4"/>
  <c r="N49" i="35"/>
  <c r="I14" i="35"/>
  <c r="AG38" i="37"/>
  <c r="EG12" i="133"/>
  <c r="P171" i="4"/>
  <c r="EI19" i="132"/>
  <c r="EQ55" i="133"/>
  <c r="L16" i="37"/>
  <c r="AG20" i="35"/>
  <c r="AG30" i="35"/>
  <c r="DQ163" i="135"/>
  <c r="DP163" i="135"/>
  <c r="DO163" i="135"/>
  <c r="AH9" i="4"/>
  <c r="I35" i="54"/>
  <c r="CB4" i="131"/>
  <c r="CC4" i="131"/>
  <c r="L35" i="54" s="1"/>
  <c r="CD4" i="131"/>
  <c r="CB5" i="131"/>
  <c r="CC5" i="131"/>
  <c r="CD5" i="131"/>
  <c r="CB6" i="131"/>
  <c r="CC6" i="131"/>
  <c r="CD6" i="131"/>
  <c r="CC3" i="131"/>
  <c r="CD3" i="131"/>
  <c r="CB3" i="131"/>
  <c r="BT4" i="131"/>
  <c r="AE53" i="54" s="1"/>
  <c r="J53" i="54" s="1"/>
  <c r="BT5" i="131"/>
  <c r="BT6" i="131"/>
  <c r="BT3" i="131"/>
  <c r="AE30" i="37"/>
  <c r="AE28" i="37"/>
  <c r="AE26" i="37"/>
  <c r="DZ4" i="132"/>
  <c r="EA4" i="132"/>
  <c r="EB4" i="132"/>
  <c r="DZ5" i="132"/>
  <c r="EA5" i="132"/>
  <c r="EB5" i="132"/>
  <c r="DZ6" i="132"/>
  <c r="EA6" i="132"/>
  <c r="EB6" i="132"/>
  <c r="DZ7" i="132"/>
  <c r="EA7" i="132"/>
  <c r="EB7" i="132"/>
  <c r="DZ8" i="132"/>
  <c r="EA8" i="132"/>
  <c r="EB8" i="132"/>
  <c r="DZ9" i="132"/>
  <c r="EA9" i="132"/>
  <c r="EB9" i="132"/>
  <c r="DZ10" i="132"/>
  <c r="EA10" i="132"/>
  <c r="EB10" i="132"/>
  <c r="DZ11" i="132"/>
  <c r="EA11" i="132"/>
  <c r="EB11" i="132"/>
  <c r="DZ12" i="132"/>
  <c r="EA12" i="132"/>
  <c r="EB12" i="132"/>
  <c r="DZ13" i="132"/>
  <c r="EA13" i="132"/>
  <c r="EB13" i="132"/>
  <c r="DZ14" i="132"/>
  <c r="EA14" i="132"/>
  <c r="EB14" i="132"/>
  <c r="DZ15" i="132"/>
  <c r="EA15" i="132"/>
  <c r="EB15" i="132"/>
  <c r="DZ16" i="132"/>
  <c r="EA16" i="132"/>
  <c r="EB16" i="132"/>
  <c r="DZ17" i="132"/>
  <c r="EA17" i="132"/>
  <c r="EB17" i="132"/>
  <c r="DZ18" i="132"/>
  <c r="EA18" i="132"/>
  <c r="EB18" i="132"/>
  <c r="DZ19" i="132"/>
  <c r="EA19" i="132"/>
  <c r="EB19" i="132"/>
  <c r="DZ20" i="132"/>
  <c r="I25" i="37" s="1"/>
  <c r="EA20" i="132"/>
  <c r="EB20" i="132"/>
  <c r="DZ21" i="132"/>
  <c r="EA21" i="132"/>
  <c r="EB21" i="132"/>
  <c r="DZ22" i="132"/>
  <c r="EA22" i="132"/>
  <c r="EB22" i="132"/>
  <c r="DZ23" i="132"/>
  <c r="EA23" i="132"/>
  <c r="EB23" i="132"/>
  <c r="DZ24" i="132"/>
  <c r="EA24" i="132"/>
  <c r="EB24" i="132"/>
  <c r="DZ25" i="132"/>
  <c r="EA25" i="132"/>
  <c r="EB25" i="132"/>
  <c r="DZ26" i="132"/>
  <c r="EA26" i="132"/>
  <c r="EB26" i="132"/>
  <c r="DZ27" i="132"/>
  <c r="EA27" i="132"/>
  <c r="EB27" i="132"/>
  <c r="DZ28" i="132"/>
  <c r="EA28" i="132"/>
  <c r="EB28" i="132"/>
  <c r="DZ29" i="132"/>
  <c r="EA29" i="132"/>
  <c r="EB29" i="132"/>
  <c r="DZ30" i="132"/>
  <c r="EA30" i="132"/>
  <c r="EB30" i="132"/>
  <c r="DZ31" i="132"/>
  <c r="EA31" i="132"/>
  <c r="EB31" i="132"/>
  <c r="DZ32" i="132"/>
  <c r="EA32" i="132"/>
  <c r="EB32" i="132"/>
  <c r="DZ33" i="132"/>
  <c r="EA33" i="132"/>
  <c r="EB33" i="132"/>
  <c r="DZ34" i="132"/>
  <c r="EA34" i="132"/>
  <c r="EB34" i="132"/>
  <c r="DZ35" i="132"/>
  <c r="EA35" i="132"/>
  <c r="EB35" i="132"/>
  <c r="DZ36" i="132"/>
  <c r="EA36" i="132"/>
  <c r="EB36" i="132"/>
  <c r="DZ37" i="132"/>
  <c r="EA37" i="132"/>
  <c r="EB37" i="132"/>
  <c r="DZ38" i="132"/>
  <c r="EA38" i="132"/>
  <c r="EB38" i="132"/>
  <c r="DZ39" i="132"/>
  <c r="EA39" i="132"/>
  <c r="EB39" i="132"/>
  <c r="DZ40" i="132"/>
  <c r="EA40" i="132"/>
  <c r="EB40" i="132"/>
  <c r="DZ41" i="132"/>
  <c r="EA41" i="132"/>
  <c r="EB41" i="132"/>
  <c r="DZ42" i="132"/>
  <c r="EA42" i="132"/>
  <c r="EB42" i="132"/>
  <c r="DZ43" i="132"/>
  <c r="EA43" i="132"/>
  <c r="EB43" i="132"/>
  <c r="DZ44" i="132"/>
  <c r="EA44" i="132"/>
  <c r="EB44" i="132"/>
  <c r="DZ45" i="132"/>
  <c r="EA45" i="132"/>
  <c r="EB45" i="132"/>
  <c r="DZ46" i="132"/>
  <c r="EA46" i="132"/>
  <c r="EB46" i="132"/>
  <c r="DZ47" i="132"/>
  <c r="EA47" i="132"/>
  <c r="EB47" i="132"/>
  <c r="DZ48" i="132"/>
  <c r="EA48" i="132"/>
  <c r="EB48" i="132"/>
  <c r="DZ49" i="132"/>
  <c r="EA49" i="132"/>
  <c r="EB49" i="132"/>
  <c r="DZ50" i="132"/>
  <c r="EA50" i="132"/>
  <c r="EB50" i="132"/>
  <c r="DZ51" i="132"/>
  <c r="EA51" i="132"/>
  <c r="EB51" i="132"/>
  <c r="DZ52" i="132"/>
  <c r="EA52" i="132"/>
  <c r="EB52" i="132"/>
  <c r="EA3" i="132"/>
  <c r="EB3" i="132"/>
  <c r="DZ3" i="132"/>
  <c r="DQ4" i="132"/>
  <c r="AE18" i="37" s="1"/>
  <c r="DQ5" i="132"/>
  <c r="AE19" i="37" s="1"/>
  <c r="DQ6" i="132"/>
  <c r="AE17" i="37" s="1"/>
  <c r="DQ7" i="132"/>
  <c r="AE39" i="37" s="1"/>
  <c r="DQ8" i="132"/>
  <c r="AE40" i="37" s="1"/>
  <c r="DQ9" i="132"/>
  <c r="AE41" i="37" s="1"/>
  <c r="DQ10" i="132"/>
  <c r="AE42" i="37" s="1"/>
  <c r="DQ11" i="132"/>
  <c r="AE44" i="37" s="1"/>
  <c r="DQ12" i="132"/>
  <c r="AE46" i="37" s="1"/>
  <c r="DQ13" i="132"/>
  <c r="AE47" i="37" s="1"/>
  <c r="DQ14" i="132"/>
  <c r="AE48" i="37" s="1"/>
  <c r="DQ15" i="132"/>
  <c r="AE49" i="37" s="1"/>
  <c r="DQ16" i="132"/>
  <c r="AE51" i="37" s="1"/>
  <c r="DQ17" i="132"/>
  <c r="AE52" i="37" s="1"/>
  <c r="DQ3" i="132"/>
  <c r="O39" i="35"/>
  <c r="DX51" i="133"/>
  <c r="DW51" i="133"/>
  <c r="DV51" i="133"/>
  <c r="DX50" i="133"/>
  <c r="DW50" i="133"/>
  <c r="DV50" i="133"/>
  <c r="DX49" i="133"/>
  <c r="DW49" i="133"/>
  <c r="DV49" i="133"/>
  <c r="N47" i="35" s="1"/>
  <c r="DX48" i="133"/>
  <c r="DW48" i="133"/>
  <c r="DV48" i="133"/>
  <c r="DX47" i="133"/>
  <c r="DW47" i="133"/>
  <c r="DV47" i="133"/>
  <c r="DX46" i="133"/>
  <c r="DW46" i="133"/>
  <c r="DV46" i="133"/>
  <c r="DX45" i="133"/>
  <c r="DW45" i="133"/>
  <c r="DV45" i="133"/>
  <c r="DX44" i="133"/>
  <c r="DW44" i="133"/>
  <c r="DV44" i="133"/>
  <c r="DX43" i="133"/>
  <c r="DW43" i="133"/>
  <c r="DV43" i="133"/>
  <c r="DX42" i="133"/>
  <c r="DW42" i="133"/>
  <c r="DV42" i="133"/>
  <c r="N43" i="35" s="1"/>
  <c r="DX41" i="133"/>
  <c r="DW41" i="133"/>
  <c r="L38" i="35" s="1"/>
  <c r="N38" i="35" s="1"/>
  <c r="DV41" i="133"/>
  <c r="DX40" i="133"/>
  <c r="DW40" i="133"/>
  <c r="DV40" i="133"/>
  <c r="DX39" i="133"/>
  <c r="DW39" i="133"/>
  <c r="DV39" i="133"/>
  <c r="DX38" i="133"/>
  <c r="DW38" i="133"/>
  <c r="DV38" i="133"/>
  <c r="DX37" i="133"/>
  <c r="DW37" i="133"/>
  <c r="DV37" i="133"/>
  <c r="DX36" i="133"/>
  <c r="DW36" i="133"/>
  <c r="DV36" i="133"/>
  <c r="DX35" i="133"/>
  <c r="DW35" i="133"/>
  <c r="DV35" i="133"/>
  <c r="DX34" i="133"/>
  <c r="DW34" i="133"/>
  <c r="DV34" i="133"/>
  <c r="DX33" i="133"/>
  <c r="DW33" i="133"/>
  <c r="DV33" i="133"/>
  <c r="DX32" i="133"/>
  <c r="DW32" i="133"/>
  <c r="DV32" i="133"/>
  <c r="DX31" i="133"/>
  <c r="DW31" i="133"/>
  <c r="DV31" i="133"/>
  <c r="DX30" i="133"/>
  <c r="DW30" i="133"/>
  <c r="DV30" i="133"/>
  <c r="DX29" i="133"/>
  <c r="DW29" i="133"/>
  <c r="DV29" i="133"/>
  <c r="DX28" i="133"/>
  <c r="DW28" i="133"/>
  <c r="DV28" i="133"/>
  <c r="DX27" i="133"/>
  <c r="DW27" i="133"/>
  <c r="DV27" i="133"/>
  <c r="DX26" i="133"/>
  <c r="DW26" i="133"/>
  <c r="DV26" i="133"/>
  <c r="DX25" i="133"/>
  <c r="DW25" i="133"/>
  <c r="DV25" i="133"/>
  <c r="DX24" i="133"/>
  <c r="DW24" i="133"/>
  <c r="DV24" i="133"/>
  <c r="DX23" i="133"/>
  <c r="DW23" i="133"/>
  <c r="DV23" i="133"/>
  <c r="DX22" i="133"/>
  <c r="DW22" i="133"/>
  <c r="DV22" i="133"/>
  <c r="DX21" i="133"/>
  <c r="DW21" i="133"/>
  <c r="DV21" i="133"/>
  <c r="DX20" i="133"/>
  <c r="DW20" i="133"/>
  <c r="DV20" i="133"/>
  <c r="DX19" i="133"/>
  <c r="DW19" i="133"/>
  <c r="DV19" i="133"/>
  <c r="DX18" i="133"/>
  <c r="DW18" i="133"/>
  <c r="DV18" i="133"/>
  <c r="DX17" i="133"/>
  <c r="DW17" i="133"/>
  <c r="DV17" i="133"/>
  <c r="DX16" i="133"/>
  <c r="DW16" i="133"/>
  <c r="DV16" i="133"/>
  <c r="N23" i="35" s="1"/>
  <c r="DX15" i="133"/>
  <c r="DW15" i="133"/>
  <c r="DV15" i="133"/>
  <c r="N22" i="35" s="1"/>
  <c r="DX14" i="133"/>
  <c r="DW14" i="133"/>
  <c r="DV14" i="133"/>
  <c r="DX13" i="133"/>
  <c r="DW13" i="133"/>
  <c r="DV13" i="133"/>
  <c r="DX12" i="133"/>
  <c r="DW12" i="133"/>
  <c r="DV12" i="133"/>
  <c r="DX11" i="133"/>
  <c r="DW11" i="133"/>
  <c r="DV11" i="133"/>
  <c r="DX10" i="133"/>
  <c r="DW10" i="133"/>
  <c r="DV10" i="133"/>
  <c r="DM10" i="133"/>
  <c r="AE44" i="35" s="1"/>
  <c r="AE42" i="35" s="1"/>
  <c r="AE41" i="35" s="1"/>
  <c r="AE40" i="35" s="1"/>
  <c r="DX9" i="133"/>
  <c r="DW9" i="133"/>
  <c r="DV9" i="133"/>
  <c r="DM9" i="133"/>
  <c r="AE39" i="35" s="1"/>
  <c r="DX8" i="133"/>
  <c r="DW8" i="133"/>
  <c r="DV8" i="133"/>
  <c r="DM8" i="133"/>
  <c r="AE33" i="35" s="1"/>
  <c r="AE30" i="35" s="1"/>
  <c r="DX7" i="133"/>
  <c r="DW7" i="133"/>
  <c r="DV7" i="133"/>
  <c r="N16" i="35" s="1"/>
  <c r="DM7" i="133"/>
  <c r="AE21" i="35" s="1"/>
  <c r="DX6" i="133"/>
  <c r="DW6" i="133"/>
  <c r="DV6" i="133"/>
  <c r="DM6" i="133"/>
  <c r="AE25" i="35" s="1"/>
  <c r="DX5" i="133"/>
  <c r="DW5" i="133"/>
  <c r="DV5" i="133"/>
  <c r="DM5" i="133"/>
  <c r="AE22" i="35" s="1"/>
  <c r="DX4" i="133"/>
  <c r="DW4" i="133"/>
  <c r="DV4" i="133"/>
  <c r="DM4" i="133"/>
  <c r="AE23" i="35" s="1"/>
  <c r="DX3" i="133"/>
  <c r="DW3" i="133"/>
  <c r="DV3" i="133"/>
  <c r="DM3" i="133"/>
  <c r="AE19" i="35" s="1"/>
  <c r="AE14" i="35" s="1"/>
  <c r="CB7" i="131" l="1"/>
  <c r="AG37" i="37"/>
  <c r="AG33" i="37" s="1"/>
  <c r="AG11" i="37" s="1"/>
  <c r="AE38" i="37"/>
  <c r="AE16" i="37"/>
  <c r="AE43" i="37"/>
  <c r="M25" i="37"/>
  <c r="AG13" i="35"/>
  <c r="AG10" i="35" s="1"/>
  <c r="AG9" i="35" s="1"/>
  <c r="N21" i="35"/>
  <c r="N45" i="35"/>
  <c r="DQ18" i="132"/>
  <c r="M39" i="35"/>
  <c r="N25" i="35"/>
  <c r="I58" i="54"/>
  <c r="N58" i="54" s="1"/>
  <c r="N46" i="35"/>
  <c r="N44" i="35"/>
  <c r="AE38" i="35"/>
  <c r="AE37" i="35" s="1"/>
  <c r="AE15" i="37"/>
  <c r="N35" i="54"/>
  <c r="AE35" i="54"/>
  <c r="AE34" i="54" s="1"/>
  <c r="AE9" i="54" s="1"/>
  <c r="AE20" i="35"/>
  <c r="AE13" i="35" s="1"/>
  <c r="AE10" i="35" s="1"/>
  <c r="AE37" i="37" l="1"/>
  <c r="AE33" i="37" s="1"/>
  <c r="AE14" i="37"/>
  <c r="AE12" i="37" s="1"/>
  <c r="AE9" i="35"/>
  <c r="AE11" i="37" l="1"/>
  <c r="AF137" i="4"/>
  <c r="CX4" i="135"/>
  <c r="CY4" i="135"/>
  <c r="CZ4" i="135"/>
  <c r="DA4" i="135"/>
  <c r="CX5" i="135"/>
  <c r="CY5" i="135"/>
  <c r="CZ5" i="135"/>
  <c r="DA5" i="135"/>
  <c r="CX6" i="135"/>
  <c r="CY6" i="135"/>
  <c r="CZ6" i="135"/>
  <c r="DA6" i="135"/>
  <c r="CX7" i="135"/>
  <c r="CY7" i="135"/>
  <c r="CZ7" i="135"/>
  <c r="DA7" i="135"/>
  <c r="CX8" i="135"/>
  <c r="CY8" i="135"/>
  <c r="CZ8" i="135"/>
  <c r="DA8" i="135"/>
  <c r="CX9" i="135"/>
  <c r="CY9" i="135"/>
  <c r="CZ9" i="135"/>
  <c r="DA9" i="135"/>
  <c r="CX10" i="135"/>
  <c r="CY10" i="135"/>
  <c r="CZ10" i="135"/>
  <c r="DA10" i="135"/>
  <c r="CX11" i="135"/>
  <c r="CY11" i="135"/>
  <c r="CZ11" i="135"/>
  <c r="DA11" i="135"/>
  <c r="CX12" i="135"/>
  <c r="CY12" i="135"/>
  <c r="CZ12" i="135"/>
  <c r="DA12" i="135"/>
  <c r="CX13" i="135"/>
  <c r="CY13" i="135"/>
  <c r="CZ13" i="135"/>
  <c r="DA13" i="135"/>
  <c r="CX14" i="135"/>
  <c r="CY14" i="135"/>
  <c r="CZ14" i="135"/>
  <c r="DA14" i="135"/>
  <c r="CX15" i="135"/>
  <c r="CY15" i="135"/>
  <c r="CZ15" i="135"/>
  <c r="DA15" i="135"/>
  <c r="CX16" i="135"/>
  <c r="CY16" i="135"/>
  <c r="CZ16" i="135"/>
  <c r="DA16" i="135"/>
  <c r="CX17" i="135"/>
  <c r="CY17" i="135"/>
  <c r="CZ17" i="135"/>
  <c r="DA17" i="135"/>
  <c r="CX18" i="135"/>
  <c r="CY18" i="135"/>
  <c r="CZ18" i="135"/>
  <c r="DA18" i="135"/>
  <c r="CX19" i="135"/>
  <c r="CY19" i="135"/>
  <c r="CZ19" i="135"/>
  <c r="DA19" i="135"/>
  <c r="CX20" i="135"/>
  <c r="CY20" i="135"/>
  <c r="CZ20" i="135"/>
  <c r="DA20" i="135"/>
  <c r="CX21" i="135"/>
  <c r="CY21" i="135"/>
  <c r="CZ21" i="135"/>
  <c r="DA21" i="135"/>
  <c r="CX22" i="135"/>
  <c r="CY22" i="135"/>
  <c r="CZ22" i="135"/>
  <c r="DA22" i="135"/>
  <c r="CX23" i="135"/>
  <c r="CY23" i="135"/>
  <c r="CZ23" i="135"/>
  <c r="DA23" i="135"/>
  <c r="CX24" i="135"/>
  <c r="CY24" i="135"/>
  <c r="CZ24" i="135"/>
  <c r="DA24" i="135"/>
  <c r="CX25" i="135"/>
  <c r="CY25" i="135"/>
  <c r="CZ25" i="135"/>
  <c r="DA25" i="135"/>
  <c r="CX26" i="135"/>
  <c r="CY26" i="135"/>
  <c r="CZ26" i="135"/>
  <c r="DA26" i="135"/>
  <c r="CX27" i="135"/>
  <c r="CY27" i="135"/>
  <c r="CZ27" i="135"/>
  <c r="DA27" i="135"/>
  <c r="CX28" i="135"/>
  <c r="CY28" i="135"/>
  <c r="CZ28" i="135"/>
  <c r="DA28" i="135"/>
  <c r="CX29" i="135"/>
  <c r="CY29" i="135"/>
  <c r="CZ29" i="135"/>
  <c r="DA29" i="135"/>
  <c r="CX30" i="135"/>
  <c r="CY30" i="135"/>
  <c r="CZ30" i="135"/>
  <c r="DA30" i="135"/>
  <c r="CX31" i="135"/>
  <c r="CY31" i="135"/>
  <c r="CZ31" i="135"/>
  <c r="DA31" i="135"/>
  <c r="CX32" i="135"/>
  <c r="CY32" i="135"/>
  <c r="CZ32" i="135"/>
  <c r="DA32" i="135"/>
  <c r="CX33" i="135"/>
  <c r="CY33" i="135"/>
  <c r="CZ33" i="135"/>
  <c r="DA33" i="135"/>
  <c r="CX34" i="135"/>
  <c r="CY34" i="135"/>
  <c r="CZ34" i="135"/>
  <c r="DA34" i="135"/>
  <c r="CX35" i="135"/>
  <c r="CY35" i="135"/>
  <c r="CZ35" i="135"/>
  <c r="DA35" i="135"/>
  <c r="CX36" i="135"/>
  <c r="CY36" i="135"/>
  <c r="CZ36" i="135"/>
  <c r="DA36" i="135"/>
  <c r="CX37" i="135"/>
  <c r="CY37" i="135"/>
  <c r="CZ37" i="135"/>
  <c r="DA37" i="135"/>
  <c r="CX38" i="135"/>
  <c r="CY38" i="135"/>
  <c r="CZ38" i="135"/>
  <c r="DA38" i="135"/>
  <c r="CX39" i="135"/>
  <c r="CY39" i="135"/>
  <c r="CZ39" i="135"/>
  <c r="DA39" i="135"/>
  <c r="CX40" i="135"/>
  <c r="CY40" i="135"/>
  <c r="CZ40" i="135"/>
  <c r="DA40" i="135"/>
  <c r="CX41" i="135"/>
  <c r="CY41" i="135"/>
  <c r="CZ41" i="135"/>
  <c r="DA41" i="135"/>
  <c r="CX42" i="135"/>
  <c r="CY42" i="135"/>
  <c r="CZ42" i="135"/>
  <c r="DA42" i="135"/>
  <c r="CX43" i="135"/>
  <c r="CY43" i="135"/>
  <c r="CZ43" i="135"/>
  <c r="DA43" i="135"/>
  <c r="CX44" i="135"/>
  <c r="CY44" i="135"/>
  <c r="CZ44" i="135"/>
  <c r="DA44" i="135"/>
  <c r="CX45" i="135"/>
  <c r="CY45" i="135"/>
  <c r="CZ45" i="135"/>
  <c r="DA45" i="135"/>
  <c r="CX46" i="135"/>
  <c r="CY46" i="135"/>
  <c r="CZ46" i="135"/>
  <c r="DA46" i="135"/>
  <c r="CX47" i="135"/>
  <c r="CY47" i="135"/>
  <c r="CZ47" i="135"/>
  <c r="DA47" i="135"/>
  <c r="CX48" i="135"/>
  <c r="CY48" i="135"/>
  <c r="CZ48" i="135"/>
  <c r="DA48" i="135"/>
  <c r="CX49" i="135"/>
  <c r="CY49" i="135"/>
  <c r="CZ49" i="135"/>
  <c r="DA49" i="135"/>
  <c r="CX50" i="135"/>
  <c r="CY50" i="135"/>
  <c r="CZ50" i="135"/>
  <c r="DA50" i="135"/>
  <c r="CX51" i="135"/>
  <c r="CY51" i="135"/>
  <c r="CZ51" i="135"/>
  <c r="DA51" i="135"/>
  <c r="CX52" i="135"/>
  <c r="CY52" i="135"/>
  <c r="CZ52" i="135"/>
  <c r="DA52" i="135"/>
  <c r="CX53" i="135"/>
  <c r="CY53" i="135"/>
  <c r="CZ53" i="135"/>
  <c r="DA53" i="135"/>
  <c r="CX54" i="135"/>
  <c r="CY54" i="135"/>
  <c r="CZ54" i="135"/>
  <c r="DA54" i="135"/>
  <c r="CX55" i="135"/>
  <c r="CY55" i="135"/>
  <c r="CZ55" i="135"/>
  <c r="DA55" i="135"/>
  <c r="CX56" i="135"/>
  <c r="CY56" i="135"/>
  <c r="CZ56" i="135"/>
  <c r="DA56" i="135"/>
  <c r="CX57" i="135"/>
  <c r="CY57" i="135"/>
  <c r="CZ57" i="135"/>
  <c r="DA57" i="135"/>
  <c r="CX58" i="135"/>
  <c r="CY58" i="135"/>
  <c r="CZ58" i="135"/>
  <c r="DA58" i="135"/>
  <c r="CX59" i="135"/>
  <c r="CY59" i="135"/>
  <c r="CZ59" i="135"/>
  <c r="DA59" i="135"/>
  <c r="CX60" i="135"/>
  <c r="CY60" i="135"/>
  <c r="CZ60" i="135"/>
  <c r="DA60" i="135"/>
  <c r="CX61" i="135"/>
  <c r="CY61" i="135"/>
  <c r="CZ61" i="135"/>
  <c r="DA61" i="135"/>
  <c r="CX62" i="135"/>
  <c r="CY62" i="135"/>
  <c r="CZ62" i="135"/>
  <c r="DA62" i="135"/>
  <c r="CX63" i="135"/>
  <c r="CY63" i="135"/>
  <c r="CZ63" i="135"/>
  <c r="DA63" i="135"/>
  <c r="CX64" i="135"/>
  <c r="CY64" i="135"/>
  <c r="CZ64" i="135"/>
  <c r="DA64" i="135"/>
  <c r="CX65" i="135"/>
  <c r="CY65" i="135"/>
  <c r="CZ65" i="135"/>
  <c r="DA65" i="135"/>
  <c r="CX66" i="135"/>
  <c r="CY66" i="135"/>
  <c r="CZ66" i="135"/>
  <c r="DA66" i="135"/>
  <c r="CX67" i="135"/>
  <c r="CY67" i="135"/>
  <c r="CZ67" i="135"/>
  <c r="DA67" i="135"/>
  <c r="CX68" i="135"/>
  <c r="CY68" i="135"/>
  <c r="CZ68" i="135"/>
  <c r="DA68" i="135"/>
  <c r="CX69" i="135"/>
  <c r="CY69" i="135"/>
  <c r="CZ69" i="135"/>
  <c r="DA69" i="135"/>
  <c r="CX70" i="135"/>
  <c r="CY70" i="135"/>
  <c r="CZ70" i="135"/>
  <c r="DA70" i="135"/>
  <c r="CX71" i="135"/>
  <c r="CY71" i="135"/>
  <c r="CZ71" i="135"/>
  <c r="DA71" i="135"/>
  <c r="CX72" i="135"/>
  <c r="CY72" i="135"/>
  <c r="CZ72" i="135"/>
  <c r="DA72" i="135"/>
  <c r="CX73" i="135"/>
  <c r="CY73" i="135"/>
  <c r="CZ73" i="135"/>
  <c r="DA73" i="135"/>
  <c r="CX74" i="135"/>
  <c r="CY74" i="135"/>
  <c r="CZ74" i="135"/>
  <c r="DA74" i="135"/>
  <c r="CX75" i="135"/>
  <c r="CY75" i="135"/>
  <c r="CZ75" i="135"/>
  <c r="DA75" i="135"/>
  <c r="CX76" i="135"/>
  <c r="CY76" i="135"/>
  <c r="CZ76" i="135"/>
  <c r="DA76" i="135"/>
  <c r="CX77" i="135"/>
  <c r="CY77" i="135"/>
  <c r="CZ77" i="135"/>
  <c r="DA77" i="135"/>
  <c r="CX78" i="135"/>
  <c r="CY78" i="135"/>
  <c r="CZ78" i="135"/>
  <c r="DA78" i="135"/>
  <c r="CX79" i="135"/>
  <c r="CY79" i="135"/>
  <c r="CZ79" i="135"/>
  <c r="DA79" i="135"/>
  <c r="CX80" i="135"/>
  <c r="CY80" i="135"/>
  <c r="CZ80" i="135"/>
  <c r="DA80" i="135"/>
  <c r="CX81" i="135"/>
  <c r="CY81" i="135"/>
  <c r="CZ81" i="135"/>
  <c r="DA81" i="135"/>
  <c r="CX82" i="135"/>
  <c r="CY82" i="135"/>
  <c r="CZ82" i="135"/>
  <c r="DA82" i="135"/>
  <c r="CX83" i="135"/>
  <c r="CY83" i="135"/>
  <c r="CZ83" i="135"/>
  <c r="DA83" i="135"/>
  <c r="CX84" i="135"/>
  <c r="CY84" i="135"/>
  <c r="CZ84" i="135"/>
  <c r="DA84" i="135"/>
  <c r="CX85" i="135"/>
  <c r="CY85" i="135"/>
  <c r="CZ85" i="135"/>
  <c r="DA85" i="135"/>
  <c r="CX86" i="135"/>
  <c r="CY86" i="135"/>
  <c r="CZ86" i="135"/>
  <c r="DA86" i="135"/>
  <c r="CX87" i="135"/>
  <c r="CY87" i="135"/>
  <c r="CZ87" i="135"/>
  <c r="DA87" i="135"/>
  <c r="CX88" i="135"/>
  <c r="CY88" i="135"/>
  <c r="CZ88" i="135"/>
  <c r="DA88" i="135"/>
  <c r="CX89" i="135"/>
  <c r="CY89" i="135"/>
  <c r="CZ89" i="135"/>
  <c r="DA89" i="135"/>
  <c r="CX90" i="135"/>
  <c r="CY90" i="135"/>
  <c r="CZ90" i="135"/>
  <c r="DA90" i="135"/>
  <c r="CX91" i="135"/>
  <c r="CY91" i="135"/>
  <c r="CZ91" i="135"/>
  <c r="DA91" i="135"/>
  <c r="CX92" i="135"/>
  <c r="CY92" i="135"/>
  <c r="CZ92" i="135"/>
  <c r="DA92" i="135"/>
  <c r="CX93" i="135"/>
  <c r="CY93" i="135"/>
  <c r="CZ93" i="135"/>
  <c r="DA93" i="135"/>
  <c r="CX94" i="135"/>
  <c r="CY94" i="135"/>
  <c r="CZ94" i="135"/>
  <c r="DA94" i="135"/>
  <c r="CX95" i="135"/>
  <c r="CY95" i="135"/>
  <c r="CZ95" i="135"/>
  <c r="DA95" i="135"/>
  <c r="CX96" i="135"/>
  <c r="CY96" i="135"/>
  <c r="CZ96" i="135"/>
  <c r="DA96" i="135"/>
  <c r="CX97" i="135"/>
  <c r="CY97" i="135"/>
  <c r="CZ97" i="135"/>
  <c r="DA97" i="135"/>
  <c r="CX98" i="135"/>
  <c r="CY98" i="135"/>
  <c r="CZ98" i="135"/>
  <c r="DA98" i="135"/>
  <c r="CX99" i="135"/>
  <c r="CY99" i="135"/>
  <c r="CZ99" i="135"/>
  <c r="DA99" i="135"/>
  <c r="CX100" i="135"/>
  <c r="CY100" i="135"/>
  <c r="CZ100" i="135"/>
  <c r="DA100" i="135"/>
  <c r="CX101" i="135"/>
  <c r="CY101" i="135"/>
  <c r="CZ101" i="135"/>
  <c r="DA101" i="135"/>
  <c r="CX102" i="135"/>
  <c r="CY102" i="135"/>
  <c r="CZ102" i="135"/>
  <c r="DA102" i="135"/>
  <c r="CX103" i="135"/>
  <c r="CY103" i="135"/>
  <c r="CZ103" i="135"/>
  <c r="DA103" i="135"/>
  <c r="CX104" i="135"/>
  <c r="CY104" i="135"/>
  <c r="CZ104" i="135"/>
  <c r="DA104" i="135"/>
  <c r="CX105" i="135"/>
  <c r="CY105" i="135"/>
  <c r="CZ105" i="135"/>
  <c r="DA105" i="135"/>
  <c r="CX106" i="135"/>
  <c r="CY106" i="135"/>
  <c r="CZ106" i="135"/>
  <c r="DA106" i="135"/>
  <c r="CX107" i="135"/>
  <c r="CY107" i="135"/>
  <c r="CZ107" i="135"/>
  <c r="DA107" i="135"/>
  <c r="CX108" i="135"/>
  <c r="CY108" i="135"/>
  <c r="CZ108" i="135"/>
  <c r="DA108" i="135"/>
  <c r="CX109" i="135"/>
  <c r="CY109" i="135"/>
  <c r="CZ109" i="135"/>
  <c r="DA109" i="135"/>
  <c r="CX110" i="135"/>
  <c r="CY110" i="135"/>
  <c r="CZ110" i="135"/>
  <c r="DA110" i="135"/>
  <c r="CX111" i="135"/>
  <c r="CY111" i="135"/>
  <c r="CZ111" i="135"/>
  <c r="DA111" i="135"/>
  <c r="CX112" i="135"/>
  <c r="CY112" i="135"/>
  <c r="CZ112" i="135"/>
  <c r="DA112" i="135"/>
  <c r="CX113" i="135"/>
  <c r="CY113" i="135"/>
  <c r="CZ113" i="135"/>
  <c r="DA113" i="135"/>
  <c r="CX114" i="135"/>
  <c r="CY114" i="135"/>
  <c r="CZ114" i="135"/>
  <c r="DA114" i="135"/>
  <c r="CX115" i="135"/>
  <c r="CY115" i="135"/>
  <c r="CZ115" i="135"/>
  <c r="DA115" i="135"/>
  <c r="CX116" i="135"/>
  <c r="CY116" i="135"/>
  <c r="CZ116" i="135"/>
  <c r="DA116" i="135"/>
  <c r="CX117" i="135"/>
  <c r="CY117" i="135"/>
  <c r="CZ117" i="135"/>
  <c r="DA117" i="135"/>
  <c r="CX118" i="135"/>
  <c r="CY118" i="135"/>
  <c r="CZ118" i="135"/>
  <c r="DA118" i="135"/>
  <c r="CX119" i="135"/>
  <c r="CY119" i="135"/>
  <c r="CZ119" i="135"/>
  <c r="DA119" i="135"/>
  <c r="CX120" i="135"/>
  <c r="CY120" i="135"/>
  <c r="CZ120" i="135"/>
  <c r="DA120" i="135"/>
  <c r="CX121" i="135"/>
  <c r="CY121" i="135"/>
  <c r="CZ121" i="135"/>
  <c r="DA121" i="135"/>
  <c r="CX122" i="135"/>
  <c r="CY122" i="135"/>
  <c r="CZ122" i="135"/>
  <c r="DA122" i="135"/>
  <c r="CX123" i="135"/>
  <c r="CY123" i="135"/>
  <c r="CZ123" i="135"/>
  <c r="DA123" i="135"/>
  <c r="CX124" i="135"/>
  <c r="CY124" i="135"/>
  <c r="CZ124" i="135"/>
  <c r="DA124" i="135"/>
  <c r="CX125" i="135"/>
  <c r="CY125" i="135"/>
  <c r="CZ125" i="135"/>
  <c r="DA125" i="135"/>
  <c r="CX126" i="135"/>
  <c r="CY126" i="135"/>
  <c r="CZ126" i="135"/>
  <c r="DA126" i="135"/>
  <c r="CX127" i="135"/>
  <c r="CY127" i="135"/>
  <c r="CZ127" i="135"/>
  <c r="DA127" i="135"/>
  <c r="CX128" i="135"/>
  <c r="CY128" i="135"/>
  <c r="CZ128" i="135"/>
  <c r="DA128" i="135"/>
  <c r="CX129" i="135"/>
  <c r="CY129" i="135"/>
  <c r="CZ129" i="135"/>
  <c r="DA129" i="135"/>
  <c r="CX130" i="135"/>
  <c r="CY130" i="135"/>
  <c r="CZ130" i="135"/>
  <c r="DA130" i="135"/>
  <c r="CX131" i="135"/>
  <c r="CY131" i="135"/>
  <c r="CZ131" i="135"/>
  <c r="DA131" i="135"/>
  <c r="CX132" i="135"/>
  <c r="CY132" i="135"/>
  <c r="CZ132" i="135"/>
  <c r="DA132" i="135"/>
  <c r="CX133" i="135"/>
  <c r="CY133" i="135"/>
  <c r="CZ133" i="135"/>
  <c r="DA133" i="135"/>
  <c r="CX134" i="135"/>
  <c r="CY134" i="135"/>
  <c r="CZ134" i="135"/>
  <c r="DA134" i="135"/>
  <c r="CX135" i="135"/>
  <c r="CY135" i="135"/>
  <c r="CZ135" i="135"/>
  <c r="DA135" i="135"/>
  <c r="CX136" i="135"/>
  <c r="CY136" i="135"/>
  <c r="CZ136" i="135"/>
  <c r="DA136" i="135"/>
  <c r="CX137" i="135"/>
  <c r="CY137" i="135"/>
  <c r="CZ137" i="135"/>
  <c r="DA137" i="135"/>
  <c r="CX138" i="135"/>
  <c r="CY138" i="135"/>
  <c r="CZ138" i="135"/>
  <c r="DA138" i="135"/>
  <c r="CX139" i="135"/>
  <c r="CY139" i="135"/>
  <c r="CZ139" i="135"/>
  <c r="DA139" i="135"/>
  <c r="CX140" i="135"/>
  <c r="CY140" i="135"/>
  <c r="CZ140" i="135"/>
  <c r="DA140" i="135"/>
  <c r="CX141" i="135"/>
  <c r="CY141" i="135"/>
  <c r="CZ141" i="135"/>
  <c r="DA141" i="135"/>
  <c r="CX142" i="135"/>
  <c r="CY142" i="135"/>
  <c r="CZ142" i="135"/>
  <c r="DA142" i="135"/>
  <c r="CX143" i="135"/>
  <c r="CY143" i="135"/>
  <c r="CZ143" i="135"/>
  <c r="DA143" i="135"/>
  <c r="CX144" i="135"/>
  <c r="CY144" i="135"/>
  <c r="CZ144" i="135"/>
  <c r="DA144" i="135"/>
  <c r="CX145" i="135"/>
  <c r="CY145" i="135"/>
  <c r="CZ145" i="135"/>
  <c r="DA145" i="135"/>
  <c r="CX146" i="135"/>
  <c r="CY146" i="135"/>
  <c r="CZ146" i="135"/>
  <c r="DA146" i="135"/>
  <c r="CX147" i="135"/>
  <c r="CY147" i="135"/>
  <c r="CZ147" i="135"/>
  <c r="DA147" i="135"/>
  <c r="CX148" i="135"/>
  <c r="CY148" i="135"/>
  <c r="CZ148" i="135"/>
  <c r="DA148" i="135"/>
  <c r="CX149" i="135"/>
  <c r="CY149" i="135"/>
  <c r="CZ149" i="135"/>
  <c r="DA149" i="135"/>
  <c r="CX150" i="135"/>
  <c r="CY150" i="135"/>
  <c r="CZ150" i="135"/>
  <c r="DA150" i="135"/>
  <c r="CX151" i="135"/>
  <c r="CY151" i="135"/>
  <c r="CZ151" i="135"/>
  <c r="DA151" i="135"/>
  <c r="CX152" i="135"/>
  <c r="CY152" i="135"/>
  <c r="CZ152" i="135"/>
  <c r="DA152" i="135"/>
  <c r="CX153" i="135"/>
  <c r="CY153" i="135"/>
  <c r="CZ153" i="135"/>
  <c r="DA153" i="135"/>
  <c r="CX154" i="135"/>
  <c r="CY154" i="135"/>
  <c r="CZ154" i="135"/>
  <c r="DA154" i="135"/>
  <c r="CX155" i="135"/>
  <c r="CY155" i="135"/>
  <c r="CZ155" i="135"/>
  <c r="DA155" i="135"/>
  <c r="CX156" i="135"/>
  <c r="CY156" i="135"/>
  <c r="CZ156" i="135"/>
  <c r="DA156" i="135"/>
  <c r="CX157" i="135"/>
  <c r="CY157" i="135"/>
  <c r="CZ157" i="135"/>
  <c r="DA157" i="135"/>
  <c r="CX158" i="135"/>
  <c r="CY158" i="135"/>
  <c r="CZ158" i="135"/>
  <c r="DA158" i="135"/>
  <c r="CX159" i="135"/>
  <c r="CY159" i="135"/>
  <c r="CZ159" i="135"/>
  <c r="DA159" i="135"/>
  <c r="CX160" i="135"/>
  <c r="CY160" i="135"/>
  <c r="CZ160" i="135"/>
  <c r="DA160" i="135"/>
  <c r="CX161" i="135"/>
  <c r="CY161" i="135"/>
  <c r="CZ161" i="135"/>
  <c r="DA161" i="135"/>
  <c r="CX162" i="135"/>
  <c r="CY162" i="135"/>
  <c r="CZ162" i="135"/>
  <c r="DA162" i="135"/>
  <c r="CY3" i="135"/>
  <c r="CZ3" i="135"/>
  <c r="DA3" i="135"/>
  <c r="CX3" i="135"/>
  <c r="CP4" i="135"/>
  <c r="AF11" i="4" s="1"/>
  <c r="CP5" i="135"/>
  <c r="AF12" i="4" s="1"/>
  <c r="CP6" i="135"/>
  <c r="AF13" i="4" s="1"/>
  <c r="CP7" i="135"/>
  <c r="AF14" i="4" s="1"/>
  <c r="CP8" i="135"/>
  <c r="AF15" i="4" s="1"/>
  <c r="CP9" i="135"/>
  <c r="AF16" i="4" s="1"/>
  <c r="CP10" i="135"/>
  <c r="AF17" i="4" s="1"/>
  <c r="CP11" i="135"/>
  <c r="AF18" i="4" s="1"/>
  <c r="CP12" i="135"/>
  <c r="AF19" i="4" s="1"/>
  <c r="CP13" i="135"/>
  <c r="AF20" i="4" s="1"/>
  <c r="CP14" i="135"/>
  <c r="AF21" i="4" s="1"/>
  <c r="CP15" i="135"/>
  <c r="AF22" i="4" s="1"/>
  <c r="CP16" i="135"/>
  <c r="AF23" i="4" s="1"/>
  <c r="CP17" i="135"/>
  <c r="AF25" i="4" s="1"/>
  <c r="CP18" i="135"/>
  <c r="AF27" i="4" s="1"/>
  <c r="CP19" i="135"/>
  <c r="CP20" i="135"/>
  <c r="CP21" i="135"/>
  <c r="CP22" i="135"/>
  <c r="AF32" i="4" s="1"/>
  <c r="CP23" i="135"/>
  <c r="AF33" i="4" s="1"/>
  <c r="CP24" i="135"/>
  <c r="AF34" i="4" s="1"/>
  <c r="CP25" i="135"/>
  <c r="AF35" i="4" s="1"/>
  <c r="CP26" i="135"/>
  <c r="AF37" i="4" s="1"/>
  <c r="CP27" i="135"/>
  <c r="CP28" i="135"/>
  <c r="AF41" i="4" s="1"/>
  <c r="CP29" i="135"/>
  <c r="AF42" i="4" s="1"/>
  <c r="CP30" i="135"/>
  <c r="AF43" i="4" s="1"/>
  <c r="CP31" i="135"/>
  <c r="AF44" i="4" s="1"/>
  <c r="CP32" i="135"/>
  <c r="AF45" i="4" s="1"/>
  <c r="CP33" i="135"/>
  <c r="AF46" i="4" s="1"/>
  <c r="CP34" i="135"/>
  <c r="AF48" i="4" s="1"/>
  <c r="CP35" i="135"/>
  <c r="AF49" i="4" s="1"/>
  <c r="CP36" i="135"/>
  <c r="AF50" i="4" s="1"/>
  <c r="CP37" i="135"/>
  <c r="CP38" i="135"/>
  <c r="CP39" i="135"/>
  <c r="AF54" i="4" s="1"/>
  <c r="CP40" i="135"/>
  <c r="AF56" i="4" s="1"/>
  <c r="CP41" i="135"/>
  <c r="AF58" i="4" s="1"/>
  <c r="CP42" i="135"/>
  <c r="CP43" i="135"/>
  <c r="CP44" i="135"/>
  <c r="AF51" i="4" s="1"/>
  <c r="CP45" i="135"/>
  <c r="AF63" i="4" s="1"/>
  <c r="CP46" i="135"/>
  <c r="AF64" i="4" s="1"/>
  <c r="CP47" i="135"/>
  <c r="AF65" i="4" s="1"/>
  <c r="CP48" i="135"/>
  <c r="AF66" i="4" s="1"/>
  <c r="CP49" i="135"/>
  <c r="CP50" i="135"/>
  <c r="CP51" i="135"/>
  <c r="AF72" i="4" s="1"/>
  <c r="CP52" i="135"/>
  <c r="AF73" i="4" s="1"/>
  <c r="CP53" i="135"/>
  <c r="AF74" i="4" s="1"/>
  <c r="CP54" i="135"/>
  <c r="AF75" i="4" s="1"/>
  <c r="CP55" i="135"/>
  <c r="AF76" i="4" s="1"/>
  <c r="CP56" i="135"/>
  <c r="AF78" i="4" s="1"/>
  <c r="CP57" i="135"/>
  <c r="CP58" i="135"/>
  <c r="CP59" i="135"/>
  <c r="CP60" i="135"/>
  <c r="AF83" i="4" s="1"/>
  <c r="CP61" i="135"/>
  <c r="AF84" i="4" s="1"/>
  <c r="CP62" i="135"/>
  <c r="AF85" i="4" s="1"/>
  <c r="CP63" i="135"/>
  <c r="AF86" i="4" s="1"/>
  <c r="CP64" i="135"/>
  <c r="AF71" i="4" s="1"/>
  <c r="CP65" i="135"/>
  <c r="CP66" i="135"/>
  <c r="CP67" i="135"/>
  <c r="AF92" i="4" s="1"/>
  <c r="CP68" i="135"/>
  <c r="CP69" i="135"/>
  <c r="AF94" i="4" s="1"/>
  <c r="CP70" i="135"/>
  <c r="AF96" i="4" s="1"/>
  <c r="CP71" i="135"/>
  <c r="AF98" i="4" s="1"/>
  <c r="CP72" i="135"/>
  <c r="AF99" i="4" s="1"/>
  <c r="CP73" i="135"/>
  <c r="AF100" i="4" s="1"/>
  <c r="CP74" i="135"/>
  <c r="AF101" i="4" s="1"/>
  <c r="CP75" i="135"/>
  <c r="AF102" i="4" s="1"/>
  <c r="CP76" i="135"/>
  <c r="AF103" i="4" s="1"/>
  <c r="CP77" i="135"/>
  <c r="AF105" i="4" s="1"/>
  <c r="CP78" i="135"/>
  <c r="AF106" i="4" s="1"/>
  <c r="CP79" i="135"/>
  <c r="AF107" i="4" s="1"/>
  <c r="CP80" i="135"/>
  <c r="AF108" i="4" s="1"/>
  <c r="CP81" i="135"/>
  <c r="AF109" i="4" s="1"/>
  <c r="CP82" i="135"/>
  <c r="AF113" i="4" s="1"/>
  <c r="CP83" i="135"/>
  <c r="AF115" i="4" s="1"/>
  <c r="CP84" i="135"/>
  <c r="AF116" i="4" s="1"/>
  <c r="CP85" i="135"/>
  <c r="AF117" i="4" s="1"/>
  <c r="CP86" i="135"/>
  <c r="AF118" i="4" s="1"/>
  <c r="CP87" i="135"/>
  <c r="AF119" i="4" s="1"/>
  <c r="CP88" i="135"/>
  <c r="AF121" i="4" s="1"/>
  <c r="CP89" i="135"/>
  <c r="AF122" i="4" s="1"/>
  <c r="CP90" i="135"/>
  <c r="AF124" i="4" s="1"/>
  <c r="CP91" i="135"/>
  <c r="AF125" i="4" s="1"/>
  <c r="CP92" i="135"/>
  <c r="AF126" i="4" s="1"/>
  <c r="CP93" i="135"/>
  <c r="CP94" i="135"/>
  <c r="AF128" i="4" s="1"/>
  <c r="CP95" i="135"/>
  <c r="CP96" i="135"/>
  <c r="AF130" i="4" s="1"/>
  <c r="CP97" i="135"/>
  <c r="AF131" i="4" s="1"/>
  <c r="CP98" i="135"/>
  <c r="AF133" i="4" s="1"/>
  <c r="CP99" i="135"/>
  <c r="AF134" i="4" s="1"/>
  <c r="CP100" i="135"/>
  <c r="AF135" i="4" s="1"/>
  <c r="CP101" i="135"/>
  <c r="AF136" i="4" s="1"/>
  <c r="CP102" i="135"/>
  <c r="CP103" i="135"/>
  <c r="AF138" i="4" s="1"/>
  <c r="CP104" i="135"/>
  <c r="AF139" i="4" s="1"/>
  <c r="CP105" i="135"/>
  <c r="AF141" i="4" s="1"/>
  <c r="CP106" i="135"/>
  <c r="AF146" i="4" s="1"/>
  <c r="CP107" i="135"/>
  <c r="AF155" i="4" s="1"/>
  <c r="CP108" i="135"/>
  <c r="AF159" i="4" s="1"/>
  <c r="CP109" i="135"/>
  <c r="AF168" i="4" s="1"/>
  <c r="CP110" i="135"/>
  <c r="AF169" i="4" s="1"/>
  <c r="CP111" i="135"/>
  <c r="AF170" i="4" s="1"/>
  <c r="CP112" i="135"/>
  <c r="CP113" i="135"/>
  <c r="CP114" i="135"/>
  <c r="AF174" i="4" s="1"/>
  <c r="CP115" i="135"/>
  <c r="CP116" i="135"/>
  <c r="AF179" i="4" s="1"/>
  <c r="CP117" i="135"/>
  <c r="AF180" i="4" s="1"/>
  <c r="CP118" i="135"/>
  <c r="AF182" i="4" s="1"/>
  <c r="CP119" i="135"/>
  <c r="CP120" i="135"/>
  <c r="CP121" i="135"/>
  <c r="AF184" i="4" s="1"/>
  <c r="CP122" i="135"/>
  <c r="CP123" i="135"/>
  <c r="CP3" i="135"/>
  <c r="AF10" i="4" l="1"/>
  <c r="AF9" i="4" s="1"/>
  <c r="BC4" i="131"/>
  <c r="BC5" i="131"/>
  <c r="BC3" i="131"/>
  <c r="BL4" i="131"/>
  <c r="BL5" i="131"/>
  <c r="BL3" i="131"/>
  <c r="BL2" i="131"/>
  <c r="AC30" i="37"/>
  <c r="AC28" i="37"/>
  <c r="AC26" i="37"/>
  <c r="AC23" i="37"/>
  <c r="DF4" i="132" l="1"/>
  <c r="DG4" i="132"/>
  <c r="DH4" i="132"/>
  <c r="DF5" i="132"/>
  <c r="DG5" i="132"/>
  <c r="DH5" i="132"/>
  <c r="DF6" i="132"/>
  <c r="DG6" i="132"/>
  <c r="DH6" i="132"/>
  <c r="DF7" i="132"/>
  <c r="DG7" i="132"/>
  <c r="DH7" i="132"/>
  <c r="DF8" i="132"/>
  <c r="DG8" i="132"/>
  <c r="DH8" i="132"/>
  <c r="DF9" i="132"/>
  <c r="DG9" i="132"/>
  <c r="DH9" i="132"/>
  <c r="DF10" i="132"/>
  <c r="DG10" i="132"/>
  <c r="DH10" i="132"/>
  <c r="DF11" i="132"/>
  <c r="DG11" i="132"/>
  <c r="DH11" i="132"/>
  <c r="DF12" i="132"/>
  <c r="DG12" i="132"/>
  <c r="DH12" i="132"/>
  <c r="DF13" i="132"/>
  <c r="DG13" i="132"/>
  <c r="DH13" i="132"/>
  <c r="DF14" i="132"/>
  <c r="DG14" i="132"/>
  <c r="DH14" i="132"/>
  <c r="DF15" i="132"/>
  <c r="DG15" i="132"/>
  <c r="DH15" i="132"/>
  <c r="DF16" i="132"/>
  <c r="DG16" i="132"/>
  <c r="DH16" i="132"/>
  <c r="DF17" i="132"/>
  <c r="DG17" i="132"/>
  <c r="DH17" i="132"/>
  <c r="DF18" i="132"/>
  <c r="DG18" i="132"/>
  <c r="DH18" i="132"/>
  <c r="DF19" i="132"/>
  <c r="DG19" i="132"/>
  <c r="DH19" i="132"/>
  <c r="DF20" i="132"/>
  <c r="DG20" i="132"/>
  <c r="DH20" i="132"/>
  <c r="DF21" i="132"/>
  <c r="DG21" i="132"/>
  <c r="DH21" i="132"/>
  <c r="DF22" i="132"/>
  <c r="DG22" i="132"/>
  <c r="DH22" i="132"/>
  <c r="DF23" i="132"/>
  <c r="DG23" i="132"/>
  <c r="DH23" i="132"/>
  <c r="DF24" i="132"/>
  <c r="DG24" i="132"/>
  <c r="DH24" i="132"/>
  <c r="DF25" i="132"/>
  <c r="DG25" i="132"/>
  <c r="DH25" i="132"/>
  <c r="DF26" i="132"/>
  <c r="DG26" i="132"/>
  <c r="DH26" i="132"/>
  <c r="DF27" i="132"/>
  <c r="DG27" i="132"/>
  <c r="DH27" i="132"/>
  <c r="DF28" i="132"/>
  <c r="H78" i="37" s="1"/>
  <c r="DG28" i="132"/>
  <c r="DH28" i="132"/>
  <c r="DF29" i="132"/>
  <c r="DG29" i="132"/>
  <c r="DH29" i="132"/>
  <c r="DF30" i="132"/>
  <c r="DG30" i="132"/>
  <c r="DH30" i="132"/>
  <c r="DF31" i="132"/>
  <c r="DG31" i="132"/>
  <c r="DH31" i="132"/>
  <c r="DF32" i="132"/>
  <c r="DG32" i="132"/>
  <c r="DH32" i="132"/>
  <c r="DF33" i="132"/>
  <c r="DG33" i="132"/>
  <c r="DH33" i="132"/>
  <c r="DF34" i="132"/>
  <c r="DG34" i="132"/>
  <c r="DH34" i="132"/>
  <c r="DF35" i="132"/>
  <c r="DG35" i="132"/>
  <c r="DH35" i="132"/>
  <c r="DF36" i="132"/>
  <c r="DG36" i="132"/>
  <c r="DH36" i="132"/>
  <c r="DF37" i="132"/>
  <c r="DG37" i="132"/>
  <c r="DH37" i="132"/>
  <c r="DF38" i="132"/>
  <c r="DG38" i="132"/>
  <c r="DH38" i="132"/>
  <c r="DF39" i="132"/>
  <c r="DG39" i="132"/>
  <c r="DH39" i="132"/>
  <c r="DF40" i="132"/>
  <c r="DG40" i="132"/>
  <c r="DH40" i="132"/>
  <c r="DF41" i="132"/>
  <c r="DG41" i="132"/>
  <c r="DH41" i="132"/>
  <c r="DF42" i="132"/>
  <c r="DG42" i="132"/>
  <c r="DH42" i="132"/>
  <c r="DF43" i="132"/>
  <c r="DG43" i="132"/>
  <c r="DH43" i="132"/>
  <c r="DF44" i="132"/>
  <c r="DG44" i="132"/>
  <c r="DH44" i="132"/>
  <c r="DF45" i="132"/>
  <c r="DG45" i="132"/>
  <c r="DH45" i="132"/>
  <c r="DF46" i="132"/>
  <c r="DG46" i="132"/>
  <c r="DH46" i="132"/>
  <c r="DF47" i="132"/>
  <c r="DG47" i="132"/>
  <c r="DH47" i="132"/>
  <c r="DF48" i="132"/>
  <c r="DG48" i="132"/>
  <c r="DH48" i="132"/>
  <c r="DF49" i="132"/>
  <c r="DG49" i="132"/>
  <c r="DH49" i="132"/>
  <c r="DF50" i="132"/>
  <c r="DG50" i="132"/>
  <c r="DH50" i="132"/>
  <c r="DF51" i="132"/>
  <c r="DG51" i="132"/>
  <c r="DH51" i="132"/>
  <c r="DG3" i="132"/>
  <c r="DH3" i="132"/>
  <c r="DF3" i="132"/>
  <c r="CV4" i="132"/>
  <c r="AC19" i="37" s="1"/>
  <c r="CV5" i="132"/>
  <c r="AC17" i="37" s="1"/>
  <c r="CV6" i="132"/>
  <c r="AC39" i="37" s="1"/>
  <c r="CV7" i="132"/>
  <c r="AC40" i="37" s="1"/>
  <c r="CV8" i="132"/>
  <c r="AC41" i="37" s="1"/>
  <c r="CV9" i="132"/>
  <c r="AC42" i="37" s="1"/>
  <c r="CV10" i="132"/>
  <c r="AC44" i="37" s="1"/>
  <c r="CV11" i="132"/>
  <c r="AC46" i="37" s="1"/>
  <c r="CV12" i="132"/>
  <c r="AC47" i="37" s="1"/>
  <c r="CV13" i="132"/>
  <c r="AC48" i="37" s="1"/>
  <c r="CV14" i="132"/>
  <c r="AC49" i="37" s="1"/>
  <c r="CV15" i="132"/>
  <c r="AC52" i="37" s="1"/>
  <c r="CV3" i="132"/>
  <c r="AC37" i="35"/>
  <c r="AC28" i="35"/>
  <c r="DC4" i="133"/>
  <c r="DD4" i="133"/>
  <c r="L11" i="35" s="1"/>
  <c r="DE4" i="133"/>
  <c r="DC5" i="133"/>
  <c r="DD5" i="133"/>
  <c r="DE5" i="133"/>
  <c r="DC6" i="133"/>
  <c r="DD6" i="133"/>
  <c r="DE6" i="133"/>
  <c r="DC7" i="133"/>
  <c r="DD7" i="133"/>
  <c r="DE7" i="133"/>
  <c r="DC8" i="133"/>
  <c r="DD8" i="133"/>
  <c r="DE8" i="133"/>
  <c r="DC9" i="133"/>
  <c r="DD9" i="133"/>
  <c r="DE9" i="133"/>
  <c r="DC10" i="133"/>
  <c r="DD10" i="133"/>
  <c r="DE10" i="133"/>
  <c r="DC11" i="133"/>
  <c r="DD11" i="133"/>
  <c r="DE11" i="133"/>
  <c r="DC12" i="133"/>
  <c r="DD12" i="133"/>
  <c r="DE12" i="133"/>
  <c r="DC13" i="133"/>
  <c r="DD13" i="133"/>
  <c r="DE13" i="133"/>
  <c r="DC14" i="133"/>
  <c r="DD14" i="133"/>
  <c r="DE14" i="133"/>
  <c r="DC15" i="133"/>
  <c r="DD15" i="133"/>
  <c r="DE15" i="133"/>
  <c r="DC16" i="133"/>
  <c r="DD16" i="133"/>
  <c r="DE16" i="133"/>
  <c r="DC17" i="133"/>
  <c r="DD17" i="133"/>
  <c r="DE17" i="133"/>
  <c r="DC18" i="133"/>
  <c r="DD18" i="133"/>
  <c r="DE18" i="133"/>
  <c r="DC19" i="133"/>
  <c r="DD19" i="133"/>
  <c r="DE19" i="133"/>
  <c r="DC20" i="133"/>
  <c r="DD20" i="133"/>
  <c r="DE20" i="133"/>
  <c r="DC21" i="133"/>
  <c r="DD21" i="133"/>
  <c r="DE21" i="133"/>
  <c r="DC22" i="133"/>
  <c r="DD22" i="133"/>
  <c r="DE22" i="133"/>
  <c r="DC23" i="133"/>
  <c r="DD23" i="133"/>
  <c r="DE23" i="133"/>
  <c r="DC24" i="133"/>
  <c r="DD24" i="133"/>
  <c r="DE24" i="133"/>
  <c r="DC25" i="133"/>
  <c r="DD25" i="133"/>
  <c r="DE25" i="133"/>
  <c r="DC26" i="133"/>
  <c r="DD26" i="133"/>
  <c r="DE26" i="133"/>
  <c r="DC27" i="133"/>
  <c r="DD27" i="133"/>
  <c r="DE27" i="133"/>
  <c r="DC28" i="133"/>
  <c r="DD28" i="133"/>
  <c r="DE28" i="133"/>
  <c r="DC29" i="133"/>
  <c r="DD29" i="133"/>
  <c r="DE29" i="133"/>
  <c r="DC30" i="133"/>
  <c r="DD30" i="133"/>
  <c r="DE30" i="133"/>
  <c r="DC31" i="133"/>
  <c r="DD31" i="133"/>
  <c r="DE31" i="133"/>
  <c r="DC32" i="133"/>
  <c r="DD32" i="133"/>
  <c r="DE32" i="133"/>
  <c r="DC33" i="133"/>
  <c r="DD33" i="133"/>
  <c r="DE33" i="133"/>
  <c r="DC34" i="133"/>
  <c r="DD34" i="133"/>
  <c r="DE34" i="133"/>
  <c r="DC35" i="133"/>
  <c r="DD35" i="133"/>
  <c r="DE35" i="133"/>
  <c r="DC36" i="133"/>
  <c r="DD36" i="133"/>
  <c r="DE36" i="133"/>
  <c r="DC37" i="133"/>
  <c r="DD37" i="133"/>
  <c r="DE37" i="133"/>
  <c r="DC38" i="133"/>
  <c r="DD38" i="133"/>
  <c r="DE38" i="133"/>
  <c r="DC39" i="133"/>
  <c r="DD39" i="133"/>
  <c r="DE39" i="133"/>
  <c r="DC40" i="133"/>
  <c r="DD40" i="133"/>
  <c r="DE40" i="133"/>
  <c r="DC41" i="133"/>
  <c r="DD41" i="133"/>
  <c r="DE41" i="133"/>
  <c r="DC42" i="133"/>
  <c r="DD42" i="133"/>
  <c r="DE42" i="133"/>
  <c r="DC43" i="133"/>
  <c r="DD43" i="133"/>
  <c r="DE43" i="133"/>
  <c r="DC44" i="133"/>
  <c r="DD44" i="133"/>
  <c r="DE44" i="133"/>
  <c r="DC45" i="133"/>
  <c r="DD45" i="133"/>
  <c r="DE45" i="133"/>
  <c r="DC46" i="133"/>
  <c r="DD46" i="133"/>
  <c r="DE46" i="133"/>
  <c r="DC47" i="133"/>
  <c r="DD47" i="133"/>
  <c r="DE47" i="133"/>
  <c r="DC48" i="133"/>
  <c r="DD48" i="133"/>
  <c r="DE48" i="133"/>
  <c r="DC49" i="133"/>
  <c r="DD49" i="133"/>
  <c r="DE49" i="133"/>
  <c r="DC50" i="133"/>
  <c r="DD50" i="133"/>
  <c r="DE50" i="133"/>
  <c r="DD3" i="133"/>
  <c r="DE3" i="133"/>
  <c r="DC3" i="133"/>
  <c r="CS4" i="133"/>
  <c r="AC19" i="35" s="1"/>
  <c r="CS5" i="133"/>
  <c r="AC21" i="35" s="1"/>
  <c r="CS6" i="133"/>
  <c r="AC23" i="35" s="1"/>
  <c r="CS7" i="133"/>
  <c r="AC25" i="35" s="1"/>
  <c r="CS8" i="133"/>
  <c r="AC27" i="35" s="1"/>
  <c r="AC26" i="35" s="1"/>
  <c r="CS9" i="133"/>
  <c r="AC33" i="35" s="1"/>
  <c r="CS10" i="133"/>
  <c r="AC36" i="35" s="1"/>
  <c r="CS11" i="133"/>
  <c r="AC44" i="35" s="1"/>
  <c r="AC42" i="35" s="1"/>
  <c r="AC41" i="35" s="1"/>
  <c r="AC40" i="35" s="1"/>
  <c r="CS3" i="133"/>
  <c r="AC17" i="35" s="1"/>
  <c r="I198" i="39"/>
  <c r="H198" i="39"/>
  <c r="AC38" i="37" l="1"/>
  <c r="AC43" i="37"/>
  <c r="AC30" i="35"/>
  <c r="AC20" i="35"/>
  <c r="AC14" i="35"/>
  <c r="CV16" i="132"/>
  <c r="AC18" i="37"/>
  <c r="AC16" i="37" s="1"/>
  <c r="CH4" i="135"/>
  <c r="CI4" i="135"/>
  <c r="CJ4" i="135"/>
  <c r="CK4" i="135"/>
  <c r="CH5" i="135"/>
  <c r="CI5" i="135"/>
  <c r="CJ5" i="135"/>
  <c r="CK5" i="135"/>
  <c r="CH6" i="135"/>
  <c r="CI6" i="135"/>
  <c r="CJ6" i="135"/>
  <c r="CK6" i="135"/>
  <c r="CH7" i="135"/>
  <c r="CI7" i="135"/>
  <c r="CJ7" i="135"/>
  <c r="CK7" i="135"/>
  <c r="CH8" i="135"/>
  <c r="CI8" i="135"/>
  <c r="CJ8" i="135"/>
  <c r="CK8" i="135"/>
  <c r="CH9" i="135"/>
  <c r="CI9" i="135"/>
  <c r="CJ9" i="135"/>
  <c r="CK9" i="135"/>
  <c r="CH10" i="135"/>
  <c r="CI10" i="135"/>
  <c r="CJ10" i="135"/>
  <c r="CK10" i="135"/>
  <c r="CH11" i="135"/>
  <c r="CI11" i="135"/>
  <c r="CJ11" i="135"/>
  <c r="CK11" i="135"/>
  <c r="CH12" i="135"/>
  <c r="CI12" i="135"/>
  <c r="CJ12" i="135"/>
  <c r="CK12" i="135"/>
  <c r="CH13" i="135"/>
  <c r="CI13" i="135"/>
  <c r="CJ13" i="135"/>
  <c r="CK13" i="135"/>
  <c r="CH14" i="135"/>
  <c r="CI14" i="135"/>
  <c r="CJ14" i="135"/>
  <c r="CK14" i="135"/>
  <c r="CH15" i="135"/>
  <c r="CI15" i="135"/>
  <c r="CJ15" i="135"/>
  <c r="CK15" i="135"/>
  <c r="CH16" i="135"/>
  <c r="CI16" i="135"/>
  <c r="CJ16" i="135"/>
  <c r="CK16" i="135"/>
  <c r="CH17" i="135"/>
  <c r="CI17" i="135"/>
  <c r="CJ17" i="135"/>
  <c r="CK17" i="135"/>
  <c r="CH18" i="135"/>
  <c r="CI18" i="135"/>
  <c r="CJ18" i="135"/>
  <c r="CK18" i="135"/>
  <c r="CH19" i="135"/>
  <c r="CI19" i="135"/>
  <c r="CJ19" i="135"/>
  <c r="CK19" i="135"/>
  <c r="CH20" i="135"/>
  <c r="CI20" i="135"/>
  <c r="CJ20" i="135"/>
  <c r="CK20" i="135"/>
  <c r="CH21" i="135"/>
  <c r="CI21" i="135"/>
  <c r="CJ21" i="135"/>
  <c r="CK21" i="135"/>
  <c r="CH22" i="135"/>
  <c r="CI22" i="135"/>
  <c r="CJ22" i="135"/>
  <c r="CK22" i="135"/>
  <c r="CH23" i="135"/>
  <c r="CI23" i="135"/>
  <c r="CJ23" i="135"/>
  <c r="CK23" i="135"/>
  <c r="CH24" i="135"/>
  <c r="CI24" i="135"/>
  <c r="CJ24" i="135"/>
  <c r="CK24" i="135"/>
  <c r="CH25" i="135"/>
  <c r="CI25" i="135"/>
  <c r="CJ25" i="135"/>
  <c r="CK25" i="135"/>
  <c r="CH26" i="135"/>
  <c r="CI26" i="135"/>
  <c r="CJ26" i="135"/>
  <c r="CK26" i="135"/>
  <c r="CH27" i="135"/>
  <c r="CI27" i="135"/>
  <c r="CJ27" i="135"/>
  <c r="CK27" i="135"/>
  <c r="CH28" i="135"/>
  <c r="CI28" i="135"/>
  <c r="CJ28" i="135"/>
  <c r="CK28" i="135"/>
  <c r="CH29" i="135"/>
  <c r="CI29" i="135"/>
  <c r="CJ29" i="135"/>
  <c r="CK29" i="135"/>
  <c r="CH30" i="135"/>
  <c r="CI30" i="135"/>
  <c r="CJ30" i="135"/>
  <c r="CK30" i="135"/>
  <c r="CH31" i="135"/>
  <c r="CI31" i="135"/>
  <c r="CJ31" i="135"/>
  <c r="CK31" i="135"/>
  <c r="CH32" i="135"/>
  <c r="CI32" i="135"/>
  <c r="CJ32" i="135"/>
  <c r="CK32" i="135"/>
  <c r="CH33" i="135"/>
  <c r="CI33" i="135"/>
  <c r="CJ33" i="135"/>
  <c r="CK33" i="135"/>
  <c r="CH34" i="135"/>
  <c r="CI34" i="135"/>
  <c r="CJ34" i="135"/>
  <c r="CK34" i="135"/>
  <c r="CH35" i="135"/>
  <c r="CI35" i="135"/>
  <c r="CJ35" i="135"/>
  <c r="CK35" i="135"/>
  <c r="CH36" i="135"/>
  <c r="CI36" i="135"/>
  <c r="CJ36" i="135"/>
  <c r="CK36" i="135"/>
  <c r="CH37" i="135"/>
  <c r="CI37" i="135"/>
  <c r="CJ37" i="135"/>
  <c r="CK37" i="135"/>
  <c r="CH38" i="135"/>
  <c r="CI38" i="135"/>
  <c r="CJ38" i="135"/>
  <c r="CK38" i="135"/>
  <c r="CH39" i="135"/>
  <c r="CI39" i="135"/>
  <c r="CJ39" i="135"/>
  <c r="CK39" i="135"/>
  <c r="CH40" i="135"/>
  <c r="CI40" i="135"/>
  <c r="CJ40" i="135"/>
  <c r="CK40" i="135"/>
  <c r="CH41" i="135"/>
  <c r="CI41" i="135"/>
  <c r="CJ41" i="135"/>
  <c r="CK41" i="135"/>
  <c r="CH42" i="135"/>
  <c r="CI42" i="135"/>
  <c r="CJ42" i="135"/>
  <c r="CK42" i="135"/>
  <c r="CH43" i="135"/>
  <c r="CI43" i="135"/>
  <c r="CJ43" i="135"/>
  <c r="CK43" i="135"/>
  <c r="CH44" i="135"/>
  <c r="CI44" i="135"/>
  <c r="CJ44" i="135"/>
  <c r="CK44" i="135"/>
  <c r="CH45" i="135"/>
  <c r="CI45" i="135"/>
  <c r="CJ45" i="135"/>
  <c r="CK45" i="135"/>
  <c r="CH46" i="135"/>
  <c r="CI46" i="135"/>
  <c r="CJ46" i="135"/>
  <c r="CK46" i="135"/>
  <c r="CH47" i="135"/>
  <c r="CI47" i="135"/>
  <c r="CJ47" i="135"/>
  <c r="CK47" i="135"/>
  <c r="CH48" i="135"/>
  <c r="CI48" i="135"/>
  <c r="CJ48" i="135"/>
  <c r="CK48" i="135"/>
  <c r="CH49" i="135"/>
  <c r="CI49" i="135"/>
  <c r="CJ49" i="135"/>
  <c r="CK49" i="135"/>
  <c r="CH50" i="135"/>
  <c r="CI50" i="135"/>
  <c r="CJ50" i="135"/>
  <c r="CK50" i="135"/>
  <c r="CH51" i="135"/>
  <c r="CI51" i="135"/>
  <c r="CJ51" i="135"/>
  <c r="CK51" i="135"/>
  <c r="CH52" i="135"/>
  <c r="CI52" i="135"/>
  <c r="CJ52" i="135"/>
  <c r="CK52" i="135"/>
  <c r="CH53" i="135"/>
  <c r="CI53" i="135"/>
  <c r="CJ53" i="135"/>
  <c r="CK53" i="135"/>
  <c r="CH54" i="135"/>
  <c r="CI54" i="135"/>
  <c r="CJ54" i="135"/>
  <c r="CK54" i="135"/>
  <c r="CH55" i="135"/>
  <c r="CI55" i="135"/>
  <c r="CJ55" i="135"/>
  <c r="CK55" i="135"/>
  <c r="CH56" i="135"/>
  <c r="CI56" i="135"/>
  <c r="CJ56" i="135"/>
  <c r="CK56" i="135"/>
  <c r="CH57" i="135"/>
  <c r="CI57" i="135"/>
  <c r="CJ57" i="135"/>
  <c r="CK57" i="135"/>
  <c r="CH58" i="135"/>
  <c r="CI58" i="135"/>
  <c r="CJ58" i="135"/>
  <c r="CK58" i="135"/>
  <c r="CH59" i="135"/>
  <c r="CI59" i="135"/>
  <c r="CJ59" i="135"/>
  <c r="CK59" i="135"/>
  <c r="CH60" i="135"/>
  <c r="CI60" i="135"/>
  <c r="CJ60" i="135"/>
  <c r="CK60" i="135"/>
  <c r="CH61" i="135"/>
  <c r="CI61" i="135"/>
  <c r="CJ61" i="135"/>
  <c r="CK61" i="135"/>
  <c r="CH62" i="135"/>
  <c r="CI62" i="135"/>
  <c r="CJ62" i="135"/>
  <c r="CK62" i="135"/>
  <c r="CH63" i="135"/>
  <c r="CI63" i="135"/>
  <c r="CJ63" i="135"/>
  <c r="CK63" i="135"/>
  <c r="CH64" i="135"/>
  <c r="CI64" i="135"/>
  <c r="CJ64" i="135"/>
  <c r="CK64" i="135"/>
  <c r="CH65" i="135"/>
  <c r="CI65" i="135"/>
  <c r="CJ65" i="135"/>
  <c r="CK65" i="135"/>
  <c r="CH66" i="135"/>
  <c r="CI66" i="135"/>
  <c r="CJ66" i="135"/>
  <c r="CK66" i="135"/>
  <c r="CH67" i="135"/>
  <c r="CI67" i="135"/>
  <c r="CJ67" i="135"/>
  <c r="CK67" i="135"/>
  <c r="CH68" i="135"/>
  <c r="CI68" i="135"/>
  <c r="CJ68" i="135"/>
  <c r="CK68" i="135"/>
  <c r="CH69" i="135"/>
  <c r="CI69" i="135"/>
  <c r="CJ69" i="135"/>
  <c r="CK69" i="135"/>
  <c r="CH70" i="135"/>
  <c r="CI70" i="135"/>
  <c r="CJ70" i="135"/>
  <c r="CK70" i="135"/>
  <c r="CH71" i="135"/>
  <c r="CI71" i="135"/>
  <c r="CJ71" i="135"/>
  <c r="CK71" i="135"/>
  <c r="CH72" i="135"/>
  <c r="CI72" i="135"/>
  <c r="CJ72" i="135"/>
  <c r="CK72" i="135"/>
  <c r="CH73" i="135"/>
  <c r="CI73" i="135"/>
  <c r="CJ73" i="135"/>
  <c r="CK73" i="135"/>
  <c r="CH74" i="135"/>
  <c r="CI74" i="135"/>
  <c r="CJ74" i="135"/>
  <c r="CK74" i="135"/>
  <c r="CH75" i="135"/>
  <c r="CI75" i="135"/>
  <c r="CJ75" i="135"/>
  <c r="CK75" i="135"/>
  <c r="CH76" i="135"/>
  <c r="CI76" i="135"/>
  <c r="CJ76" i="135"/>
  <c r="CK76" i="135"/>
  <c r="CH77" i="135"/>
  <c r="CI77" i="135"/>
  <c r="CJ77" i="135"/>
  <c r="CK77" i="135"/>
  <c r="CH78" i="135"/>
  <c r="CI78" i="135"/>
  <c r="CJ78" i="135"/>
  <c r="CK78" i="135"/>
  <c r="CH79" i="135"/>
  <c r="CI79" i="135"/>
  <c r="CJ79" i="135"/>
  <c r="CK79" i="135"/>
  <c r="CH80" i="135"/>
  <c r="CI80" i="135"/>
  <c r="CJ80" i="135"/>
  <c r="CK80" i="135"/>
  <c r="CH81" i="135"/>
  <c r="CI81" i="135"/>
  <c r="CJ81" i="135"/>
  <c r="CK81" i="135"/>
  <c r="CH82" i="135"/>
  <c r="CI82" i="135"/>
  <c r="CJ82" i="135"/>
  <c r="CK82" i="135"/>
  <c r="CH83" i="135"/>
  <c r="CI83" i="135"/>
  <c r="CJ83" i="135"/>
  <c r="CK83" i="135"/>
  <c r="CH84" i="135"/>
  <c r="CI84" i="135"/>
  <c r="CJ84" i="135"/>
  <c r="CK84" i="135"/>
  <c r="CH85" i="135"/>
  <c r="CI85" i="135"/>
  <c r="CJ85" i="135"/>
  <c r="CK85" i="135"/>
  <c r="CH86" i="135"/>
  <c r="CI86" i="135"/>
  <c r="CJ86" i="135"/>
  <c r="CK86" i="135"/>
  <c r="CH87" i="135"/>
  <c r="CI87" i="135"/>
  <c r="CJ87" i="135"/>
  <c r="CK87" i="135"/>
  <c r="CH88" i="135"/>
  <c r="CI88" i="135"/>
  <c r="CJ88" i="135"/>
  <c r="CK88" i="135"/>
  <c r="CH89" i="135"/>
  <c r="CI89" i="135"/>
  <c r="CJ89" i="135"/>
  <c r="CK89" i="135"/>
  <c r="CH90" i="135"/>
  <c r="CI90" i="135"/>
  <c r="CJ90" i="135"/>
  <c r="CK90" i="135"/>
  <c r="CH91" i="135"/>
  <c r="CI91" i="135"/>
  <c r="CJ91" i="135"/>
  <c r="CK91" i="135"/>
  <c r="CH92" i="135"/>
  <c r="CI92" i="135"/>
  <c r="CJ92" i="135"/>
  <c r="CK92" i="135"/>
  <c r="CH93" i="135"/>
  <c r="CI93" i="135"/>
  <c r="CJ93" i="135"/>
  <c r="CK93" i="135"/>
  <c r="CH94" i="135"/>
  <c r="CI94" i="135"/>
  <c r="CJ94" i="135"/>
  <c r="CK94" i="135"/>
  <c r="CH95" i="135"/>
  <c r="CI95" i="135"/>
  <c r="CJ95" i="135"/>
  <c r="CK95" i="135"/>
  <c r="CH96" i="135"/>
  <c r="CI96" i="135"/>
  <c r="CJ96" i="135"/>
  <c r="CK96" i="135"/>
  <c r="CH97" i="135"/>
  <c r="CI97" i="135"/>
  <c r="CJ97" i="135"/>
  <c r="CK97" i="135"/>
  <c r="CH98" i="135"/>
  <c r="CI98" i="135"/>
  <c r="CJ98" i="135"/>
  <c r="CK98" i="135"/>
  <c r="CH99" i="135"/>
  <c r="CI99" i="135"/>
  <c r="CJ99" i="135"/>
  <c r="CK99" i="135"/>
  <c r="CH100" i="135"/>
  <c r="CI100" i="135"/>
  <c r="CJ100" i="135"/>
  <c r="CK100" i="135"/>
  <c r="CH101" i="135"/>
  <c r="CI101" i="135"/>
  <c r="CJ101" i="135"/>
  <c r="CK101" i="135"/>
  <c r="CH102" i="135"/>
  <c r="CI102" i="135"/>
  <c r="CJ102" i="135"/>
  <c r="CK102" i="135"/>
  <c r="CH103" i="135"/>
  <c r="CI103" i="135"/>
  <c r="CJ103" i="135"/>
  <c r="CK103" i="135"/>
  <c r="CH104" i="135"/>
  <c r="CI104" i="135"/>
  <c r="CJ104" i="135"/>
  <c r="CK104" i="135"/>
  <c r="CH105" i="135"/>
  <c r="CI105" i="135"/>
  <c r="CJ105" i="135"/>
  <c r="CK105" i="135"/>
  <c r="CH106" i="135"/>
  <c r="CI106" i="135"/>
  <c r="CJ106" i="135"/>
  <c r="CK106" i="135"/>
  <c r="CH107" i="135"/>
  <c r="CI107" i="135"/>
  <c r="CJ107" i="135"/>
  <c r="CK107" i="135"/>
  <c r="CH108" i="135"/>
  <c r="CI108" i="135"/>
  <c r="CJ108" i="135"/>
  <c r="CK108" i="135"/>
  <c r="CH109" i="135"/>
  <c r="CI109" i="135"/>
  <c r="CJ109" i="135"/>
  <c r="CK109" i="135"/>
  <c r="CH110" i="135"/>
  <c r="CI110" i="135"/>
  <c r="CJ110" i="135"/>
  <c r="CK110" i="135"/>
  <c r="CH111" i="135"/>
  <c r="CI111" i="135"/>
  <c r="CJ111" i="135"/>
  <c r="CK111" i="135"/>
  <c r="CH112" i="135"/>
  <c r="CI112" i="135"/>
  <c r="CJ112" i="135"/>
  <c r="CK112" i="135"/>
  <c r="CH113" i="135"/>
  <c r="CI113" i="135"/>
  <c r="CJ113" i="135"/>
  <c r="CK113" i="135"/>
  <c r="CH114" i="135"/>
  <c r="CI114" i="135"/>
  <c r="CJ114" i="135"/>
  <c r="CK114" i="135"/>
  <c r="CH115" i="135"/>
  <c r="CI115" i="135"/>
  <c r="CJ115" i="135"/>
  <c r="CK115" i="135"/>
  <c r="CH116" i="135"/>
  <c r="CI116" i="135"/>
  <c r="CJ116" i="135"/>
  <c r="CK116" i="135"/>
  <c r="CH117" i="135"/>
  <c r="CI117" i="135"/>
  <c r="CJ117" i="135"/>
  <c r="CK117" i="135"/>
  <c r="CH118" i="135"/>
  <c r="CI118" i="135"/>
  <c r="CJ118" i="135"/>
  <c r="CK118" i="135"/>
  <c r="CH119" i="135"/>
  <c r="CI119" i="135"/>
  <c r="CJ119" i="135"/>
  <c r="CK119" i="135"/>
  <c r="CH120" i="135"/>
  <c r="CI120" i="135"/>
  <c r="CJ120" i="135"/>
  <c r="CK120" i="135"/>
  <c r="CH121" i="135"/>
  <c r="CI121" i="135"/>
  <c r="CJ121" i="135"/>
  <c r="CK121" i="135"/>
  <c r="CH122" i="135"/>
  <c r="CI122" i="135"/>
  <c r="CJ122" i="135"/>
  <c r="CK122" i="135"/>
  <c r="CH123" i="135"/>
  <c r="CI123" i="135"/>
  <c r="CJ123" i="135"/>
  <c r="CK123" i="135"/>
  <c r="CH124" i="135"/>
  <c r="CI124" i="135"/>
  <c r="CJ124" i="135"/>
  <c r="CK124" i="135"/>
  <c r="CH125" i="135"/>
  <c r="CI125" i="135"/>
  <c r="CJ125" i="135"/>
  <c r="CK125" i="135"/>
  <c r="CH126" i="135"/>
  <c r="CI126" i="135"/>
  <c r="CJ126" i="135"/>
  <c r="CK126" i="135"/>
  <c r="CH127" i="135"/>
  <c r="CI127" i="135"/>
  <c r="CJ127" i="135"/>
  <c r="CK127" i="135"/>
  <c r="CH128" i="135"/>
  <c r="CI128" i="135"/>
  <c r="CJ128" i="135"/>
  <c r="CK128" i="135"/>
  <c r="CH129" i="135"/>
  <c r="CI129" i="135"/>
  <c r="CJ129" i="135"/>
  <c r="CK129" i="135"/>
  <c r="CH130" i="135"/>
  <c r="CI130" i="135"/>
  <c r="CJ130" i="135"/>
  <c r="CK130" i="135"/>
  <c r="CH131" i="135"/>
  <c r="J147" i="4" s="1"/>
  <c r="CI131" i="135"/>
  <c r="CJ131" i="135"/>
  <c r="M147" i="4" s="1"/>
  <c r="CK131" i="135"/>
  <c r="O147" i="4" s="1"/>
  <c r="CH132" i="135"/>
  <c r="CI132" i="135"/>
  <c r="CJ132" i="135"/>
  <c r="CK132" i="135"/>
  <c r="CH133" i="135"/>
  <c r="CI133" i="135"/>
  <c r="CJ133" i="135"/>
  <c r="CK133" i="135"/>
  <c r="CH134" i="135"/>
  <c r="CI134" i="135"/>
  <c r="CJ134" i="135"/>
  <c r="CK134" i="135"/>
  <c r="CH135" i="135"/>
  <c r="CI135" i="135"/>
  <c r="CJ135" i="135"/>
  <c r="CK135" i="135"/>
  <c r="CH136" i="135"/>
  <c r="CI136" i="135"/>
  <c r="CJ136" i="135"/>
  <c r="CK136" i="135"/>
  <c r="CH137" i="135"/>
  <c r="CI137" i="135"/>
  <c r="CJ137" i="135"/>
  <c r="CK137" i="135"/>
  <c r="CH138" i="135"/>
  <c r="CI138" i="135"/>
  <c r="CJ138" i="135"/>
  <c r="CK138" i="135"/>
  <c r="CH139" i="135"/>
  <c r="CI139" i="135"/>
  <c r="CJ139" i="135"/>
  <c r="CK139" i="135"/>
  <c r="CH140" i="135"/>
  <c r="CI140" i="135"/>
  <c r="CJ140" i="135"/>
  <c r="CK140" i="135"/>
  <c r="CH141" i="135"/>
  <c r="CI141" i="135"/>
  <c r="CJ141" i="135"/>
  <c r="CK141" i="135"/>
  <c r="CH142" i="135"/>
  <c r="CI142" i="135"/>
  <c r="CJ142" i="135"/>
  <c r="N198" i="39" s="1"/>
  <c r="O198" i="39" s="1"/>
  <c r="CK142" i="135"/>
  <c r="CH143" i="135"/>
  <c r="CI143" i="135"/>
  <c r="CJ143" i="135"/>
  <c r="CK143" i="135"/>
  <c r="CH144" i="135"/>
  <c r="CI144" i="135"/>
  <c r="CJ144" i="135"/>
  <c r="CK144" i="135"/>
  <c r="CH145" i="135"/>
  <c r="CI145" i="135"/>
  <c r="CJ145" i="135"/>
  <c r="CK145" i="135"/>
  <c r="CH146" i="135"/>
  <c r="CI146" i="135"/>
  <c r="CJ146" i="135"/>
  <c r="CK146" i="135"/>
  <c r="CH147" i="135"/>
  <c r="CI147" i="135"/>
  <c r="CJ147" i="135"/>
  <c r="CK147" i="135"/>
  <c r="CH148" i="135"/>
  <c r="CI148" i="135"/>
  <c r="CJ148" i="135"/>
  <c r="CK148" i="135"/>
  <c r="CH149" i="135"/>
  <c r="CI149" i="135"/>
  <c r="CJ149" i="135"/>
  <c r="CK149" i="135"/>
  <c r="CH150" i="135"/>
  <c r="CI150" i="135"/>
  <c r="CJ150" i="135"/>
  <c r="CK150" i="135"/>
  <c r="CH151" i="135"/>
  <c r="CI151" i="135"/>
  <c r="CJ151" i="135"/>
  <c r="CK151" i="135"/>
  <c r="CH152" i="135"/>
  <c r="CI152" i="135"/>
  <c r="CJ152" i="135"/>
  <c r="CK152" i="135"/>
  <c r="CH153" i="135"/>
  <c r="CI153" i="135"/>
  <c r="CJ153" i="135"/>
  <c r="CK153" i="135"/>
  <c r="CH154" i="135"/>
  <c r="CI154" i="135"/>
  <c r="CJ154" i="135"/>
  <c r="CK154" i="135"/>
  <c r="CH155" i="135"/>
  <c r="CI155" i="135"/>
  <c r="CJ155" i="135"/>
  <c r="CK155" i="135"/>
  <c r="CH156" i="135"/>
  <c r="CI156" i="135"/>
  <c r="CJ156" i="135"/>
  <c r="CK156" i="135"/>
  <c r="CH157" i="135"/>
  <c r="CI157" i="135"/>
  <c r="CJ157" i="135"/>
  <c r="CK157" i="135"/>
  <c r="CI3" i="135"/>
  <c r="CJ3" i="135"/>
  <c r="CK3" i="135"/>
  <c r="CH3" i="135"/>
  <c r="BZ4" i="135"/>
  <c r="BZ5" i="135"/>
  <c r="BZ6" i="135"/>
  <c r="AD13" i="4" s="1"/>
  <c r="BZ7" i="135"/>
  <c r="AD14" i="4" s="1"/>
  <c r="BZ8" i="135"/>
  <c r="AD15" i="4" s="1"/>
  <c r="BZ9" i="135"/>
  <c r="AD16" i="4" s="1"/>
  <c r="BZ10" i="135"/>
  <c r="AD17" i="4" s="1"/>
  <c r="BZ11" i="135"/>
  <c r="AD18" i="4" s="1"/>
  <c r="BZ12" i="135"/>
  <c r="AD19" i="4" s="1"/>
  <c r="BZ13" i="135"/>
  <c r="AD20" i="4" s="1"/>
  <c r="BZ14" i="135"/>
  <c r="AD21" i="4" s="1"/>
  <c r="BZ15" i="135"/>
  <c r="AD22" i="4" s="1"/>
  <c r="BZ16" i="135"/>
  <c r="AD23" i="4" s="1"/>
  <c r="BZ17" i="135"/>
  <c r="BZ18" i="135"/>
  <c r="AD26" i="4" s="1"/>
  <c r="BZ19" i="135"/>
  <c r="AD27" i="4" s="1"/>
  <c r="BZ20" i="135"/>
  <c r="AD28" i="4" s="1"/>
  <c r="BZ21" i="135"/>
  <c r="AD29" i="4" s="1"/>
  <c r="BZ22" i="135"/>
  <c r="AD30" i="4" s="1"/>
  <c r="BZ23" i="135"/>
  <c r="AD32" i="4" s="1"/>
  <c r="BZ24" i="135"/>
  <c r="AD33" i="4" s="1"/>
  <c r="BZ25" i="135"/>
  <c r="AD34" i="4" s="1"/>
  <c r="BZ26" i="135"/>
  <c r="AD35" i="4" s="1"/>
  <c r="BZ27" i="135"/>
  <c r="AD37" i="4" s="1"/>
  <c r="BZ28" i="135"/>
  <c r="AD39" i="4" s="1"/>
  <c r="BZ29" i="135"/>
  <c r="AD41" i="4" s="1"/>
  <c r="BZ30" i="135"/>
  <c r="AD42" i="4" s="1"/>
  <c r="BZ31" i="135"/>
  <c r="AD43" i="4" s="1"/>
  <c r="BZ32" i="135"/>
  <c r="AD44" i="4" s="1"/>
  <c r="BZ33" i="135"/>
  <c r="AD45" i="4" s="1"/>
  <c r="BZ34" i="135"/>
  <c r="AD46" i="4" s="1"/>
  <c r="BZ35" i="135"/>
  <c r="AD48" i="4" s="1"/>
  <c r="BZ36" i="135"/>
  <c r="AD49" i="4" s="1"/>
  <c r="BZ37" i="135"/>
  <c r="AD50" i="4" s="1"/>
  <c r="BZ38" i="135"/>
  <c r="AD51" i="4" s="1"/>
  <c r="BZ39" i="135"/>
  <c r="AD52" i="4" s="1"/>
  <c r="BZ40" i="135"/>
  <c r="AD54" i="4" s="1"/>
  <c r="BZ41" i="135"/>
  <c r="AD56" i="4" s="1"/>
  <c r="BZ42" i="135"/>
  <c r="AD57" i="4" s="1"/>
  <c r="BZ43" i="135"/>
  <c r="AD58" i="4" s="1"/>
  <c r="BZ44" i="135"/>
  <c r="AD59" i="4" s="1"/>
  <c r="BZ45" i="135"/>
  <c r="AD60" i="4" s="1"/>
  <c r="BZ46" i="135"/>
  <c r="AD61" i="4" s="1"/>
  <c r="BZ47" i="135"/>
  <c r="AD63" i="4" s="1"/>
  <c r="BZ48" i="135"/>
  <c r="AD64" i="4" s="1"/>
  <c r="BZ49" i="135"/>
  <c r="AD65" i="4" s="1"/>
  <c r="BZ50" i="135"/>
  <c r="AD66" i="4" s="1"/>
  <c r="BZ51" i="135"/>
  <c r="AD68" i="4" s="1"/>
  <c r="BZ52" i="135"/>
  <c r="AD70" i="4" s="1"/>
  <c r="BZ53" i="135"/>
  <c r="AD72" i="4" s="1"/>
  <c r="BZ54" i="135"/>
  <c r="AD73" i="4" s="1"/>
  <c r="BZ55" i="135"/>
  <c r="AD74" i="4" s="1"/>
  <c r="BZ56" i="135"/>
  <c r="AD75" i="4" s="1"/>
  <c r="BZ57" i="135"/>
  <c r="BZ58" i="135"/>
  <c r="AD78" i="4" s="1"/>
  <c r="BZ59" i="135"/>
  <c r="AD79" i="4" s="1"/>
  <c r="BZ60" i="135"/>
  <c r="AD81" i="4" s="1"/>
  <c r="BZ61" i="135"/>
  <c r="AD82" i="4" s="1"/>
  <c r="BZ62" i="135"/>
  <c r="AD85" i="4" s="1"/>
  <c r="BZ63" i="135"/>
  <c r="AD86" i="4" s="1"/>
  <c r="BZ64" i="135"/>
  <c r="AD89" i="4" s="1"/>
  <c r="BZ65" i="135"/>
  <c r="AD90" i="4" s="1"/>
  <c r="BZ66" i="135"/>
  <c r="BZ67" i="135"/>
  <c r="BZ68" i="135"/>
  <c r="AD94" i="4" s="1"/>
  <c r="BZ69" i="135"/>
  <c r="AD96" i="4" s="1"/>
  <c r="BZ70" i="135"/>
  <c r="AD98" i="4" s="1"/>
  <c r="BZ71" i="135"/>
  <c r="AD99" i="4" s="1"/>
  <c r="BZ72" i="135"/>
  <c r="AD100" i="4" s="1"/>
  <c r="BZ73" i="135"/>
  <c r="AD101" i="4" s="1"/>
  <c r="BZ74" i="135"/>
  <c r="AD102" i="4" s="1"/>
  <c r="BZ75" i="135"/>
  <c r="AD103" i="4" s="1"/>
  <c r="BZ76" i="135"/>
  <c r="AD106" i="4" s="1"/>
  <c r="BZ77" i="135"/>
  <c r="AD107" i="4" s="1"/>
  <c r="BZ78" i="135"/>
  <c r="AD108" i="4" s="1"/>
  <c r="BZ79" i="135"/>
  <c r="AD109" i="4" s="1"/>
  <c r="BZ80" i="135"/>
  <c r="BZ81" i="135"/>
  <c r="AD113" i="4" s="1"/>
  <c r="BZ82" i="135"/>
  <c r="AD115" i="4" s="1"/>
  <c r="BZ83" i="135"/>
  <c r="AD116" i="4" s="1"/>
  <c r="BZ84" i="135"/>
  <c r="AD118" i="4" s="1"/>
  <c r="BZ85" i="135"/>
  <c r="AD119" i="4" s="1"/>
  <c r="BZ86" i="135"/>
  <c r="AD121" i="4" s="1"/>
  <c r="BZ87" i="135"/>
  <c r="AD122" i="4" s="1"/>
  <c r="BZ88" i="135"/>
  <c r="BZ89" i="135"/>
  <c r="AD124" i="4" s="1"/>
  <c r="BZ90" i="135"/>
  <c r="AD125" i="4" s="1"/>
  <c r="BZ91" i="135"/>
  <c r="AD126" i="4" s="1"/>
  <c r="BZ92" i="135"/>
  <c r="AD128" i="4" s="1"/>
  <c r="BZ93" i="135"/>
  <c r="AD129" i="4" s="1"/>
  <c r="BZ94" i="135"/>
  <c r="BZ95" i="135"/>
  <c r="BZ96" i="135"/>
  <c r="AD133" i="4" s="1"/>
  <c r="BZ97" i="135"/>
  <c r="AD134" i="4" s="1"/>
  <c r="BZ98" i="135"/>
  <c r="AD135" i="4" s="1"/>
  <c r="BZ99" i="135"/>
  <c r="AD136" i="4" s="1"/>
  <c r="BZ100" i="135"/>
  <c r="AD137" i="4" s="1"/>
  <c r="BZ101" i="135"/>
  <c r="AD138" i="4" s="1"/>
  <c r="BZ102" i="135"/>
  <c r="AD139" i="4" s="1"/>
  <c r="BZ103" i="135"/>
  <c r="BZ104" i="135"/>
  <c r="AD146" i="4" s="1"/>
  <c r="BZ105" i="135"/>
  <c r="AD147" i="4" s="1"/>
  <c r="BZ106" i="135"/>
  <c r="AD148" i="4" s="1"/>
  <c r="BZ107" i="135"/>
  <c r="AD155" i="4" s="1"/>
  <c r="BZ108" i="135"/>
  <c r="AD159" i="4" s="1"/>
  <c r="BZ109" i="135"/>
  <c r="BZ110" i="135"/>
  <c r="AD169" i="4" s="1"/>
  <c r="BZ111" i="135"/>
  <c r="AD170" i="4" s="1"/>
  <c r="BZ112" i="135"/>
  <c r="AD174" i="4" s="1"/>
  <c r="BZ113" i="135"/>
  <c r="AD175" i="4" s="1"/>
  <c r="BZ114" i="135"/>
  <c r="AD176" i="4" s="1"/>
  <c r="BZ115" i="135"/>
  <c r="AD179" i="4" s="1"/>
  <c r="BZ116" i="135"/>
  <c r="AD180" i="4" s="1"/>
  <c r="BZ117" i="135"/>
  <c r="AD182" i="4" s="1"/>
  <c r="BZ118" i="135"/>
  <c r="AD183" i="4" s="1"/>
  <c r="BZ119" i="135"/>
  <c r="BZ120" i="135"/>
  <c r="AD184" i="4" s="1"/>
  <c r="BZ121" i="135"/>
  <c r="BZ122" i="135"/>
  <c r="AD168" i="4" l="1"/>
  <c r="AC37" i="37"/>
  <c r="AC33" i="37" s="1"/>
  <c r="AC13" i="35"/>
  <c r="AC10" i="35" s="1"/>
  <c r="AC9" i="35" s="1"/>
  <c r="AD25" i="4"/>
  <c r="P170" i="4"/>
  <c r="J162" i="4"/>
  <c r="L198" i="39"/>
  <c r="M198" i="39" s="1"/>
  <c r="AD12" i="4"/>
  <c r="P70" i="54"/>
  <c r="P68" i="54"/>
  <c r="P67" i="54"/>
  <c r="P63" i="54"/>
  <c r="P56" i="54"/>
  <c r="P55" i="54"/>
  <c r="P54" i="54"/>
  <c r="P53" i="54"/>
  <c r="P52" i="54"/>
  <c r="P51" i="54"/>
  <c r="P50" i="54"/>
  <c r="P49" i="54"/>
  <c r="P48" i="54"/>
  <c r="P47" i="54"/>
  <c r="P46" i="54"/>
  <c r="P45" i="54"/>
  <c r="P44" i="54"/>
  <c r="P43" i="54"/>
  <c r="P42" i="54"/>
  <c r="P41" i="54"/>
  <c r="P40" i="54"/>
  <c r="P39" i="54"/>
  <c r="P38" i="54"/>
  <c r="P37" i="54"/>
  <c r="P36" i="54"/>
  <c r="L259" i="39"/>
  <c r="H259" i="39"/>
  <c r="AA54" i="37"/>
  <c r="CL4" i="132"/>
  <c r="CM4" i="132"/>
  <c r="CN4" i="132"/>
  <c r="CL5" i="132"/>
  <c r="CM5" i="132"/>
  <c r="CN5" i="132"/>
  <c r="CL6" i="132"/>
  <c r="CM6" i="132"/>
  <c r="CN6" i="132"/>
  <c r="CL7" i="132"/>
  <c r="CM7" i="132"/>
  <c r="CN7" i="132"/>
  <c r="CL8" i="132"/>
  <c r="CM8" i="132"/>
  <c r="CN8" i="132"/>
  <c r="CL9" i="132"/>
  <c r="CM9" i="132"/>
  <c r="CN9" i="132"/>
  <c r="CL10" i="132"/>
  <c r="CM10" i="132"/>
  <c r="CN10" i="132"/>
  <c r="CL11" i="132"/>
  <c r="CM11" i="132"/>
  <c r="CN11" i="132"/>
  <c r="CL12" i="132"/>
  <c r="CM12" i="132"/>
  <c r="CN12" i="132"/>
  <c r="CL13" i="132"/>
  <c r="CM13" i="132"/>
  <c r="CN13" i="132"/>
  <c r="CL14" i="132"/>
  <c r="CM14" i="132"/>
  <c r="CN14" i="132"/>
  <c r="CL15" i="132"/>
  <c r="CM15" i="132"/>
  <c r="CN15" i="132"/>
  <c r="CL16" i="132"/>
  <c r="CM16" i="132"/>
  <c r="CN16" i="132"/>
  <c r="CL17" i="132"/>
  <c r="CM17" i="132"/>
  <c r="CN17" i="132"/>
  <c r="CL18" i="132"/>
  <c r="CM18" i="132"/>
  <c r="CN18" i="132"/>
  <c r="CL19" i="132"/>
  <c r="CM19" i="132"/>
  <c r="CN19" i="132"/>
  <c r="CL20" i="132"/>
  <c r="CM20" i="132"/>
  <c r="CN20" i="132"/>
  <c r="CL21" i="132"/>
  <c r="CM21" i="132"/>
  <c r="CN21" i="132"/>
  <c r="CL22" i="132"/>
  <c r="CM22" i="132"/>
  <c r="CN22" i="132"/>
  <c r="CL23" i="132"/>
  <c r="CM23" i="132"/>
  <c r="CN23" i="132"/>
  <c r="CL24" i="132"/>
  <c r="CM24" i="132"/>
  <c r="CN24" i="132"/>
  <c r="CL25" i="132"/>
  <c r="CM25" i="132"/>
  <c r="CN25" i="132"/>
  <c r="CL26" i="132"/>
  <c r="CM26" i="132"/>
  <c r="CN26" i="132"/>
  <c r="CL27" i="132"/>
  <c r="CM27" i="132"/>
  <c r="CN27" i="132"/>
  <c r="CL28" i="132"/>
  <c r="CM28" i="132"/>
  <c r="CN28" i="132"/>
  <c r="CL29" i="132"/>
  <c r="CM29" i="132"/>
  <c r="CN29" i="132"/>
  <c r="CL30" i="132"/>
  <c r="CM30" i="132"/>
  <c r="CN30" i="132"/>
  <c r="CL31" i="132"/>
  <c r="CM31" i="132"/>
  <c r="CN31" i="132"/>
  <c r="CL32" i="132"/>
  <c r="CM32" i="132"/>
  <c r="CN32" i="132"/>
  <c r="CL33" i="132"/>
  <c r="CM33" i="132"/>
  <c r="CN33" i="132"/>
  <c r="CL34" i="132"/>
  <c r="CM34" i="132"/>
  <c r="CN34" i="132"/>
  <c r="CL35" i="132"/>
  <c r="CM35" i="132"/>
  <c r="CN35" i="132"/>
  <c r="CL36" i="132"/>
  <c r="CM36" i="132"/>
  <c r="CN36" i="132"/>
  <c r="CL37" i="132"/>
  <c r="CM37" i="132"/>
  <c r="CN37" i="132"/>
  <c r="CL38" i="132"/>
  <c r="CM38" i="132"/>
  <c r="CN38" i="132"/>
  <c r="CL39" i="132"/>
  <c r="CM39" i="132"/>
  <c r="CN39" i="132"/>
  <c r="CL40" i="132"/>
  <c r="CM40" i="132"/>
  <c r="CN40" i="132"/>
  <c r="CL41" i="132"/>
  <c r="CM41" i="132"/>
  <c r="CN41" i="132"/>
  <c r="CL42" i="132"/>
  <c r="CM42" i="132"/>
  <c r="CN42" i="132"/>
  <c r="CL43" i="132"/>
  <c r="CM43" i="132"/>
  <c r="CN43" i="132"/>
  <c r="CL44" i="132"/>
  <c r="CM44" i="132"/>
  <c r="CN44" i="132"/>
  <c r="CL45" i="132"/>
  <c r="CM45" i="132"/>
  <c r="CN45" i="132"/>
  <c r="CL46" i="132"/>
  <c r="CM46" i="132"/>
  <c r="CN46" i="132"/>
  <c r="CL47" i="132"/>
  <c r="CM47" i="132"/>
  <c r="CN47" i="132"/>
  <c r="CL48" i="132"/>
  <c r="CM48" i="132"/>
  <c r="CN48" i="132"/>
  <c r="CL49" i="132"/>
  <c r="I259" i="39" s="1"/>
  <c r="CM49" i="132"/>
  <c r="CN49" i="132"/>
  <c r="CL50" i="132"/>
  <c r="CM50" i="132"/>
  <c r="CN50" i="132"/>
  <c r="CL51" i="132"/>
  <c r="CM51" i="132"/>
  <c r="CN51" i="132"/>
  <c r="CM3" i="132"/>
  <c r="CN3" i="132"/>
  <c r="CL3" i="132"/>
  <c r="CB4" i="132"/>
  <c r="AA18" i="37" s="1"/>
  <c r="CB5" i="132"/>
  <c r="CB6" i="132"/>
  <c r="AA21" i="37" s="1"/>
  <c r="CB7" i="132"/>
  <c r="AA20" i="37" s="1"/>
  <c r="CB8" i="132"/>
  <c r="AA17" i="37" s="1"/>
  <c r="CB9" i="132"/>
  <c r="AA19" i="37" s="1"/>
  <c r="CB10" i="132"/>
  <c r="AA24" i="37" s="1"/>
  <c r="AA23" i="37" s="1"/>
  <c r="CB11" i="132"/>
  <c r="AA39" i="37" s="1"/>
  <c r="CB12" i="132"/>
  <c r="AA40" i="37" s="1"/>
  <c r="CB13" i="132"/>
  <c r="CB14" i="132"/>
  <c r="AA41" i="37" s="1"/>
  <c r="CB15" i="132"/>
  <c r="CB16" i="132"/>
  <c r="AA42" i="37" s="1"/>
  <c r="CB17" i="132"/>
  <c r="AA44" i="37" s="1"/>
  <c r="CB18" i="132"/>
  <c r="AA45" i="37" s="1"/>
  <c r="CB19" i="132"/>
  <c r="AA46" i="37" s="1"/>
  <c r="CB20" i="132"/>
  <c r="AA47" i="37" s="1"/>
  <c r="CB21" i="132"/>
  <c r="AA48" i="37" s="1"/>
  <c r="CB22" i="132"/>
  <c r="AA49" i="37" s="1"/>
  <c r="CB23" i="132"/>
  <c r="CB24" i="132"/>
  <c r="AA52" i="37" s="1"/>
  <c r="CB25" i="132"/>
  <c r="CB26" i="132"/>
  <c r="CB3" i="132"/>
  <c r="BR3" i="132"/>
  <c r="AA28" i="35"/>
  <c r="AA26" i="35"/>
  <c r="CI4" i="133"/>
  <c r="CJ4" i="133"/>
  <c r="CK4" i="133"/>
  <c r="CI5" i="133"/>
  <c r="CJ5" i="133"/>
  <c r="CK5" i="133"/>
  <c r="CI6" i="133"/>
  <c r="CJ6" i="133"/>
  <c r="CK6" i="133"/>
  <c r="CI7" i="133"/>
  <c r="CJ7" i="133"/>
  <c r="CK7" i="133"/>
  <c r="CI8" i="133"/>
  <c r="CJ8" i="133"/>
  <c r="CK8" i="133"/>
  <c r="CI9" i="133"/>
  <c r="CJ9" i="133"/>
  <c r="CK9" i="133"/>
  <c r="CI10" i="133"/>
  <c r="CJ10" i="133"/>
  <c r="CK10" i="133"/>
  <c r="CI11" i="133"/>
  <c r="CJ11" i="133"/>
  <c r="CK11" i="133"/>
  <c r="CI12" i="133"/>
  <c r="CJ12" i="133"/>
  <c r="CK12" i="133"/>
  <c r="CI13" i="133"/>
  <c r="CJ13" i="133"/>
  <c r="CK13" i="133"/>
  <c r="CI14" i="133"/>
  <c r="CJ14" i="133"/>
  <c r="CK14" i="133"/>
  <c r="CI15" i="133"/>
  <c r="CJ15" i="133"/>
  <c r="CK15" i="133"/>
  <c r="CI16" i="133"/>
  <c r="CJ16" i="133"/>
  <c r="CK16" i="133"/>
  <c r="CI17" i="133"/>
  <c r="CJ17" i="133"/>
  <c r="CK17" i="133"/>
  <c r="CI18" i="133"/>
  <c r="CJ18" i="133"/>
  <c r="CK18" i="133"/>
  <c r="CI19" i="133"/>
  <c r="CJ19" i="133"/>
  <c r="CK19" i="133"/>
  <c r="CI20" i="133"/>
  <c r="CJ20" i="133"/>
  <c r="CK20" i="133"/>
  <c r="CI21" i="133"/>
  <c r="CJ21" i="133"/>
  <c r="CK21" i="133"/>
  <c r="CI22" i="133"/>
  <c r="CJ22" i="133"/>
  <c r="CK22" i="133"/>
  <c r="CI23" i="133"/>
  <c r="CJ23" i="133"/>
  <c r="CK23" i="133"/>
  <c r="CI24" i="133"/>
  <c r="CJ24" i="133"/>
  <c r="CK24" i="133"/>
  <c r="CI25" i="133"/>
  <c r="CJ25" i="133"/>
  <c r="CK25" i="133"/>
  <c r="CI26" i="133"/>
  <c r="CJ26" i="133"/>
  <c r="CK26" i="133"/>
  <c r="CI27" i="133"/>
  <c r="CJ27" i="133"/>
  <c r="CK27" i="133"/>
  <c r="CI28" i="133"/>
  <c r="CJ28" i="133"/>
  <c r="CK28" i="133"/>
  <c r="CI29" i="133"/>
  <c r="CJ29" i="133"/>
  <c r="CK29" i="133"/>
  <c r="CI30" i="133"/>
  <c r="CJ30" i="133"/>
  <c r="CK30" i="133"/>
  <c r="CI31" i="133"/>
  <c r="CJ31" i="133"/>
  <c r="CK31" i="133"/>
  <c r="CI32" i="133"/>
  <c r="CJ32" i="133"/>
  <c r="CK32" i="133"/>
  <c r="CI33" i="133"/>
  <c r="CJ33" i="133"/>
  <c r="CK33" i="133"/>
  <c r="CI34" i="133"/>
  <c r="CJ34" i="133"/>
  <c r="CK34" i="133"/>
  <c r="CI35" i="133"/>
  <c r="CJ35" i="133"/>
  <c r="CK35" i="133"/>
  <c r="CI36" i="133"/>
  <c r="CJ36" i="133"/>
  <c r="CK36" i="133"/>
  <c r="CI37" i="133"/>
  <c r="CJ37" i="133"/>
  <c r="CK37" i="133"/>
  <c r="CI38" i="133"/>
  <c r="CJ38" i="133"/>
  <c r="CK38" i="133"/>
  <c r="CI39" i="133"/>
  <c r="CJ39" i="133"/>
  <c r="L37" i="35" s="1"/>
  <c r="CK39" i="133"/>
  <c r="CI40" i="133"/>
  <c r="CJ40" i="133"/>
  <c r="CK40" i="133"/>
  <c r="CI41" i="133"/>
  <c r="CJ41" i="133"/>
  <c r="CK41" i="133"/>
  <c r="CI42" i="133"/>
  <c r="CJ42" i="133"/>
  <c r="CK42" i="133"/>
  <c r="CI43" i="133"/>
  <c r="CJ43" i="133"/>
  <c r="CK43" i="133"/>
  <c r="CI44" i="133"/>
  <c r="CJ44" i="133"/>
  <c r="CK44" i="133"/>
  <c r="CI45" i="133"/>
  <c r="CJ45" i="133"/>
  <c r="CK45" i="133"/>
  <c r="CI46" i="133"/>
  <c r="CJ46" i="133"/>
  <c r="CK46" i="133"/>
  <c r="CI47" i="133"/>
  <c r="CJ47" i="133"/>
  <c r="CK47" i="133"/>
  <c r="CI48" i="133"/>
  <c r="CJ48" i="133"/>
  <c r="CK48" i="133"/>
  <c r="CI49" i="133"/>
  <c r="CJ49" i="133"/>
  <c r="CK49" i="133"/>
  <c r="CJ3" i="133"/>
  <c r="CK3" i="133"/>
  <c r="CI3" i="133"/>
  <c r="BZ4" i="133"/>
  <c r="AA17" i="35" s="1"/>
  <c r="BZ5" i="133"/>
  <c r="AA15" i="35" s="1"/>
  <c r="BZ6" i="133"/>
  <c r="AA19" i="35" s="1"/>
  <c r="BZ7" i="133"/>
  <c r="AA21" i="35" s="1"/>
  <c r="BZ8" i="133"/>
  <c r="AA25" i="35" s="1"/>
  <c r="BZ9" i="133"/>
  <c r="AA22" i="35" s="1"/>
  <c r="BZ10" i="133"/>
  <c r="AA23" i="35" s="1"/>
  <c r="BZ11" i="133"/>
  <c r="BZ12" i="133"/>
  <c r="BZ13" i="133"/>
  <c r="BZ14" i="133"/>
  <c r="BZ15" i="133"/>
  <c r="BZ16" i="133"/>
  <c r="AA31" i="35" s="1"/>
  <c r="BZ17" i="133"/>
  <c r="AA33" i="35" s="1"/>
  <c r="BZ18" i="133"/>
  <c r="AA35" i="35" s="1"/>
  <c r="BZ19" i="133"/>
  <c r="AA38" i="35" s="1"/>
  <c r="BZ20" i="133"/>
  <c r="BZ21" i="133"/>
  <c r="AA44" i="35" s="1"/>
  <c r="AA42" i="35" s="1"/>
  <c r="AA41" i="35" s="1"/>
  <c r="AA40" i="35" s="1"/>
  <c r="BZ22" i="133"/>
  <c r="BZ3" i="133"/>
  <c r="AA37" i="35" l="1"/>
  <c r="AA39" i="35"/>
  <c r="AD11" i="4"/>
  <c r="AD10" i="4" s="1"/>
  <c r="I43" i="37"/>
  <c r="N17" i="37"/>
  <c r="AA38" i="37"/>
  <c r="M53" i="37"/>
  <c r="AA30" i="35"/>
  <c r="AA14" i="35"/>
  <c r="M259" i="39"/>
  <c r="N53" i="37"/>
  <c r="AA16" i="37"/>
  <c r="AA14" i="37" s="1"/>
  <c r="AA12" i="37" s="1"/>
  <c r="AA43" i="37"/>
  <c r="AA20" i="35"/>
  <c r="P148" i="4"/>
  <c r="N148" i="4"/>
  <c r="L149" i="4"/>
  <c r="G147" i="39"/>
  <c r="AB177" i="4"/>
  <c r="AB162" i="4"/>
  <c r="AB147" i="4"/>
  <c r="AB130" i="4"/>
  <c r="AB83" i="4"/>
  <c r="AB59" i="4"/>
  <c r="AB28" i="4"/>
  <c r="AB13" i="4"/>
  <c r="AB14" i="4"/>
  <c r="AB15" i="4"/>
  <c r="AB16" i="4"/>
  <c r="AB17" i="4"/>
  <c r="AB18" i="4"/>
  <c r="AB19" i="4"/>
  <c r="AB20" i="4"/>
  <c r="AB22" i="4"/>
  <c r="AB23" i="4"/>
  <c r="AB26" i="4"/>
  <c r="AB27" i="4"/>
  <c r="AB33" i="4"/>
  <c r="AB34" i="4"/>
  <c r="AB35" i="4"/>
  <c r="AB36" i="4"/>
  <c r="AB43" i="4"/>
  <c r="AB44" i="4"/>
  <c r="AB45" i="4"/>
  <c r="AB46" i="4"/>
  <c r="AB48" i="4"/>
  <c r="AB49" i="4"/>
  <c r="AB50" i="4"/>
  <c r="AB54" i="4"/>
  <c r="AB57" i="4"/>
  <c r="AB58" i="4"/>
  <c r="AB64" i="4"/>
  <c r="AB65" i="4"/>
  <c r="AB66" i="4"/>
  <c r="AB74" i="4"/>
  <c r="AB75" i="4"/>
  <c r="AB81" i="4"/>
  <c r="AB79" i="4" s="1"/>
  <c r="AB86" i="4"/>
  <c r="AB89" i="4"/>
  <c r="AB90" i="4"/>
  <c r="AB94" i="4"/>
  <c r="AB99" i="4"/>
  <c r="AB100" i="4"/>
  <c r="AB101" i="4"/>
  <c r="AB102" i="4"/>
  <c r="AB103" i="4"/>
  <c r="AB108" i="4"/>
  <c r="AB109" i="4"/>
  <c r="AB111" i="4"/>
  <c r="AB116" i="4"/>
  <c r="AB115" i="4" s="1"/>
  <c r="AB119" i="4"/>
  <c r="AB121" i="4"/>
  <c r="AB122" i="4"/>
  <c r="AB124" i="4"/>
  <c r="AB126" i="4"/>
  <c r="AB128" i="4"/>
  <c r="AB129" i="4"/>
  <c r="AB134" i="4"/>
  <c r="AB133" i="4" s="1"/>
  <c r="AB139" i="4"/>
  <c r="AB138" i="4" s="1"/>
  <c r="AB143" i="4"/>
  <c r="AB142" i="4" s="1"/>
  <c r="AB144" i="4"/>
  <c r="AB159" i="4"/>
  <c r="AB155" i="4" s="1"/>
  <c r="AB169" i="4"/>
  <c r="AB168" i="4" s="1"/>
  <c r="AB174" i="4"/>
  <c r="AB180" i="4"/>
  <c r="AB179" i="4" s="1"/>
  <c r="AA37" i="37" l="1"/>
  <c r="AA33" i="37" s="1"/>
  <c r="AA11" i="37" s="1"/>
  <c r="N259" i="39"/>
  <c r="O259" i="39" s="1"/>
  <c r="O53" i="37"/>
  <c r="AA13" i="35"/>
  <c r="AA10" i="35" s="1"/>
  <c r="AA9" i="35" s="1"/>
  <c r="M162" i="4"/>
  <c r="N147" i="39"/>
  <c r="I147" i="39"/>
  <c r="AD9" i="4"/>
  <c r="O162" i="4"/>
  <c r="AB25" i="4"/>
  <c r="AB73" i="4"/>
  <c r="AB72" i="4" s="1"/>
  <c r="AB63" i="4"/>
  <c r="AB56" i="4"/>
  <c r="AB42" i="4"/>
  <c r="AB32" i="4"/>
  <c r="AB98" i="4"/>
  <c r="AB125" i="4"/>
  <c r="AB12" i="4"/>
  <c r="AB118" i="4"/>
  <c r="AB107" i="4"/>
  <c r="AB146" i="4"/>
  <c r="AB85" i="4"/>
  <c r="L231" i="39"/>
  <c r="J231" i="39"/>
  <c r="H231" i="39"/>
  <c r="G231" i="39"/>
  <c r="F231" i="39"/>
  <c r="I231" i="39"/>
  <c r="H35" i="54"/>
  <c r="P231" i="39"/>
  <c r="AV4" i="131"/>
  <c r="AV5" i="131"/>
  <c r="AV3" i="131"/>
  <c r="AV2" i="131"/>
  <c r="Y35" i="54"/>
  <c r="Y34" i="54" s="1"/>
  <c r="Y10" i="54"/>
  <c r="J39" i="37"/>
  <c r="BT24" i="132"/>
  <c r="N231" i="39" l="1"/>
  <c r="O231" i="39" s="1"/>
  <c r="Y9" i="54"/>
  <c r="O147" i="39"/>
  <c r="L147" i="39"/>
  <c r="M147" i="39" s="1"/>
  <c r="P147" i="4"/>
  <c r="AB41" i="4"/>
  <c r="AB11" i="4"/>
  <c r="AB78" i="4"/>
  <c r="M231" i="39"/>
  <c r="M53" i="54"/>
  <c r="Y30" i="37"/>
  <c r="BR4" i="132"/>
  <c r="BS4" i="132"/>
  <c r="BT4" i="132"/>
  <c r="BR5" i="132"/>
  <c r="BS5" i="132"/>
  <c r="BT5" i="132"/>
  <c r="BR6" i="132"/>
  <c r="BS6" i="132"/>
  <c r="BT6" i="132"/>
  <c r="BR7" i="132"/>
  <c r="BS7" i="132"/>
  <c r="BT7" i="132"/>
  <c r="BR8" i="132"/>
  <c r="BS8" i="132"/>
  <c r="BT8" i="132"/>
  <c r="BR9" i="132"/>
  <c r="BS9" i="132"/>
  <c r="BT9" i="132"/>
  <c r="BR10" i="132"/>
  <c r="BS10" i="132"/>
  <c r="BT10" i="132"/>
  <c r="BR11" i="132"/>
  <c r="BS11" i="132"/>
  <c r="BT11" i="132"/>
  <c r="BR12" i="132"/>
  <c r="BS12" i="132"/>
  <c r="BT12" i="132"/>
  <c r="BR13" i="132"/>
  <c r="BS13" i="132"/>
  <c r="BT13" i="132"/>
  <c r="BR14" i="132"/>
  <c r="BS14" i="132"/>
  <c r="BT14" i="132"/>
  <c r="BR15" i="132"/>
  <c r="BS15" i="132"/>
  <c r="BT15" i="132"/>
  <c r="BR16" i="132"/>
  <c r="BS16" i="132"/>
  <c r="BT16" i="132"/>
  <c r="BR17" i="132"/>
  <c r="BS17" i="132"/>
  <c r="BT17" i="132"/>
  <c r="BR18" i="132"/>
  <c r="BS18" i="132"/>
  <c r="BT18" i="132"/>
  <c r="BR19" i="132"/>
  <c r="BS19" i="132"/>
  <c r="BT19" i="132"/>
  <c r="BR20" i="132"/>
  <c r="BS20" i="132"/>
  <c r="BT20" i="132"/>
  <c r="BR21" i="132"/>
  <c r="BS21" i="132"/>
  <c r="BT21" i="132"/>
  <c r="BR22" i="132"/>
  <c r="BS22" i="132"/>
  <c r="BT22" i="132"/>
  <c r="BR23" i="132"/>
  <c r="H76" i="37" s="1"/>
  <c r="BS23" i="132"/>
  <c r="BT23" i="132"/>
  <c r="BR24" i="132"/>
  <c r="BS24" i="132"/>
  <c r="BR25" i="132"/>
  <c r="H77" i="37" s="1"/>
  <c r="BS25" i="132"/>
  <c r="BT25" i="132"/>
  <c r="BR26" i="132"/>
  <c r="BS26" i="132"/>
  <c r="BT26" i="132"/>
  <c r="BR27" i="132"/>
  <c r="BS27" i="132"/>
  <c r="BT27" i="132"/>
  <c r="BR28" i="132"/>
  <c r="BS28" i="132"/>
  <c r="BT28" i="132"/>
  <c r="BR29" i="132"/>
  <c r="BS29" i="132"/>
  <c r="BT29" i="132"/>
  <c r="BR30" i="132"/>
  <c r="BS30" i="132"/>
  <c r="BT30" i="132"/>
  <c r="BR31" i="132"/>
  <c r="BS31" i="132"/>
  <c r="BT31" i="132"/>
  <c r="BR32" i="132"/>
  <c r="BS32" i="132"/>
  <c r="BT32" i="132"/>
  <c r="BR33" i="132"/>
  <c r="BS33" i="132"/>
  <c r="BT33" i="132"/>
  <c r="BR34" i="132"/>
  <c r="BS34" i="132"/>
  <c r="BT34" i="132"/>
  <c r="BR35" i="132"/>
  <c r="BS35" i="132"/>
  <c r="BT35" i="132"/>
  <c r="BR36" i="132"/>
  <c r="BS36" i="132"/>
  <c r="BT36" i="132"/>
  <c r="BR37" i="132"/>
  <c r="BS37" i="132"/>
  <c r="BT37" i="132"/>
  <c r="BR38" i="132"/>
  <c r="BS38" i="132"/>
  <c r="BT38" i="132"/>
  <c r="BR39" i="132"/>
  <c r="BS39" i="132"/>
  <c r="BT39" i="132"/>
  <c r="BR40" i="132"/>
  <c r="BS40" i="132"/>
  <c r="BT40" i="132"/>
  <c r="BR41" i="132"/>
  <c r="BS41" i="132"/>
  <c r="BT41" i="132"/>
  <c r="BR42" i="132"/>
  <c r="BS42" i="132"/>
  <c r="BT42" i="132"/>
  <c r="BR43" i="132"/>
  <c r="BS43" i="132"/>
  <c r="BT43" i="132"/>
  <c r="BR44" i="132"/>
  <c r="BS44" i="132"/>
  <c r="BT44" i="132"/>
  <c r="BR45" i="132"/>
  <c r="BS45" i="132"/>
  <c r="BT45" i="132"/>
  <c r="BR46" i="132"/>
  <c r="BS46" i="132"/>
  <c r="BT46" i="132"/>
  <c r="BR47" i="132"/>
  <c r="BS47" i="132"/>
  <c r="BT47" i="132"/>
  <c r="BR48" i="132"/>
  <c r="BS48" i="132"/>
  <c r="BT48" i="132"/>
  <c r="BS3" i="132"/>
  <c r="BT3" i="132"/>
  <c r="BI4" i="132"/>
  <c r="Y18" i="37" s="1"/>
  <c r="BI5" i="132"/>
  <c r="Y20" i="37" s="1"/>
  <c r="BI6" i="132"/>
  <c r="Y17" i="37" s="1"/>
  <c r="BI7" i="132"/>
  <c r="Y19" i="37" s="1"/>
  <c r="BI8" i="132"/>
  <c r="Y40" i="37" s="1"/>
  <c r="BI9" i="132"/>
  <c r="Y41" i="37" s="1"/>
  <c r="BI10" i="132"/>
  <c r="Y42" i="37" s="1"/>
  <c r="BI11" i="132"/>
  <c r="Y44" i="37" s="1"/>
  <c r="BI12" i="132"/>
  <c r="Y46" i="37" s="1"/>
  <c r="BI13" i="132"/>
  <c r="Y47" i="37" s="1"/>
  <c r="BI14" i="132"/>
  <c r="Y49" i="37" s="1"/>
  <c r="BI15" i="132"/>
  <c r="Y52" i="37" s="1"/>
  <c r="BI3" i="132"/>
  <c r="Y15" i="37" s="1"/>
  <c r="Y48" i="35"/>
  <c r="Y42" i="35"/>
  <c r="Y41" i="35" s="1"/>
  <c r="Y40" i="35" s="1"/>
  <c r="Y30" i="35"/>
  <c r="BP4" i="133"/>
  <c r="BQ4" i="133"/>
  <c r="BR4" i="133"/>
  <c r="BP5" i="133"/>
  <c r="BQ5" i="133"/>
  <c r="BR5" i="133"/>
  <c r="BP6" i="133"/>
  <c r="BQ6" i="133"/>
  <c r="BR6" i="133"/>
  <c r="BP7" i="133"/>
  <c r="BQ7" i="133"/>
  <c r="BR7" i="133"/>
  <c r="BP8" i="133"/>
  <c r="BQ8" i="133"/>
  <c r="BR8" i="133"/>
  <c r="BP9" i="133"/>
  <c r="BQ9" i="133"/>
  <c r="BR9" i="133"/>
  <c r="BP10" i="133"/>
  <c r="BQ10" i="133"/>
  <c r="BR10" i="133"/>
  <c r="BP11" i="133"/>
  <c r="BQ11" i="133"/>
  <c r="BR11" i="133"/>
  <c r="BP12" i="133"/>
  <c r="BQ12" i="133"/>
  <c r="BR12" i="133"/>
  <c r="BP13" i="133"/>
  <c r="BQ13" i="133"/>
  <c r="BR13" i="133"/>
  <c r="BP14" i="133"/>
  <c r="BQ14" i="133"/>
  <c r="BR14" i="133"/>
  <c r="BP15" i="133"/>
  <c r="BQ15" i="133"/>
  <c r="BR15" i="133"/>
  <c r="BP16" i="133"/>
  <c r="BQ16" i="133"/>
  <c r="BR16" i="133"/>
  <c r="BP17" i="133"/>
  <c r="BQ17" i="133"/>
  <c r="BR17" i="133"/>
  <c r="BP18" i="133"/>
  <c r="BQ18" i="133"/>
  <c r="BR18" i="133"/>
  <c r="BP19" i="133"/>
  <c r="BQ19" i="133"/>
  <c r="BR19" i="133"/>
  <c r="BP20" i="133"/>
  <c r="BQ20" i="133"/>
  <c r="BR20" i="133"/>
  <c r="BP21" i="133"/>
  <c r="BQ21" i="133"/>
  <c r="BR21" i="133"/>
  <c r="BP22" i="133"/>
  <c r="BQ22" i="133"/>
  <c r="BR22" i="133"/>
  <c r="BP23" i="133"/>
  <c r="BQ23" i="133"/>
  <c r="BR23" i="133"/>
  <c r="BP24" i="133"/>
  <c r="BQ24" i="133"/>
  <c r="BR24" i="133"/>
  <c r="BP25" i="133"/>
  <c r="BQ25" i="133"/>
  <c r="BR25" i="133"/>
  <c r="BP26" i="133"/>
  <c r="BQ26" i="133"/>
  <c r="BR26" i="133"/>
  <c r="BP27" i="133"/>
  <c r="BQ27" i="133"/>
  <c r="BR27" i="133"/>
  <c r="BP28" i="133"/>
  <c r="BQ28" i="133"/>
  <c r="BR28" i="133"/>
  <c r="BP29" i="133"/>
  <c r="BQ29" i="133"/>
  <c r="BR29" i="133"/>
  <c r="BP30" i="133"/>
  <c r="BQ30" i="133"/>
  <c r="BR30" i="133"/>
  <c r="BP31" i="133"/>
  <c r="BQ31" i="133"/>
  <c r="BR31" i="133"/>
  <c r="BP32" i="133"/>
  <c r="BQ32" i="133"/>
  <c r="BR32" i="133"/>
  <c r="BP33" i="133"/>
  <c r="BQ33" i="133"/>
  <c r="BR33" i="133"/>
  <c r="BP34" i="133"/>
  <c r="BQ34" i="133"/>
  <c r="BR34" i="133"/>
  <c r="BP35" i="133"/>
  <c r="BQ35" i="133"/>
  <c r="BR35" i="133"/>
  <c r="BP36" i="133"/>
  <c r="BQ36" i="133"/>
  <c r="BR36" i="133"/>
  <c r="BP37" i="133"/>
  <c r="BQ37" i="133"/>
  <c r="BR37" i="133"/>
  <c r="BP38" i="133"/>
  <c r="BQ38" i="133"/>
  <c r="BR38" i="133"/>
  <c r="BP39" i="133"/>
  <c r="BQ39" i="133"/>
  <c r="BR39" i="133"/>
  <c r="BP40" i="133"/>
  <c r="BQ40" i="133"/>
  <c r="BR40" i="133"/>
  <c r="BP41" i="133"/>
  <c r="BQ41" i="133"/>
  <c r="BR41" i="133"/>
  <c r="BP42" i="133"/>
  <c r="BQ42" i="133"/>
  <c r="BR42" i="133"/>
  <c r="BP43" i="133"/>
  <c r="BQ43" i="133"/>
  <c r="BR43" i="133"/>
  <c r="BP44" i="133"/>
  <c r="BQ44" i="133"/>
  <c r="BR44" i="133"/>
  <c r="BP45" i="133"/>
  <c r="BQ45" i="133"/>
  <c r="BR45" i="133"/>
  <c r="BP46" i="133"/>
  <c r="BQ46" i="133"/>
  <c r="BR46" i="133"/>
  <c r="BQ3" i="133"/>
  <c r="BR3" i="133"/>
  <c r="BP3" i="133"/>
  <c r="BF4" i="133"/>
  <c r="Y19" i="35" s="1"/>
  <c r="Y14" i="35" s="1"/>
  <c r="BF5" i="133"/>
  <c r="Y21" i="35" s="1"/>
  <c r="BF6" i="133"/>
  <c r="Y23" i="35" s="1"/>
  <c r="BF7" i="133"/>
  <c r="Y22" i="35" s="1"/>
  <c r="BF8" i="133"/>
  <c r="Y24" i="35" s="1"/>
  <c r="BF9" i="133"/>
  <c r="Y27" i="35" s="1"/>
  <c r="Y26" i="35" s="1"/>
  <c r="BF3" i="133"/>
  <c r="Y12" i="35" s="1"/>
  <c r="Y11" i="35" s="1"/>
  <c r="BF2" i="133"/>
  <c r="BE10" i="133"/>
  <c r="BF10" i="133" s="1"/>
  <c r="BI16" i="132" l="1"/>
  <c r="O53" i="54"/>
  <c r="AB10" i="4"/>
  <c r="AB9" i="4" s="1"/>
  <c r="Y16" i="37"/>
  <c r="Y14" i="37" s="1"/>
  <c r="Y12" i="37" s="1"/>
  <c r="Y38" i="37"/>
  <c r="Y43" i="37"/>
  <c r="Y20" i="35"/>
  <c r="Y13" i="35" s="1"/>
  <c r="Y10" i="35" s="1"/>
  <c r="Y9" i="35" s="1"/>
  <c r="L20" i="35"/>
  <c r="BB4" i="135"/>
  <c r="BC4" i="135"/>
  <c r="BD4" i="135"/>
  <c r="BE4" i="135"/>
  <c r="BB5" i="135"/>
  <c r="BC5" i="135"/>
  <c r="BD5" i="135"/>
  <c r="BE5" i="135"/>
  <c r="BB6" i="135"/>
  <c r="BC6" i="135"/>
  <c r="BD6" i="135"/>
  <c r="BE6" i="135"/>
  <c r="BB7" i="135"/>
  <c r="BC7" i="135"/>
  <c r="BD7" i="135"/>
  <c r="BE7" i="135"/>
  <c r="BB8" i="135"/>
  <c r="BC8" i="135"/>
  <c r="BD8" i="135"/>
  <c r="BE8" i="135"/>
  <c r="BB9" i="135"/>
  <c r="BC9" i="135"/>
  <c r="BD9" i="135"/>
  <c r="BE9" i="135"/>
  <c r="BB10" i="135"/>
  <c r="BC10" i="135"/>
  <c r="BD10" i="135"/>
  <c r="BE10" i="135"/>
  <c r="BB11" i="135"/>
  <c r="BC11" i="135"/>
  <c r="BD11" i="135"/>
  <c r="BE11" i="135"/>
  <c r="BB12" i="135"/>
  <c r="BC12" i="135"/>
  <c r="BD12" i="135"/>
  <c r="BE12" i="135"/>
  <c r="BB13" i="135"/>
  <c r="BC13" i="135"/>
  <c r="BD13" i="135"/>
  <c r="BE13" i="135"/>
  <c r="BB14" i="135"/>
  <c r="BC14" i="135"/>
  <c r="BD14" i="135"/>
  <c r="BE14" i="135"/>
  <c r="BB15" i="135"/>
  <c r="BC15" i="135"/>
  <c r="BD15" i="135"/>
  <c r="BE15" i="135"/>
  <c r="BB16" i="135"/>
  <c r="BC16" i="135"/>
  <c r="BD16" i="135"/>
  <c r="BE16" i="135"/>
  <c r="BB17" i="135"/>
  <c r="BC17" i="135"/>
  <c r="BD17" i="135"/>
  <c r="BE17" i="135"/>
  <c r="BB18" i="135"/>
  <c r="BC18" i="135"/>
  <c r="BD18" i="135"/>
  <c r="BE18" i="135"/>
  <c r="BB19" i="135"/>
  <c r="BC19" i="135"/>
  <c r="BD19" i="135"/>
  <c r="BE19" i="135"/>
  <c r="BB20" i="135"/>
  <c r="BC20" i="135"/>
  <c r="BD20" i="135"/>
  <c r="BE20" i="135"/>
  <c r="BB21" i="135"/>
  <c r="BC21" i="135"/>
  <c r="BD21" i="135"/>
  <c r="BE21" i="135"/>
  <c r="BB22" i="135"/>
  <c r="BC22" i="135"/>
  <c r="BD22" i="135"/>
  <c r="BE22" i="135"/>
  <c r="BB23" i="135"/>
  <c r="BC23" i="135"/>
  <c r="BD23" i="135"/>
  <c r="BE23" i="135"/>
  <c r="BB24" i="135"/>
  <c r="BC24" i="135"/>
  <c r="BD24" i="135"/>
  <c r="BE24" i="135"/>
  <c r="BB25" i="135"/>
  <c r="BC25" i="135"/>
  <c r="BD25" i="135"/>
  <c r="BE25" i="135"/>
  <c r="BB26" i="135"/>
  <c r="BC26" i="135"/>
  <c r="BD26" i="135"/>
  <c r="BE26" i="135"/>
  <c r="BB27" i="135"/>
  <c r="BC27" i="135"/>
  <c r="BD27" i="135"/>
  <c r="BE27" i="135"/>
  <c r="BB28" i="135"/>
  <c r="BC28" i="135"/>
  <c r="BD28" i="135"/>
  <c r="BE28" i="135"/>
  <c r="BB29" i="135"/>
  <c r="BC29" i="135"/>
  <c r="BD29" i="135"/>
  <c r="BE29" i="135"/>
  <c r="BB30" i="135"/>
  <c r="BC30" i="135"/>
  <c r="BD30" i="135"/>
  <c r="BE30" i="135"/>
  <c r="BB31" i="135"/>
  <c r="BC31" i="135"/>
  <c r="BD31" i="135"/>
  <c r="BE31" i="135"/>
  <c r="BB32" i="135"/>
  <c r="BC32" i="135"/>
  <c r="BD32" i="135"/>
  <c r="BE32" i="135"/>
  <c r="BB33" i="135"/>
  <c r="BC33" i="135"/>
  <c r="BD33" i="135"/>
  <c r="BE33" i="135"/>
  <c r="BB34" i="135"/>
  <c r="BC34" i="135"/>
  <c r="BD34" i="135"/>
  <c r="BE34" i="135"/>
  <c r="BB35" i="135"/>
  <c r="BC35" i="135"/>
  <c r="BD35" i="135"/>
  <c r="BE35" i="135"/>
  <c r="BB36" i="135"/>
  <c r="BC36" i="135"/>
  <c r="BD36" i="135"/>
  <c r="BE36" i="135"/>
  <c r="BB37" i="135"/>
  <c r="BC37" i="135"/>
  <c r="BD37" i="135"/>
  <c r="BE37" i="135"/>
  <c r="BB38" i="135"/>
  <c r="BC38" i="135"/>
  <c r="BD38" i="135"/>
  <c r="BE38" i="135"/>
  <c r="BB39" i="135"/>
  <c r="BC39" i="135"/>
  <c r="BD39" i="135"/>
  <c r="BE39" i="135"/>
  <c r="BB40" i="135"/>
  <c r="BC40" i="135"/>
  <c r="BD40" i="135"/>
  <c r="BE40" i="135"/>
  <c r="BB41" i="135"/>
  <c r="BC41" i="135"/>
  <c r="BD41" i="135"/>
  <c r="BE41" i="135"/>
  <c r="BB42" i="135"/>
  <c r="BC42" i="135"/>
  <c r="BD42" i="135"/>
  <c r="BE42" i="135"/>
  <c r="BB43" i="135"/>
  <c r="BC43" i="135"/>
  <c r="BD43" i="135"/>
  <c r="BE43" i="135"/>
  <c r="BB44" i="135"/>
  <c r="BC44" i="135"/>
  <c r="BD44" i="135"/>
  <c r="BE44" i="135"/>
  <c r="BB45" i="135"/>
  <c r="BC45" i="135"/>
  <c r="BD45" i="135"/>
  <c r="BE45" i="135"/>
  <c r="BB46" i="135"/>
  <c r="BC46" i="135"/>
  <c r="BD46" i="135"/>
  <c r="BE46" i="135"/>
  <c r="BB47" i="135"/>
  <c r="BC47" i="135"/>
  <c r="BD47" i="135"/>
  <c r="BE47" i="135"/>
  <c r="BB48" i="135"/>
  <c r="BC48" i="135"/>
  <c r="BD48" i="135"/>
  <c r="BE48" i="135"/>
  <c r="BB49" i="135"/>
  <c r="BC49" i="135"/>
  <c r="BD49" i="135"/>
  <c r="BE49" i="135"/>
  <c r="BB50" i="135"/>
  <c r="BC50" i="135"/>
  <c r="BD50" i="135"/>
  <c r="BE50" i="135"/>
  <c r="BB51" i="135"/>
  <c r="BC51" i="135"/>
  <c r="BD51" i="135"/>
  <c r="BE51" i="135"/>
  <c r="BB52" i="135"/>
  <c r="BC52" i="135"/>
  <c r="BD52" i="135"/>
  <c r="BE52" i="135"/>
  <c r="BB53" i="135"/>
  <c r="BC53" i="135"/>
  <c r="BD53" i="135"/>
  <c r="BE53" i="135"/>
  <c r="BB54" i="135"/>
  <c r="BC54" i="135"/>
  <c r="BD54" i="135"/>
  <c r="BE54" i="135"/>
  <c r="BB55" i="135"/>
  <c r="BC55" i="135"/>
  <c r="BD55" i="135"/>
  <c r="BE55" i="135"/>
  <c r="BB56" i="135"/>
  <c r="BC56" i="135"/>
  <c r="BD56" i="135"/>
  <c r="BE56" i="135"/>
  <c r="BB57" i="135"/>
  <c r="BC57" i="135"/>
  <c r="BD57" i="135"/>
  <c r="BE57" i="135"/>
  <c r="BB58" i="135"/>
  <c r="BC58" i="135"/>
  <c r="BD58" i="135"/>
  <c r="BE58" i="135"/>
  <c r="BB59" i="135"/>
  <c r="BC59" i="135"/>
  <c r="BD59" i="135"/>
  <c r="BE59" i="135"/>
  <c r="BB60" i="135"/>
  <c r="BC60" i="135"/>
  <c r="BD60" i="135"/>
  <c r="BE60" i="135"/>
  <c r="BB61" i="135"/>
  <c r="BC61" i="135"/>
  <c r="BD61" i="135"/>
  <c r="BE61" i="135"/>
  <c r="BB62" i="135"/>
  <c r="BC62" i="135"/>
  <c r="BD62" i="135"/>
  <c r="BE62" i="135"/>
  <c r="BB63" i="135"/>
  <c r="BC63" i="135"/>
  <c r="BD63" i="135"/>
  <c r="BE63" i="135"/>
  <c r="BB64" i="135"/>
  <c r="BC64" i="135"/>
  <c r="BD64" i="135"/>
  <c r="BE64" i="135"/>
  <c r="BB65" i="135"/>
  <c r="BC65" i="135"/>
  <c r="BD65" i="135"/>
  <c r="BE65" i="135"/>
  <c r="BB66" i="135"/>
  <c r="BC66" i="135"/>
  <c r="BD66" i="135"/>
  <c r="BE66" i="135"/>
  <c r="BB67" i="135"/>
  <c r="BC67" i="135"/>
  <c r="BD67" i="135"/>
  <c r="BE67" i="135"/>
  <c r="BB68" i="135"/>
  <c r="BC68" i="135"/>
  <c r="BD68" i="135"/>
  <c r="BE68" i="135"/>
  <c r="BB69" i="135"/>
  <c r="BC69" i="135"/>
  <c r="BD69" i="135"/>
  <c r="BE69" i="135"/>
  <c r="BB70" i="135"/>
  <c r="BC70" i="135"/>
  <c r="BD70" i="135"/>
  <c r="BE70" i="135"/>
  <c r="BB71" i="135"/>
  <c r="BC71" i="135"/>
  <c r="BD71" i="135"/>
  <c r="BE71" i="135"/>
  <c r="BB72" i="135"/>
  <c r="BC72" i="135"/>
  <c r="BD72" i="135"/>
  <c r="BE72" i="135"/>
  <c r="BB73" i="135"/>
  <c r="BC73" i="135"/>
  <c r="BD73" i="135"/>
  <c r="BE73" i="135"/>
  <c r="BB74" i="135"/>
  <c r="BC74" i="135"/>
  <c r="BD74" i="135"/>
  <c r="BE74" i="135"/>
  <c r="BB75" i="135"/>
  <c r="BC75" i="135"/>
  <c r="BD75" i="135"/>
  <c r="BE75" i="135"/>
  <c r="BB76" i="135"/>
  <c r="BC76" i="135"/>
  <c r="BD76" i="135"/>
  <c r="BE76" i="135"/>
  <c r="BB77" i="135"/>
  <c r="BC77" i="135"/>
  <c r="BD77" i="135"/>
  <c r="BE77" i="135"/>
  <c r="BB78" i="135"/>
  <c r="BC78" i="135"/>
  <c r="BD78" i="135"/>
  <c r="BE78" i="135"/>
  <c r="BB79" i="135"/>
  <c r="BC79" i="135"/>
  <c r="BD79" i="135"/>
  <c r="BE79" i="135"/>
  <c r="BB80" i="135"/>
  <c r="BC80" i="135"/>
  <c r="BD80" i="135"/>
  <c r="BE80" i="135"/>
  <c r="BB81" i="135"/>
  <c r="BC81" i="135"/>
  <c r="BD81" i="135"/>
  <c r="BE81" i="135"/>
  <c r="BB82" i="135"/>
  <c r="BC82" i="135"/>
  <c r="BD82" i="135"/>
  <c r="BE82" i="135"/>
  <c r="BB83" i="135"/>
  <c r="BC83" i="135"/>
  <c r="BD83" i="135"/>
  <c r="BE83" i="135"/>
  <c r="BB84" i="135"/>
  <c r="BC84" i="135"/>
  <c r="BD84" i="135"/>
  <c r="BE84" i="135"/>
  <c r="BB85" i="135"/>
  <c r="BC85" i="135"/>
  <c r="BD85" i="135"/>
  <c r="BE85" i="135"/>
  <c r="BB86" i="135"/>
  <c r="BC86" i="135"/>
  <c r="BD86" i="135"/>
  <c r="BE86" i="135"/>
  <c r="BB87" i="135"/>
  <c r="BC87" i="135"/>
  <c r="BD87" i="135"/>
  <c r="BE87" i="135"/>
  <c r="BB88" i="135"/>
  <c r="BC88" i="135"/>
  <c r="BD88" i="135"/>
  <c r="BE88" i="135"/>
  <c r="BB89" i="135"/>
  <c r="BC89" i="135"/>
  <c r="BD89" i="135"/>
  <c r="BE89" i="135"/>
  <c r="BB90" i="135"/>
  <c r="BC90" i="135"/>
  <c r="BD90" i="135"/>
  <c r="BE90" i="135"/>
  <c r="BB91" i="135"/>
  <c r="BC91" i="135"/>
  <c r="BD91" i="135"/>
  <c r="BE91" i="135"/>
  <c r="BB92" i="135"/>
  <c r="BC92" i="135"/>
  <c r="BD92" i="135"/>
  <c r="BE92" i="135"/>
  <c r="BB93" i="135"/>
  <c r="BC93" i="135"/>
  <c r="BD93" i="135"/>
  <c r="BE93" i="135"/>
  <c r="BB94" i="135"/>
  <c r="BC94" i="135"/>
  <c r="BD94" i="135"/>
  <c r="BE94" i="135"/>
  <c r="BB95" i="135"/>
  <c r="BC95" i="135"/>
  <c r="BD95" i="135"/>
  <c r="BE95" i="135"/>
  <c r="BB96" i="135"/>
  <c r="BC96" i="135"/>
  <c r="BD96" i="135"/>
  <c r="BE96" i="135"/>
  <c r="BB97" i="135"/>
  <c r="BC97" i="135"/>
  <c r="BD97" i="135"/>
  <c r="BE97" i="135"/>
  <c r="BB98" i="135"/>
  <c r="BC98" i="135"/>
  <c r="BD98" i="135"/>
  <c r="BE98" i="135"/>
  <c r="BB99" i="135"/>
  <c r="BC99" i="135"/>
  <c r="BD99" i="135"/>
  <c r="BE99" i="135"/>
  <c r="BB100" i="135"/>
  <c r="BC100" i="135"/>
  <c r="BD100" i="135"/>
  <c r="BE100" i="135"/>
  <c r="BB101" i="135"/>
  <c r="BC101" i="135"/>
  <c r="BD101" i="135"/>
  <c r="BE101" i="135"/>
  <c r="BB102" i="135"/>
  <c r="BC102" i="135"/>
  <c r="BD102" i="135"/>
  <c r="BE102" i="135"/>
  <c r="BB103" i="135"/>
  <c r="BC103" i="135"/>
  <c r="BD103" i="135"/>
  <c r="BE103" i="135"/>
  <c r="BB104" i="135"/>
  <c r="BC104" i="135"/>
  <c r="BD104" i="135"/>
  <c r="BE104" i="135"/>
  <c r="BB105" i="135"/>
  <c r="BC105" i="135"/>
  <c r="BD105" i="135"/>
  <c r="BE105" i="135"/>
  <c r="BB106" i="135"/>
  <c r="BC106" i="135"/>
  <c r="BD106" i="135"/>
  <c r="BE106" i="135"/>
  <c r="BB107" i="135"/>
  <c r="BC107" i="135"/>
  <c r="BD107" i="135"/>
  <c r="BE107" i="135"/>
  <c r="BB108" i="135"/>
  <c r="BC108" i="135"/>
  <c r="BD108" i="135"/>
  <c r="BE108" i="135"/>
  <c r="BB109" i="135"/>
  <c r="BC109" i="135"/>
  <c r="BD109" i="135"/>
  <c r="BE109" i="135"/>
  <c r="BB110" i="135"/>
  <c r="BC110" i="135"/>
  <c r="BD110" i="135"/>
  <c r="BE110" i="135"/>
  <c r="BB111" i="135"/>
  <c r="BC111" i="135"/>
  <c r="BD111" i="135"/>
  <c r="BE111" i="135"/>
  <c r="BB112" i="135"/>
  <c r="BC112" i="135"/>
  <c r="BD112" i="135"/>
  <c r="BE112" i="135"/>
  <c r="BB113" i="135"/>
  <c r="BC113" i="135"/>
  <c r="BD113" i="135"/>
  <c r="BE113" i="135"/>
  <c r="BB114" i="135"/>
  <c r="BC114" i="135"/>
  <c r="BD114" i="135"/>
  <c r="BE114" i="135"/>
  <c r="BB115" i="135"/>
  <c r="BC115" i="135"/>
  <c r="BD115" i="135"/>
  <c r="BE115" i="135"/>
  <c r="BB116" i="135"/>
  <c r="BC116" i="135"/>
  <c r="BD116" i="135"/>
  <c r="BE116" i="135"/>
  <c r="BB117" i="135"/>
  <c r="BC117" i="135"/>
  <c r="BD117" i="135"/>
  <c r="BE117" i="135"/>
  <c r="BB118" i="135"/>
  <c r="BC118" i="135"/>
  <c r="BD118" i="135"/>
  <c r="BE118" i="135"/>
  <c r="BB119" i="135"/>
  <c r="BC119" i="135"/>
  <c r="BD119" i="135"/>
  <c r="BE119" i="135"/>
  <c r="BB120" i="135"/>
  <c r="BC120" i="135"/>
  <c r="BD120" i="135"/>
  <c r="BE120" i="135"/>
  <c r="BB121" i="135"/>
  <c r="BC121" i="135"/>
  <c r="BD121" i="135"/>
  <c r="BE121" i="135"/>
  <c r="BB122" i="135"/>
  <c r="BC122" i="135"/>
  <c r="BD122" i="135"/>
  <c r="BE122" i="135"/>
  <c r="BB123" i="135"/>
  <c r="BC123" i="135"/>
  <c r="BD123" i="135"/>
  <c r="BE123" i="135"/>
  <c r="BB124" i="135"/>
  <c r="BC124" i="135"/>
  <c r="BD124" i="135"/>
  <c r="BE124" i="135"/>
  <c r="BB125" i="135"/>
  <c r="BC125" i="135"/>
  <c r="BD125" i="135"/>
  <c r="BE125" i="135"/>
  <c r="BB126" i="135"/>
  <c r="BC126" i="135"/>
  <c r="BD126" i="135"/>
  <c r="BE126" i="135"/>
  <c r="BB127" i="135"/>
  <c r="BC127" i="135"/>
  <c r="BD127" i="135"/>
  <c r="BE127" i="135"/>
  <c r="BB128" i="135"/>
  <c r="BC128" i="135"/>
  <c r="BD128" i="135"/>
  <c r="BE128" i="135"/>
  <c r="BB129" i="135"/>
  <c r="BC129" i="135"/>
  <c r="BD129" i="135"/>
  <c r="BE129" i="135"/>
  <c r="BB130" i="135"/>
  <c r="BC130" i="135"/>
  <c r="BD130" i="135"/>
  <c r="BE130" i="135"/>
  <c r="BB131" i="135"/>
  <c r="BC131" i="135"/>
  <c r="BD131" i="135"/>
  <c r="BE131" i="135"/>
  <c r="BB132" i="135"/>
  <c r="BC132" i="135"/>
  <c r="BD132" i="135"/>
  <c r="BE132" i="135"/>
  <c r="BB133" i="135"/>
  <c r="BC133" i="135"/>
  <c r="BD133" i="135"/>
  <c r="BE133" i="135"/>
  <c r="BB134" i="135"/>
  <c r="BC134" i="135"/>
  <c r="BD134" i="135"/>
  <c r="BE134" i="135"/>
  <c r="BB135" i="135"/>
  <c r="BC135" i="135"/>
  <c r="BD135" i="135"/>
  <c r="BE135" i="135"/>
  <c r="BB136" i="135"/>
  <c r="BC136" i="135"/>
  <c r="BD136" i="135"/>
  <c r="BE136" i="135"/>
  <c r="BB137" i="135"/>
  <c r="BC137" i="135"/>
  <c r="BD137" i="135"/>
  <c r="BE137" i="135"/>
  <c r="BB138" i="135"/>
  <c r="BC138" i="135"/>
  <c r="BD138" i="135"/>
  <c r="BE138" i="135"/>
  <c r="BB139" i="135"/>
  <c r="BC139" i="135"/>
  <c r="BD139" i="135"/>
  <c r="BE139" i="135"/>
  <c r="BB140" i="135"/>
  <c r="BC140" i="135"/>
  <c r="BD140" i="135"/>
  <c r="BE140" i="135"/>
  <c r="BB141" i="135"/>
  <c r="BC141" i="135"/>
  <c r="BD141" i="135"/>
  <c r="BE141" i="135"/>
  <c r="BB142" i="135"/>
  <c r="BC142" i="135"/>
  <c r="BD142" i="135"/>
  <c r="BE142" i="135"/>
  <c r="BB143" i="135"/>
  <c r="BC143" i="135"/>
  <c r="BD143" i="135"/>
  <c r="BE143" i="135"/>
  <c r="BB144" i="135"/>
  <c r="BC144" i="135"/>
  <c r="BD144" i="135"/>
  <c r="BE144" i="135"/>
  <c r="BB145" i="135"/>
  <c r="BC145" i="135"/>
  <c r="BD145" i="135"/>
  <c r="BE145" i="135"/>
  <c r="BB146" i="135"/>
  <c r="BC146" i="135"/>
  <c r="BD146" i="135"/>
  <c r="BE146" i="135"/>
  <c r="BB147" i="135"/>
  <c r="BC147" i="135"/>
  <c r="BD147" i="135"/>
  <c r="BE147" i="135"/>
  <c r="BB148" i="135"/>
  <c r="BC148" i="135"/>
  <c r="BD148" i="135"/>
  <c r="BE148" i="135"/>
  <c r="BB149" i="135"/>
  <c r="BC149" i="135"/>
  <c r="BD149" i="135"/>
  <c r="BE149" i="135"/>
  <c r="BC3" i="135"/>
  <c r="BD3" i="135"/>
  <c r="BE3" i="135"/>
  <c r="BB3" i="135"/>
  <c r="AA168" i="4"/>
  <c r="Z162" i="4"/>
  <c r="AA162" i="4"/>
  <c r="Z147" i="4"/>
  <c r="AA147" i="4"/>
  <c r="Z142" i="4"/>
  <c r="Z83" i="4"/>
  <c r="AA83" i="4"/>
  <c r="Z59" i="4"/>
  <c r="Z28" i="4"/>
  <c r="Y37" i="37" l="1"/>
  <c r="Y33" i="37" s="1"/>
  <c r="Y11" i="37" s="1"/>
  <c r="N94" i="4"/>
  <c r="M179" i="4"/>
  <c r="O179" i="4"/>
  <c r="J179" i="4"/>
  <c r="N110" i="4"/>
  <c r="N111" i="4"/>
  <c r="AT4" i="135"/>
  <c r="AT5" i="135"/>
  <c r="AT6" i="135"/>
  <c r="Z13" i="4" s="1"/>
  <c r="AT7" i="135"/>
  <c r="Z14" i="4" s="1"/>
  <c r="AT8" i="135"/>
  <c r="Z15" i="4" s="1"/>
  <c r="AT9" i="135"/>
  <c r="Z16" i="4" s="1"/>
  <c r="AT10" i="135"/>
  <c r="Z17" i="4" s="1"/>
  <c r="AT11" i="135"/>
  <c r="Z18" i="4" s="1"/>
  <c r="AT12" i="135"/>
  <c r="Z19" i="4" s="1"/>
  <c r="AT13" i="135"/>
  <c r="Z20" i="4" s="1"/>
  <c r="AT14" i="135"/>
  <c r="Z21" i="4" s="1"/>
  <c r="AT15" i="135"/>
  <c r="Z22" i="4" s="1"/>
  <c r="AT16" i="135"/>
  <c r="Z23" i="4" s="1"/>
  <c r="AT17" i="135"/>
  <c r="AT18" i="135"/>
  <c r="Z27" i="4" s="1"/>
  <c r="Z25" i="4" s="1"/>
  <c r="AT19" i="135"/>
  <c r="AT20" i="135"/>
  <c r="AT21" i="135"/>
  <c r="AT22" i="135"/>
  <c r="AT23" i="135"/>
  <c r="Z33" i="4" s="1"/>
  <c r="AT24" i="135"/>
  <c r="Z34" i="4" s="1"/>
  <c r="AT25" i="135"/>
  <c r="Z35" i="4" s="1"/>
  <c r="AT26" i="135"/>
  <c r="AT27" i="135"/>
  <c r="Z39" i="4" s="1"/>
  <c r="Z37" i="4" s="1"/>
  <c r="AT28" i="135"/>
  <c r="AT29" i="135"/>
  <c r="AT30" i="135"/>
  <c r="Z43" i="4" s="1"/>
  <c r="AT31" i="135"/>
  <c r="Z44" i="4" s="1"/>
  <c r="AT32" i="135"/>
  <c r="Z45" i="4" s="1"/>
  <c r="AT33" i="135"/>
  <c r="Z46" i="4" s="1"/>
  <c r="AT34" i="135"/>
  <c r="Z48" i="4" s="1"/>
  <c r="AT35" i="135"/>
  <c r="Z49" i="4" s="1"/>
  <c r="AT36" i="135"/>
  <c r="Z50" i="4" s="1"/>
  <c r="AT37" i="135"/>
  <c r="Z51" i="4" s="1"/>
  <c r="AT38" i="135"/>
  <c r="Z52" i="4" s="1"/>
  <c r="AT39" i="135"/>
  <c r="Z54" i="4" s="1"/>
  <c r="AT40" i="135"/>
  <c r="AT41" i="135"/>
  <c r="Z58" i="4" s="1"/>
  <c r="Z56" i="4" s="1"/>
  <c r="AT42" i="135"/>
  <c r="AT43" i="135"/>
  <c r="AT44" i="135"/>
  <c r="AT45" i="135"/>
  <c r="AT46" i="135"/>
  <c r="Z64" i="4" s="1"/>
  <c r="AT47" i="135"/>
  <c r="Z65" i="4" s="1"/>
  <c r="AT48" i="135"/>
  <c r="Z66" i="4" s="1"/>
  <c r="AT49" i="135"/>
  <c r="AT50" i="135"/>
  <c r="Z70" i="4" s="1"/>
  <c r="Z68" i="4" s="1"/>
  <c r="AT51" i="135"/>
  <c r="AT52" i="135"/>
  <c r="AT53" i="135"/>
  <c r="Z74" i="4" s="1"/>
  <c r="AT54" i="135"/>
  <c r="Z75" i="4" s="1"/>
  <c r="AT55" i="135"/>
  <c r="Z76" i="4" s="1"/>
  <c r="AT56" i="135"/>
  <c r="AT57" i="135"/>
  <c r="AT58" i="135"/>
  <c r="Z81" i="4" s="1"/>
  <c r="AT59" i="135"/>
  <c r="Z82" i="4" s="1"/>
  <c r="AT60" i="135"/>
  <c r="AT61" i="135"/>
  <c r="Z86" i="4" s="1"/>
  <c r="AT62" i="135"/>
  <c r="Z89" i="4" s="1"/>
  <c r="AT63" i="135"/>
  <c r="Z90" i="4" s="1"/>
  <c r="AT64" i="135"/>
  <c r="Z91" i="4" s="1"/>
  <c r="AT65" i="135"/>
  <c r="Z92" i="4" s="1"/>
  <c r="AT66" i="135"/>
  <c r="Z93" i="4" s="1"/>
  <c r="AT67" i="135"/>
  <c r="Z94" i="4" s="1"/>
  <c r="AT68" i="135"/>
  <c r="Z95" i="4" s="1"/>
  <c r="AT69" i="135"/>
  <c r="Z96" i="4" s="1"/>
  <c r="AT70" i="135"/>
  <c r="Z97" i="4" s="1"/>
  <c r="AT71" i="135"/>
  <c r="AT72" i="135"/>
  <c r="Z99" i="4" s="1"/>
  <c r="AT73" i="135"/>
  <c r="Z100" i="4" s="1"/>
  <c r="AT74" i="135"/>
  <c r="Z101" i="4" s="1"/>
  <c r="AT75" i="135"/>
  <c r="Z102" i="4" s="1"/>
  <c r="AT76" i="135"/>
  <c r="Z103" i="4" s="1"/>
  <c r="AT77" i="135"/>
  <c r="Z106" i="4" s="1"/>
  <c r="AT78" i="135"/>
  <c r="AT79" i="135"/>
  <c r="Z108" i="4" s="1"/>
  <c r="AT80" i="135"/>
  <c r="Z109" i="4" s="1"/>
  <c r="AT81" i="135"/>
  <c r="AT82" i="135"/>
  <c r="AT83" i="135"/>
  <c r="AT84" i="135"/>
  <c r="Z116" i="4" s="1"/>
  <c r="Z115" i="4" s="1"/>
  <c r="AT85" i="135"/>
  <c r="AT86" i="135"/>
  <c r="Z119" i="4" s="1"/>
  <c r="AT87" i="135"/>
  <c r="Z120" i="4" s="1"/>
  <c r="AT88" i="135"/>
  <c r="Z121" i="4" s="1"/>
  <c r="AT89" i="135"/>
  <c r="Z122" i="4" s="1"/>
  <c r="AT90" i="135"/>
  <c r="Z123" i="4" s="1"/>
  <c r="AT91" i="135"/>
  <c r="Z124" i="4" s="1"/>
  <c r="AT92" i="135"/>
  <c r="AT93" i="135"/>
  <c r="Z126" i="4" s="1"/>
  <c r="AT94" i="135"/>
  <c r="Z127" i="4" s="1"/>
  <c r="AT95" i="135"/>
  <c r="Z128" i="4" s="1"/>
  <c r="AT96" i="135"/>
  <c r="Z129" i="4" s="1"/>
  <c r="AT97" i="135"/>
  <c r="AT98" i="135"/>
  <c r="Z131" i="4" s="1"/>
  <c r="Z130" i="4" s="1"/>
  <c r="AT99" i="135"/>
  <c r="AT100" i="135"/>
  <c r="Z134" i="4" s="1"/>
  <c r="AT101" i="135"/>
  <c r="Z135" i="4" s="1"/>
  <c r="AT102" i="135"/>
  <c r="Z136" i="4" s="1"/>
  <c r="AT103" i="135"/>
  <c r="AT104" i="135"/>
  <c r="Z139" i="4" s="1"/>
  <c r="AT105" i="135"/>
  <c r="Z140" i="4" s="1"/>
  <c r="AT106" i="135"/>
  <c r="Z141" i="4" s="1"/>
  <c r="AT107" i="135"/>
  <c r="AT108" i="135"/>
  <c r="AT109" i="135"/>
  <c r="Z159" i="4" s="1"/>
  <c r="Z155" i="4" s="1"/>
  <c r="Z146" i="4" s="1"/>
  <c r="AT110" i="135"/>
  <c r="AT111" i="135"/>
  <c r="Z169" i="4" s="1"/>
  <c r="Z168" i="4" s="1"/>
  <c r="AT112" i="135"/>
  <c r="AT113" i="135"/>
  <c r="AT114" i="135"/>
  <c r="Z180" i="4" s="1"/>
  <c r="AT115" i="135"/>
  <c r="Z181" i="4" s="1"/>
  <c r="AT116" i="135"/>
  <c r="AT117" i="135"/>
  <c r="Z183" i="4" s="1"/>
  <c r="AT119" i="135"/>
  <c r="Z184" i="4" s="1"/>
  <c r="AT3" i="135"/>
  <c r="AT2" i="135"/>
  <c r="AZ3" i="117"/>
  <c r="O174" i="4" l="1"/>
  <c r="J174" i="4"/>
  <c r="Z107" i="4"/>
  <c r="Z63" i="4"/>
  <c r="Z179" i="4"/>
  <c r="Z174" i="4" s="1"/>
  <c r="Z79" i="4"/>
  <c r="Z32" i="4"/>
  <c r="Z42" i="4"/>
  <c r="Z12" i="4"/>
  <c r="Z138" i="4"/>
  <c r="Z98" i="4"/>
  <c r="Z118" i="4"/>
  <c r="Z182" i="4"/>
  <c r="Z125" i="4"/>
  <c r="Z85" i="4"/>
  <c r="Z73" i="4"/>
  <c r="Z72" i="4" s="1"/>
  <c r="Z133" i="4"/>
  <c r="W3" i="114"/>
  <c r="Z41" i="4" l="1"/>
  <c r="Z11" i="4"/>
  <c r="Z78" i="4"/>
  <c r="AN4" i="131"/>
  <c r="AN3" i="131"/>
  <c r="L28" i="37"/>
  <c r="L26" i="37"/>
  <c r="H79" i="37"/>
  <c r="L30" i="37"/>
  <c r="AY4" i="132"/>
  <c r="AZ4" i="132"/>
  <c r="BA4" i="132"/>
  <c r="AY5" i="132"/>
  <c r="AZ5" i="132"/>
  <c r="BA5" i="132"/>
  <c r="AY6" i="132"/>
  <c r="AZ6" i="132"/>
  <c r="BA6" i="132"/>
  <c r="AY7" i="132"/>
  <c r="AZ7" i="132"/>
  <c r="BA7" i="132"/>
  <c r="AY8" i="132"/>
  <c r="AZ8" i="132"/>
  <c r="BA8" i="132"/>
  <c r="AY9" i="132"/>
  <c r="AZ9" i="132"/>
  <c r="BA9" i="132"/>
  <c r="AY10" i="132"/>
  <c r="AZ10" i="132"/>
  <c r="BA10" i="132"/>
  <c r="AY11" i="132"/>
  <c r="AZ11" i="132"/>
  <c r="BA11" i="132"/>
  <c r="AY12" i="132"/>
  <c r="AZ12" i="132"/>
  <c r="BA12" i="132"/>
  <c r="AY13" i="132"/>
  <c r="AZ13" i="132"/>
  <c r="BA13" i="132"/>
  <c r="AY14" i="132"/>
  <c r="AZ14" i="132"/>
  <c r="BA14" i="132"/>
  <c r="AY15" i="132"/>
  <c r="AZ15" i="132"/>
  <c r="BA15" i="132"/>
  <c r="AY16" i="132"/>
  <c r="AZ16" i="132"/>
  <c r="BA16" i="132"/>
  <c r="AY17" i="132"/>
  <c r="AZ17" i="132"/>
  <c r="BA17" i="132"/>
  <c r="AY18" i="132"/>
  <c r="AZ18" i="132"/>
  <c r="BA18" i="132"/>
  <c r="AY19" i="132"/>
  <c r="AZ19" i="132"/>
  <c r="BA19" i="132"/>
  <c r="AY20" i="132"/>
  <c r="AZ20" i="132"/>
  <c r="BA20" i="132"/>
  <c r="AY21" i="132"/>
  <c r="AZ21" i="132"/>
  <c r="BA21" i="132"/>
  <c r="AY22" i="132"/>
  <c r="AZ22" i="132"/>
  <c r="BA22" i="132"/>
  <c r="AY23" i="132"/>
  <c r="AZ23" i="132"/>
  <c r="BA23" i="132"/>
  <c r="AY24" i="132"/>
  <c r="AZ24" i="132"/>
  <c r="BA24" i="132"/>
  <c r="AY25" i="132"/>
  <c r="AZ25" i="132"/>
  <c r="BA25" i="132"/>
  <c r="AY26" i="132"/>
  <c r="AZ26" i="132"/>
  <c r="BA26" i="132"/>
  <c r="AY27" i="132"/>
  <c r="AZ27" i="132"/>
  <c r="BA27" i="132"/>
  <c r="AY28" i="132"/>
  <c r="AZ28" i="132"/>
  <c r="BA28" i="132"/>
  <c r="AY29" i="132"/>
  <c r="AZ29" i="132"/>
  <c r="BA29" i="132"/>
  <c r="AY30" i="132"/>
  <c r="AZ30" i="132"/>
  <c r="BA30" i="132"/>
  <c r="AY31" i="132"/>
  <c r="AZ31" i="132"/>
  <c r="BA31" i="132"/>
  <c r="AY32" i="132"/>
  <c r="AZ32" i="132"/>
  <c r="BA32" i="132"/>
  <c r="AY33" i="132"/>
  <c r="AZ33" i="132"/>
  <c r="BA33" i="132"/>
  <c r="AY34" i="132"/>
  <c r="AZ34" i="132"/>
  <c r="BA34" i="132"/>
  <c r="AY35" i="132"/>
  <c r="AZ35" i="132"/>
  <c r="BA35" i="132"/>
  <c r="AY36" i="132"/>
  <c r="AZ36" i="132"/>
  <c r="BA36" i="132"/>
  <c r="AY37" i="132"/>
  <c r="AZ37" i="132"/>
  <c r="BA37" i="132"/>
  <c r="AY38" i="132"/>
  <c r="AZ38" i="132"/>
  <c r="BA38" i="132"/>
  <c r="AY39" i="132"/>
  <c r="AZ39" i="132"/>
  <c r="BA39" i="132"/>
  <c r="AY40" i="132"/>
  <c r="AZ40" i="132"/>
  <c r="BA40" i="132"/>
  <c r="AY41" i="132"/>
  <c r="AZ41" i="132"/>
  <c r="BA41" i="132"/>
  <c r="AY42" i="132"/>
  <c r="AZ42" i="132"/>
  <c r="BA42" i="132"/>
  <c r="AY43" i="132"/>
  <c r="AZ43" i="132"/>
  <c r="BA43" i="132"/>
  <c r="AY44" i="132"/>
  <c r="AZ44" i="132"/>
  <c r="BA44" i="132"/>
  <c r="AY45" i="132"/>
  <c r="AZ45" i="132"/>
  <c r="BA45" i="132"/>
  <c r="AY46" i="132"/>
  <c r="AZ46" i="132"/>
  <c r="BA46" i="132"/>
  <c r="AZ3" i="132"/>
  <c r="BA3" i="132"/>
  <c r="AY3" i="132"/>
  <c r="AO4" i="132"/>
  <c r="AO5" i="132"/>
  <c r="W18" i="37" s="1"/>
  <c r="AO6" i="132"/>
  <c r="AO7" i="132"/>
  <c r="W19" i="37" s="1"/>
  <c r="AO8" i="132"/>
  <c r="W17" i="37" s="1"/>
  <c r="AO9" i="132"/>
  <c r="W40" i="37" s="1"/>
  <c r="AO10" i="132"/>
  <c r="W42" i="37" s="1"/>
  <c r="AO11" i="132"/>
  <c r="W44" i="37" s="1"/>
  <c r="AO12" i="132"/>
  <c r="W45" i="37" s="1"/>
  <c r="AO13" i="132"/>
  <c r="W46" i="37" s="1"/>
  <c r="AO14" i="132"/>
  <c r="W47" i="37" s="1"/>
  <c r="AO15" i="132"/>
  <c r="W49" i="37" s="1"/>
  <c r="AO16" i="132"/>
  <c r="AO17" i="132"/>
  <c r="W52" i="37" s="1"/>
  <c r="AO18" i="132"/>
  <c r="W55" i="37" s="1"/>
  <c r="W54" i="37" s="1"/>
  <c r="AO3" i="132"/>
  <c r="AR4" i="115"/>
  <c r="N29" i="35"/>
  <c r="N36" i="35"/>
  <c r="N34" i="35"/>
  <c r="N32" i="35"/>
  <c r="N31" i="35"/>
  <c r="N27" i="35"/>
  <c r="N18" i="35"/>
  <c r="N17" i="35"/>
  <c r="N15" i="35"/>
  <c r="N12" i="35"/>
  <c r="AV4" i="133"/>
  <c r="AW4" i="133"/>
  <c r="AX4" i="133"/>
  <c r="AV5" i="133"/>
  <c r="AW5" i="133"/>
  <c r="AX5" i="133"/>
  <c r="AV6" i="133"/>
  <c r="AW6" i="133"/>
  <c r="AX6" i="133"/>
  <c r="AV7" i="133"/>
  <c r="AW7" i="133"/>
  <c r="AX7" i="133"/>
  <c r="AV8" i="133"/>
  <c r="AW8" i="133"/>
  <c r="AX8" i="133"/>
  <c r="AV9" i="133"/>
  <c r="AW9" i="133"/>
  <c r="AX9" i="133"/>
  <c r="AV10" i="133"/>
  <c r="AW10" i="133"/>
  <c r="AX10" i="133"/>
  <c r="AV11" i="133"/>
  <c r="AW11" i="133"/>
  <c r="AX11" i="133"/>
  <c r="AV12" i="133"/>
  <c r="AW12" i="133"/>
  <c r="AX12" i="133"/>
  <c r="AV13" i="133"/>
  <c r="AW13" i="133"/>
  <c r="AX13" i="133"/>
  <c r="AV14" i="133"/>
  <c r="AW14" i="133"/>
  <c r="AX14" i="133"/>
  <c r="AV15" i="133"/>
  <c r="AW15" i="133"/>
  <c r="AX15" i="133"/>
  <c r="AV16" i="133"/>
  <c r="AW16" i="133"/>
  <c r="AX16" i="133"/>
  <c r="AV17" i="133"/>
  <c r="AW17" i="133"/>
  <c r="AX17" i="133"/>
  <c r="AV18" i="133"/>
  <c r="AW18" i="133"/>
  <c r="AX18" i="133"/>
  <c r="AV19" i="133"/>
  <c r="AW19" i="133"/>
  <c r="AX19" i="133"/>
  <c r="AV20" i="133"/>
  <c r="AW20" i="133"/>
  <c r="AX20" i="133"/>
  <c r="AV21" i="133"/>
  <c r="AW21" i="133"/>
  <c r="AX21" i="133"/>
  <c r="AV22" i="133"/>
  <c r="AW22" i="133"/>
  <c r="AX22" i="133"/>
  <c r="AV23" i="133"/>
  <c r="AW23" i="133"/>
  <c r="AX23" i="133"/>
  <c r="AV24" i="133"/>
  <c r="AW24" i="133"/>
  <c r="AX24" i="133"/>
  <c r="AV25" i="133"/>
  <c r="AW25" i="133"/>
  <c r="AX25" i="133"/>
  <c r="AV26" i="133"/>
  <c r="AW26" i="133"/>
  <c r="AX26" i="133"/>
  <c r="AV27" i="133"/>
  <c r="AW27" i="133"/>
  <c r="AX27" i="133"/>
  <c r="AV28" i="133"/>
  <c r="AW28" i="133"/>
  <c r="AX28" i="133"/>
  <c r="AV29" i="133"/>
  <c r="AW29" i="133"/>
  <c r="AX29" i="133"/>
  <c r="AV30" i="133"/>
  <c r="AW30" i="133"/>
  <c r="AX30" i="133"/>
  <c r="AV31" i="133"/>
  <c r="AW31" i="133"/>
  <c r="AX31" i="133"/>
  <c r="AV32" i="133"/>
  <c r="AW32" i="133"/>
  <c r="AX32" i="133"/>
  <c r="AV33" i="133"/>
  <c r="AW33" i="133"/>
  <c r="AX33" i="133"/>
  <c r="AV34" i="133"/>
  <c r="AW34" i="133"/>
  <c r="AX34" i="133"/>
  <c r="AV35" i="133"/>
  <c r="AW35" i="133"/>
  <c r="AX35" i="133"/>
  <c r="AV36" i="133"/>
  <c r="AW36" i="133"/>
  <c r="AX36" i="133"/>
  <c r="AV37" i="133"/>
  <c r="AW37" i="133"/>
  <c r="AX37" i="133"/>
  <c r="AV38" i="133"/>
  <c r="AW38" i="133"/>
  <c r="AX38" i="133"/>
  <c r="AV39" i="133"/>
  <c r="AW39" i="133"/>
  <c r="AX39" i="133"/>
  <c r="AV40" i="133"/>
  <c r="AW40" i="133"/>
  <c r="AX40" i="133"/>
  <c r="AV41" i="133"/>
  <c r="AW41" i="133"/>
  <c r="AX41" i="133"/>
  <c r="AV42" i="133"/>
  <c r="AW42" i="133"/>
  <c r="AX42" i="133"/>
  <c r="AV43" i="133"/>
  <c r="AW43" i="133"/>
  <c r="AX43" i="133"/>
  <c r="AW3" i="133"/>
  <c r="AX3" i="133"/>
  <c r="AV3" i="133"/>
  <c r="AL4" i="133"/>
  <c r="AL5" i="133"/>
  <c r="AL6" i="133"/>
  <c r="AL7" i="133"/>
  <c r="W23" i="35" s="1"/>
  <c r="AL8" i="133"/>
  <c r="AL9" i="133"/>
  <c r="W21" i="35" s="1"/>
  <c r="AL10" i="133"/>
  <c r="W22" i="35" s="1"/>
  <c r="AL11" i="133"/>
  <c r="W27" i="35" s="1"/>
  <c r="W26" i="35" s="1"/>
  <c r="AL12" i="133"/>
  <c r="AL13" i="133"/>
  <c r="AL14" i="133"/>
  <c r="W33" i="35" s="1"/>
  <c r="W30" i="35" s="1"/>
  <c r="AL15" i="133"/>
  <c r="W44" i="35" s="1"/>
  <c r="W42" i="35" s="1"/>
  <c r="W41" i="35" s="1"/>
  <c r="W40" i="35" s="1"/>
  <c r="AL16" i="133"/>
  <c r="AL3" i="133"/>
  <c r="W15" i="35" s="1"/>
  <c r="W14" i="35" l="1"/>
  <c r="J15" i="35"/>
  <c r="BA47" i="132"/>
  <c r="AY47" i="132"/>
  <c r="AZ47" i="132"/>
  <c r="W38" i="37"/>
  <c r="L14" i="37"/>
  <c r="L12" i="37" s="1"/>
  <c r="H80" i="37"/>
  <c r="N19" i="35"/>
  <c r="N33" i="35"/>
  <c r="N35" i="35"/>
  <c r="Z10" i="4"/>
  <c r="Z9" i="4" s="1"/>
  <c r="W16" i="37"/>
  <c r="W14" i="37" s="1"/>
  <c r="W12" i="37" s="1"/>
  <c r="W43" i="37"/>
  <c r="W20" i="35"/>
  <c r="W13" i="35" s="1"/>
  <c r="W10" i="35" s="1"/>
  <c r="W9" i="35" s="1"/>
  <c r="AI3" i="116"/>
  <c r="AL4" i="135"/>
  <c r="AM4" i="135"/>
  <c r="AN4" i="135"/>
  <c r="AO4" i="135"/>
  <c r="AL5" i="135"/>
  <c r="AM5" i="135"/>
  <c r="AN5" i="135"/>
  <c r="AO5" i="135"/>
  <c r="AL6" i="135"/>
  <c r="AM6" i="135"/>
  <c r="AN6" i="135"/>
  <c r="AO6" i="135"/>
  <c r="AL7" i="135"/>
  <c r="AM7" i="135"/>
  <c r="AN7" i="135"/>
  <c r="AO7" i="135"/>
  <c r="AL8" i="135"/>
  <c r="AM8" i="135"/>
  <c r="AN8" i="135"/>
  <c r="AO8" i="135"/>
  <c r="AL9" i="135"/>
  <c r="AM9" i="135"/>
  <c r="AN9" i="135"/>
  <c r="AO9" i="135"/>
  <c r="AL10" i="135"/>
  <c r="AM10" i="135"/>
  <c r="AN10" i="135"/>
  <c r="AO10" i="135"/>
  <c r="AL11" i="135"/>
  <c r="AM11" i="135"/>
  <c r="AN11" i="135"/>
  <c r="AO11" i="135"/>
  <c r="AL12" i="135"/>
  <c r="AM12" i="135"/>
  <c r="AN12" i="135"/>
  <c r="AO12" i="135"/>
  <c r="AL13" i="135"/>
  <c r="AM13" i="135"/>
  <c r="AN13" i="135"/>
  <c r="AO13" i="135"/>
  <c r="AL14" i="135"/>
  <c r="AM14" i="135"/>
  <c r="AN14" i="135"/>
  <c r="AO14" i="135"/>
  <c r="AL15" i="135"/>
  <c r="AM15" i="135"/>
  <c r="AN15" i="135"/>
  <c r="AO15" i="135"/>
  <c r="AL16" i="135"/>
  <c r="AM16" i="135"/>
  <c r="AN16" i="135"/>
  <c r="AO16" i="135"/>
  <c r="AL17" i="135"/>
  <c r="AM17" i="135"/>
  <c r="AN17" i="135"/>
  <c r="AO17" i="135"/>
  <c r="AL18" i="135"/>
  <c r="AM18" i="135"/>
  <c r="AN18" i="135"/>
  <c r="AO18" i="135"/>
  <c r="AL19" i="135"/>
  <c r="AM19" i="135"/>
  <c r="AN19" i="135"/>
  <c r="AO19" i="135"/>
  <c r="AL20" i="135"/>
  <c r="AM20" i="135"/>
  <c r="AN20" i="135"/>
  <c r="AO20" i="135"/>
  <c r="AL21" i="135"/>
  <c r="AM21" i="135"/>
  <c r="AN21" i="135"/>
  <c r="AO21" i="135"/>
  <c r="AL22" i="135"/>
  <c r="AM22" i="135"/>
  <c r="AN22" i="135"/>
  <c r="AO22" i="135"/>
  <c r="AL23" i="135"/>
  <c r="AM23" i="135"/>
  <c r="AN23" i="135"/>
  <c r="AO23" i="135"/>
  <c r="AL24" i="135"/>
  <c r="AM24" i="135"/>
  <c r="AN24" i="135"/>
  <c r="AO24" i="135"/>
  <c r="AL25" i="135"/>
  <c r="AM25" i="135"/>
  <c r="AN25" i="135"/>
  <c r="AO25" i="135"/>
  <c r="AL26" i="135"/>
  <c r="AM26" i="135"/>
  <c r="AN26" i="135"/>
  <c r="AO26" i="135"/>
  <c r="AL27" i="135"/>
  <c r="AM27" i="135"/>
  <c r="AN27" i="135"/>
  <c r="AO27" i="135"/>
  <c r="AL28" i="135"/>
  <c r="AM28" i="135"/>
  <c r="AN28" i="135"/>
  <c r="AO28" i="135"/>
  <c r="AL29" i="135"/>
  <c r="AM29" i="135"/>
  <c r="AN29" i="135"/>
  <c r="AO29" i="135"/>
  <c r="AL30" i="135"/>
  <c r="AM30" i="135"/>
  <c r="AN30" i="135"/>
  <c r="AO30" i="135"/>
  <c r="AL31" i="135"/>
  <c r="AM31" i="135"/>
  <c r="AN31" i="135"/>
  <c r="AO31" i="135"/>
  <c r="AL32" i="135"/>
  <c r="AM32" i="135"/>
  <c r="AN32" i="135"/>
  <c r="AO32" i="135"/>
  <c r="AL33" i="135"/>
  <c r="AM33" i="135"/>
  <c r="AN33" i="135"/>
  <c r="AO33" i="135"/>
  <c r="AL34" i="135"/>
  <c r="AM34" i="135"/>
  <c r="AN34" i="135"/>
  <c r="AO34" i="135"/>
  <c r="AL35" i="135"/>
  <c r="AM35" i="135"/>
  <c r="AN35" i="135"/>
  <c r="AO35" i="135"/>
  <c r="AL36" i="135"/>
  <c r="AM36" i="135"/>
  <c r="AN36" i="135"/>
  <c r="AO36" i="135"/>
  <c r="AL37" i="135"/>
  <c r="AM37" i="135"/>
  <c r="AN37" i="135"/>
  <c r="AO37" i="135"/>
  <c r="AL38" i="135"/>
  <c r="AM38" i="135"/>
  <c r="AN38" i="135"/>
  <c r="AO38" i="135"/>
  <c r="AL39" i="135"/>
  <c r="AM39" i="135"/>
  <c r="AN39" i="135"/>
  <c r="AO39" i="135"/>
  <c r="AL40" i="135"/>
  <c r="AM40" i="135"/>
  <c r="AN40" i="135"/>
  <c r="AO40" i="135"/>
  <c r="AL41" i="135"/>
  <c r="AM41" i="135"/>
  <c r="AN41" i="135"/>
  <c r="AO41" i="135"/>
  <c r="AL42" i="135"/>
  <c r="AM42" i="135"/>
  <c r="AN42" i="135"/>
  <c r="AO42" i="135"/>
  <c r="AL43" i="135"/>
  <c r="AM43" i="135"/>
  <c r="AN43" i="135"/>
  <c r="AO43" i="135"/>
  <c r="AL44" i="135"/>
  <c r="AM44" i="135"/>
  <c r="AN44" i="135"/>
  <c r="AO44" i="135"/>
  <c r="AL45" i="135"/>
  <c r="AM45" i="135"/>
  <c r="AN45" i="135"/>
  <c r="AO45" i="135"/>
  <c r="AL46" i="135"/>
  <c r="AM46" i="135"/>
  <c r="AN46" i="135"/>
  <c r="AO46" i="135"/>
  <c r="AL47" i="135"/>
  <c r="AM47" i="135"/>
  <c r="AN47" i="135"/>
  <c r="AO47" i="135"/>
  <c r="AL48" i="135"/>
  <c r="AM48" i="135"/>
  <c r="AN48" i="135"/>
  <c r="AO48" i="135"/>
  <c r="AL49" i="135"/>
  <c r="AM49" i="135"/>
  <c r="AN49" i="135"/>
  <c r="AO49" i="135"/>
  <c r="AL50" i="135"/>
  <c r="AM50" i="135"/>
  <c r="AN50" i="135"/>
  <c r="AO50" i="135"/>
  <c r="AL51" i="135"/>
  <c r="AM51" i="135"/>
  <c r="AN51" i="135"/>
  <c r="AO51" i="135"/>
  <c r="AL52" i="135"/>
  <c r="AM52" i="135"/>
  <c r="AN52" i="135"/>
  <c r="AO52" i="135"/>
  <c r="AL53" i="135"/>
  <c r="AM53" i="135"/>
  <c r="AN53" i="135"/>
  <c r="AO53" i="135"/>
  <c r="AL54" i="135"/>
  <c r="AM54" i="135"/>
  <c r="AN54" i="135"/>
  <c r="AO54" i="135"/>
  <c r="AL55" i="135"/>
  <c r="AM55" i="135"/>
  <c r="AN55" i="135"/>
  <c r="AO55" i="135"/>
  <c r="AL56" i="135"/>
  <c r="AM56" i="135"/>
  <c r="AN56" i="135"/>
  <c r="AO56" i="135"/>
  <c r="AL57" i="135"/>
  <c r="AM57" i="135"/>
  <c r="AN57" i="135"/>
  <c r="AO57" i="135"/>
  <c r="AL58" i="135"/>
  <c r="AM58" i="135"/>
  <c r="AN58" i="135"/>
  <c r="AO58" i="135"/>
  <c r="AL59" i="135"/>
  <c r="AM59" i="135"/>
  <c r="AN59" i="135"/>
  <c r="AO59" i="135"/>
  <c r="AL60" i="135"/>
  <c r="AM60" i="135"/>
  <c r="AN60" i="135"/>
  <c r="AO60" i="135"/>
  <c r="AL61" i="135"/>
  <c r="AM61" i="135"/>
  <c r="AN61" i="135"/>
  <c r="AO61" i="135"/>
  <c r="AL62" i="135"/>
  <c r="AM62" i="135"/>
  <c r="AN62" i="135"/>
  <c r="AO62" i="135"/>
  <c r="AL63" i="135"/>
  <c r="AM63" i="135"/>
  <c r="AN63" i="135"/>
  <c r="AO63" i="135"/>
  <c r="AL64" i="135"/>
  <c r="AM64" i="135"/>
  <c r="AN64" i="135"/>
  <c r="AO64" i="135"/>
  <c r="AL65" i="135"/>
  <c r="AM65" i="135"/>
  <c r="AN65" i="135"/>
  <c r="AO65" i="135"/>
  <c r="AL66" i="135"/>
  <c r="AM66" i="135"/>
  <c r="AN66" i="135"/>
  <c r="AO66" i="135"/>
  <c r="AL67" i="135"/>
  <c r="AM67" i="135"/>
  <c r="AN67" i="135"/>
  <c r="AO67" i="135"/>
  <c r="AL68" i="135"/>
  <c r="AM68" i="135"/>
  <c r="AN68" i="135"/>
  <c r="AO68" i="135"/>
  <c r="AL69" i="135"/>
  <c r="AM69" i="135"/>
  <c r="AN69" i="135"/>
  <c r="AO69" i="135"/>
  <c r="AL70" i="135"/>
  <c r="AM70" i="135"/>
  <c r="AN70" i="135"/>
  <c r="AO70" i="135"/>
  <c r="AL71" i="135"/>
  <c r="AM71" i="135"/>
  <c r="AN71" i="135"/>
  <c r="AO71" i="135"/>
  <c r="AL72" i="135"/>
  <c r="AM72" i="135"/>
  <c r="AN72" i="135"/>
  <c r="AO72" i="135"/>
  <c r="AL73" i="135"/>
  <c r="AM73" i="135"/>
  <c r="AN73" i="135"/>
  <c r="AO73" i="135"/>
  <c r="AL74" i="135"/>
  <c r="AM74" i="135"/>
  <c r="AN74" i="135"/>
  <c r="AO74" i="135"/>
  <c r="AL75" i="135"/>
  <c r="AM75" i="135"/>
  <c r="AN75" i="135"/>
  <c r="AO75" i="135"/>
  <c r="AL76" i="135"/>
  <c r="AM76" i="135"/>
  <c r="AN76" i="135"/>
  <c r="AO76" i="135"/>
  <c r="AL77" i="135"/>
  <c r="AM77" i="135"/>
  <c r="AN77" i="135"/>
  <c r="AO77" i="135"/>
  <c r="AL78" i="135"/>
  <c r="AM78" i="135"/>
  <c r="AN78" i="135"/>
  <c r="AO78" i="135"/>
  <c r="AL79" i="135"/>
  <c r="AM79" i="135"/>
  <c r="AN79" i="135"/>
  <c r="AO79" i="135"/>
  <c r="AL80" i="135"/>
  <c r="AM80" i="135"/>
  <c r="AN80" i="135"/>
  <c r="AO80" i="135"/>
  <c r="AL81" i="135"/>
  <c r="AM81" i="135"/>
  <c r="AN81" i="135"/>
  <c r="AO81" i="135"/>
  <c r="AL82" i="135"/>
  <c r="AM82" i="135"/>
  <c r="AN82" i="135"/>
  <c r="AO82" i="135"/>
  <c r="AL83" i="135"/>
  <c r="AM83" i="135"/>
  <c r="AN83" i="135"/>
  <c r="AO83" i="135"/>
  <c r="AL84" i="135"/>
  <c r="AM84" i="135"/>
  <c r="AN84" i="135"/>
  <c r="AO84" i="135"/>
  <c r="AL85" i="135"/>
  <c r="AM85" i="135"/>
  <c r="AN85" i="135"/>
  <c r="AO85" i="135"/>
  <c r="AL86" i="135"/>
  <c r="AM86" i="135"/>
  <c r="AN86" i="135"/>
  <c r="AO86" i="135"/>
  <c r="AL87" i="135"/>
  <c r="AM87" i="135"/>
  <c r="AN87" i="135"/>
  <c r="AO87" i="135"/>
  <c r="AL88" i="135"/>
  <c r="AM88" i="135"/>
  <c r="AN88" i="135"/>
  <c r="AO88" i="135"/>
  <c r="AL89" i="135"/>
  <c r="AM89" i="135"/>
  <c r="AN89" i="135"/>
  <c r="AO89" i="135"/>
  <c r="AL90" i="135"/>
  <c r="AM90" i="135"/>
  <c r="AN90" i="135"/>
  <c r="AO90" i="135"/>
  <c r="AL91" i="135"/>
  <c r="AM91" i="135"/>
  <c r="AN91" i="135"/>
  <c r="AO91" i="135"/>
  <c r="AL92" i="135"/>
  <c r="AM92" i="135"/>
  <c r="AN92" i="135"/>
  <c r="AO92" i="135"/>
  <c r="AL93" i="135"/>
  <c r="AM93" i="135"/>
  <c r="AN93" i="135"/>
  <c r="AO93" i="135"/>
  <c r="AL94" i="135"/>
  <c r="AM94" i="135"/>
  <c r="AN94" i="135"/>
  <c r="AO94" i="135"/>
  <c r="AL95" i="135"/>
  <c r="AM95" i="135"/>
  <c r="AN95" i="135"/>
  <c r="AO95" i="135"/>
  <c r="AL96" i="135"/>
  <c r="AM96" i="135"/>
  <c r="AN96" i="135"/>
  <c r="AO96" i="135"/>
  <c r="AL97" i="135"/>
  <c r="AM97" i="135"/>
  <c r="AN97" i="135"/>
  <c r="AO97" i="135"/>
  <c r="AL98" i="135"/>
  <c r="AM98" i="135"/>
  <c r="AN98" i="135"/>
  <c r="AO98" i="135"/>
  <c r="AL99" i="135"/>
  <c r="AM99" i="135"/>
  <c r="AN99" i="135"/>
  <c r="AO99" i="135"/>
  <c r="AL100" i="135"/>
  <c r="AM100" i="135"/>
  <c r="AN100" i="135"/>
  <c r="AO100" i="135"/>
  <c r="AL101" i="135"/>
  <c r="AM101" i="135"/>
  <c r="AN101" i="135"/>
  <c r="AO101" i="135"/>
  <c r="AL102" i="135"/>
  <c r="AM102" i="135"/>
  <c r="AN102" i="135"/>
  <c r="AO102" i="135"/>
  <c r="AL103" i="135"/>
  <c r="AM103" i="135"/>
  <c r="AN103" i="135"/>
  <c r="AO103" i="135"/>
  <c r="AL104" i="135"/>
  <c r="AM104" i="135"/>
  <c r="AN104" i="135"/>
  <c r="AO104" i="135"/>
  <c r="AL105" i="135"/>
  <c r="AM105" i="135"/>
  <c r="AN105" i="135"/>
  <c r="AO105" i="135"/>
  <c r="AL106" i="135"/>
  <c r="AM106" i="135"/>
  <c r="AN106" i="135"/>
  <c r="AO106" i="135"/>
  <c r="AL107" i="135"/>
  <c r="AM107" i="135"/>
  <c r="AN107" i="135"/>
  <c r="AO107" i="135"/>
  <c r="AL108" i="135"/>
  <c r="AM108" i="135"/>
  <c r="AN108" i="135"/>
  <c r="AO108" i="135"/>
  <c r="AL109" i="135"/>
  <c r="AM109" i="135"/>
  <c r="AN109" i="135"/>
  <c r="AO109" i="135"/>
  <c r="AL110" i="135"/>
  <c r="AM110" i="135"/>
  <c r="AN110" i="135"/>
  <c r="AO110" i="135"/>
  <c r="AL111" i="135"/>
  <c r="AM111" i="135"/>
  <c r="AN111" i="135"/>
  <c r="AO111" i="135"/>
  <c r="AL112" i="135"/>
  <c r="AM112" i="135"/>
  <c r="AN112" i="135"/>
  <c r="AO112" i="135"/>
  <c r="AL113" i="135"/>
  <c r="AM113" i="135"/>
  <c r="AN113" i="135"/>
  <c r="AO113" i="135"/>
  <c r="AL114" i="135"/>
  <c r="AM114" i="135"/>
  <c r="AN114" i="135"/>
  <c r="AO114" i="135"/>
  <c r="AL115" i="135"/>
  <c r="AM115" i="135"/>
  <c r="AN115" i="135"/>
  <c r="AO115" i="135"/>
  <c r="AL116" i="135"/>
  <c r="AM116" i="135"/>
  <c r="AN116" i="135"/>
  <c r="AO116" i="135"/>
  <c r="AL117" i="135"/>
  <c r="AM117" i="135"/>
  <c r="AN117" i="135"/>
  <c r="AO117" i="135"/>
  <c r="AL118" i="135"/>
  <c r="AM118" i="135"/>
  <c r="AN118" i="135"/>
  <c r="AO118" i="135"/>
  <c r="AL119" i="135"/>
  <c r="AM119" i="135"/>
  <c r="AN119" i="135"/>
  <c r="AO119" i="135"/>
  <c r="AL120" i="135"/>
  <c r="AM120" i="135"/>
  <c r="AN120" i="135"/>
  <c r="AO120" i="135"/>
  <c r="AL121" i="135"/>
  <c r="AM121" i="135"/>
  <c r="AN121" i="135"/>
  <c r="AO121" i="135"/>
  <c r="AL122" i="135"/>
  <c r="AM122" i="135"/>
  <c r="AN122" i="135"/>
  <c r="AO122" i="135"/>
  <c r="AL123" i="135"/>
  <c r="AM123" i="135"/>
  <c r="AN123" i="135"/>
  <c r="AO123" i="135"/>
  <c r="AL124" i="135"/>
  <c r="AM124" i="135"/>
  <c r="AN124" i="135"/>
  <c r="AO124" i="135"/>
  <c r="AL125" i="135"/>
  <c r="AM125" i="135"/>
  <c r="AN125" i="135"/>
  <c r="AO125" i="135"/>
  <c r="AL126" i="135"/>
  <c r="AM126" i="135"/>
  <c r="AN126" i="135"/>
  <c r="AO126" i="135"/>
  <c r="AL127" i="135"/>
  <c r="AM127" i="135"/>
  <c r="AN127" i="135"/>
  <c r="AO127" i="135"/>
  <c r="AL128" i="135"/>
  <c r="AM128" i="135"/>
  <c r="AN128" i="135"/>
  <c r="AO128" i="135"/>
  <c r="AL129" i="135"/>
  <c r="AM129" i="135"/>
  <c r="AN129" i="135"/>
  <c r="AO129" i="135"/>
  <c r="AL130" i="135"/>
  <c r="AM130" i="135"/>
  <c r="AN130" i="135"/>
  <c r="AO130" i="135"/>
  <c r="AL131" i="135"/>
  <c r="AM131" i="135"/>
  <c r="AN131" i="135"/>
  <c r="AO131" i="135"/>
  <c r="AL132" i="135"/>
  <c r="AM132" i="135"/>
  <c r="AN132" i="135"/>
  <c r="AO132" i="135"/>
  <c r="AL133" i="135"/>
  <c r="AM133" i="135"/>
  <c r="AN133" i="135"/>
  <c r="AO133" i="135"/>
  <c r="AL134" i="135"/>
  <c r="AM134" i="135"/>
  <c r="AN134" i="135"/>
  <c r="AO134" i="135"/>
  <c r="AL135" i="135"/>
  <c r="AM135" i="135"/>
  <c r="AN135" i="135"/>
  <c r="AO135" i="135"/>
  <c r="AL136" i="135"/>
  <c r="AM136" i="135"/>
  <c r="AN136" i="135"/>
  <c r="AO136" i="135"/>
  <c r="AL137" i="135"/>
  <c r="AM137" i="135"/>
  <c r="AN137" i="135"/>
  <c r="AO137" i="135"/>
  <c r="AL138" i="135"/>
  <c r="AM138" i="135"/>
  <c r="AN138" i="135"/>
  <c r="AO138" i="135"/>
  <c r="AL139" i="135"/>
  <c r="AM139" i="135"/>
  <c r="AN139" i="135"/>
  <c r="AO139" i="135"/>
  <c r="AL140" i="135"/>
  <c r="AM140" i="135"/>
  <c r="AN140" i="135"/>
  <c r="AO140" i="135"/>
  <c r="AL141" i="135"/>
  <c r="AM141" i="135"/>
  <c r="AN141" i="135"/>
  <c r="AO141" i="135"/>
  <c r="AL142" i="135"/>
  <c r="AM142" i="135"/>
  <c r="AN142" i="135"/>
  <c r="AO142" i="135"/>
  <c r="AL143" i="135"/>
  <c r="AM143" i="135"/>
  <c r="AN143" i="135"/>
  <c r="AO143" i="135"/>
  <c r="AL144" i="135"/>
  <c r="AM144" i="135"/>
  <c r="AN144" i="135"/>
  <c r="AO144" i="135"/>
  <c r="AL145" i="135"/>
  <c r="AM145" i="135"/>
  <c r="AN145" i="135"/>
  <c r="AO145" i="135"/>
  <c r="AL146" i="135"/>
  <c r="AM146" i="135"/>
  <c r="AN146" i="135"/>
  <c r="AO146" i="135"/>
  <c r="AL147" i="135"/>
  <c r="AM147" i="135"/>
  <c r="AN147" i="135"/>
  <c r="AO147" i="135"/>
  <c r="AM3" i="135"/>
  <c r="AN3" i="135"/>
  <c r="AO3" i="135"/>
  <c r="AL3" i="135"/>
  <c r="X162" i="4"/>
  <c r="X147" i="4"/>
  <c r="AD4" i="135"/>
  <c r="AD5" i="135"/>
  <c r="AD6" i="135"/>
  <c r="X13" i="4" s="1"/>
  <c r="AD7" i="135"/>
  <c r="X14" i="4" s="1"/>
  <c r="AD8" i="135"/>
  <c r="X15" i="4" s="1"/>
  <c r="AD9" i="135"/>
  <c r="X16" i="4" s="1"/>
  <c r="AD10" i="135"/>
  <c r="X17" i="4" s="1"/>
  <c r="AD11" i="135"/>
  <c r="X18" i="4" s="1"/>
  <c r="AD12" i="135"/>
  <c r="X19" i="4" s="1"/>
  <c r="AD13" i="135"/>
  <c r="X20" i="4" s="1"/>
  <c r="AD14" i="135"/>
  <c r="X21" i="4" s="1"/>
  <c r="AD15" i="135"/>
  <c r="X22" i="4" s="1"/>
  <c r="AD16" i="135"/>
  <c r="X23" i="4" s="1"/>
  <c r="AD17" i="135"/>
  <c r="AD18" i="135"/>
  <c r="X26" i="4" s="1"/>
  <c r="AD19" i="135"/>
  <c r="X27" i="4" s="1"/>
  <c r="AD20" i="135"/>
  <c r="AD21" i="135"/>
  <c r="X29" i="4" s="1"/>
  <c r="AD22" i="135"/>
  <c r="X30" i="4" s="1"/>
  <c r="AD23" i="135"/>
  <c r="AD24" i="135"/>
  <c r="X33" i="4" s="1"/>
  <c r="AD25" i="135"/>
  <c r="X34" i="4" s="1"/>
  <c r="AD26" i="135"/>
  <c r="X35" i="4" s="1"/>
  <c r="AD27" i="135"/>
  <c r="AD28" i="135"/>
  <c r="X39" i="4" s="1"/>
  <c r="X37" i="4" s="1"/>
  <c r="AD29" i="135"/>
  <c r="X41" i="4" s="1"/>
  <c r="AD30" i="135"/>
  <c r="X42" i="4" s="1"/>
  <c r="AD31" i="135"/>
  <c r="X43" i="4" s="1"/>
  <c r="AD32" i="135"/>
  <c r="X44" i="4" s="1"/>
  <c r="AD33" i="135"/>
  <c r="X45" i="4" s="1"/>
  <c r="AD34" i="135"/>
  <c r="X46" i="4" s="1"/>
  <c r="AD35" i="135"/>
  <c r="X48" i="4" s="1"/>
  <c r="AD36" i="135"/>
  <c r="X49" i="4" s="1"/>
  <c r="AD37" i="135"/>
  <c r="X50" i="4" s="1"/>
  <c r="AD38" i="135"/>
  <c r="X51" i="4" s="1"/>
  <c r="AD39" i="135"/>
  <c r="X52" i="4" s="1"/>
  <c r="AD40" i="135"/>
  <c r="X54" i="4" s="1"/>
  <c r="AD41" i="135"/>
  <c r="AD42" i="135"/>
  <c r="X57" i="4" s="1"/>
  <c r="AD43" i="135"/>
  <c r="X58" i="4" s="1"/>
  <c r="AD44" i="135"/>
  <c r="AD45" i="135"/>
  <c r="X60" i="4" s="1"/>
  <c r="AD46" i="135"/>
  <c r="X61" i="4" s="1"/>
  <c r="AD47" i="135"/>
  <c r="AD48" i="135"/>
  <c r="X64" i="4" s="1"/>
  <c r="AD49" i="135"/>
  <c r="X65" i="4" s="1"/>
  <c r="AD50" i="135"/>
  <c r="X66" i="4" s="1"/>
  <c r="AD51" i="135"/>
  <c r="AD52" i="135"/>
  <c r="X70" i="4" s="1"/>
  <c r="X68" i="4" s="1"/>
  <c r="AD53" i="135"/>
  <c r="AD54" i="135"/>
  <c r="AD55" i="135"/>
  <c r="X74" i="4" s="1"/>
  <c r="AD56" i="135"/>
  <c r="X75" i="4" s="1"/>
  <c r="AD57" i="135"/>
  <c r="X76" i="4" s="1"/>
  <c r="AD58" i="135"/>
  <c r="X78" i="4" s="1"/>
  <c r="AD59" i="135"/>
  <c r="X79" i="4" s="1"/>
  <c r="AD60" i="135"/>
  <c r="AD61" i="135"/>
  <c r="AD62" i="135"/>
  <c r="AD63" i="135"/>
  <c r="X86" i="4" s="1"/>
  <c r="AD64" i="135"/>
  <c r="AD65" i="135"/>
  <c r="X90" i="4" s="1"/>
  <c r="AD66" i="135"/>
  <c r="AD67" i="135"/>
  <c r="X92" i="4" s="1"/>
  <c r="AD68" i="135"/>
  <c r="AD69" i="135"/>
  <c r="X94" i="4" s="1"/>
  <c r="AD70" i="135"/>
  <c r="AD71" i="135"/>
  <c r="AD72" i="135"/>
  <c r="AD73" i="135"/>
  <c r="X99" i="4" s="1"/>
  <c r="AD74" i="135"/>
  <c r="X100" i="4" s="1"/>
  <c r="AD75" i="135"/>
  <c r="AD76" i="135"/>
  <c r="X102" i="4" s="1"/>
  <c r="AD77" i="135"/>
  <c r="X103" i="4" s="1"/>
  <c r="AD78" i="135"/>
  <c r="X104" i="4" s="1"/>
  <c r="AD79" i="135"/>
  <c r="X105" i="4" s="1"/>
  <c r="AD80" i="135"/>
  <c r="X106" i="4" s="1"/>
  <c r="AD81" i="135"/>
  <c r="AD82" i="135"/>
  <c r="X108" i="4" s="1"/>
  <c r="AD83" i="135"/>
  <c r="X109" i="4" s="1"/>
  <c r="AD84" i="135"/>
  <c r="X110" i="4" s="1"/>
  <c r="AD85" i="135"/>
  <c r="X113" i="4" s="1"/>
  <c r="AD86" i="135"/>
  <c r="X115" i="4" s="1"/>
  <c r="AD87" i="135"/>
  <c r="X116" i="4" s="1"/>
  <c r="AD88" i="135"/>
  <c r="X117" i="4" s="1"/>
  <c r="AD89" i="135"/>
  <c r="X118" i="4" s="1"/>
  <c r="AD90" i="135"/>
  <c r="X119" i="4" s="1"/>
  <c r="AD91" i="135"/>
  <c r="X120" i="4" s="1"/>
  <c r="AD92" i="135"/>
  <c r="X121" i="4" s="1"/>
  <c r="AD93" i="135"/>
  <c r="X122" i="4" s="1"/>
  <c r="AD94" i="135"/>
  <c r="X123" i="4" s="1"/>
  <c r="AD95" i="135"/>
  <c r="X124" i="4" s="1"/>
  <c r="AD96" i="135"/>
  <c r="X125" i="4" s="1"/>
  <c r="AD97" i="135"/>
  <c r="X126" i="4" s="1"/>
  <c r="AD98" i="135"/>
  <c r="X127" i="4" s="1"/>
  <c r="AD99" i="135"/>
  <c r="X128" i="4" s="1"/>
  <c r="AD100" i="135"/>
  <c r="X129" i="4" s="1"/>
  <c r="AD101" i="135"/>
  <c r="X130" i="4" s="1"/>
  <c r="AD102" i="135"/>
  <c r="X131" i="4" s="1"/>
  <c r="AD103" i="135"/>
  <c r="AD104" i="135"/>
  <c r="X134" i="4" s="1"/>
  <c r="AD105" i="135"/>
  <c r="X135" i="4" s="1"/>
  <c r="AD106" i="135"/>
  <c r="X136" i="4" s="1"/>
  <c r="AD107" i="135"/>
  <c r="X137" i="4" s="1"/>
  <c r="AD108" i="135"/>
  <c r="X138" i="4" s="1"/>
  <c r="AD109" i="135"/>
  <c r="X139" i="4" s="1"/>
  <c r="AD110" i="135"/>
  <c r="X140" i="4" s="1"/>
  <c r="AD111" i="135"/>
  <c r="X141" i="4" s="1"/>
  <c r="AD112" i="135"/>
  <c r="AD113" i="135"/>
  <c r="X159" i="4" s="1"/>
  <c r="X155" i="4" s="1"/>
  <c r="AD114" i="135"/>
  <c r="AD115" i="135"/>
  <c r="AD116" i="135"/>
  <c r="AD117" i="135"/>
  <c r="AD118" i="135"/>
  <c r="X182" i="4" s="1"/>
  <c r="AD119" i="135"/>
  <c r="X183" i="4" s="1"/>
  <c r="AD120" i="135"/>
  <c r="AD121" i="135"/>
  <c r="X184" i="4" s="1"/>
  <c r="AD122" i="135"/>
  <c r="AD123" i="135"/>
  <c r="AD124" i="135"/>
  <c r="AD3" i="135"/>
  <c r="Q162" i="4"/>
  <c r="W37" i="37" l="1"/>
  <c r="W33" i="37" s="1"/>
  <c r="W11" i="37" s="1"/>
  <c r="N104" i="4"/>
  <c r="X28" i="4"/>
  <c r="X25" i="4"/>
  <c r="N106" i="4"/>
  <c r="N99" i="4"/>
  <c r="O182" i="4"/>
  <c r="N105" i="4"/>
  <c r="J182" i="4"/>
  <c r="N103" i="4"/>
  <c r="M182" i="4"/>
  <c r="N102" i="4"/>
  <c r="N101" i="4"/>
  <c r="N100" i="4"/>
  <c r="X98" i="4"/>
  <c r="X32" i="4"/>
  <c r="X107" i="4"/>
  <c r="X63" i="4"/>
  <c r="X133" i="4"/>
  <c r="X85" i="4"/>
  <c r="X59" i="4"/>
  <c r="X73" i="4"/>
  <c r="X72" i="4" s="1"/>
  <c r="X12" i="4"/>
  <c r="X56" i="4"/>
  <c r="X146" i="4"/>
  <c r="V4" i="135"/>
  <c r="W4" i="135"/>
  <c r="X4" i="135"/>
  <c r="Y4" i="135"/>
  <c r="V5" i="135"/>
  <c r="W5" i="135"/>
  <c r="X5" i="135"/>
  <c r="Y5" i="135"/>
  <c r="V6" i="135"/>
  <c r="W6" i="135"/>
  <c r="X6" i="135"/>
  <c r="Y6" i="135"/>
  <c r="V7" i="135"/>
  <c r="W7" i="135"/>
  <c r="X7" i="135"/>
  <c r="Y7" i="135"/>
  <c r="V8" i="135"/>
  <c r="W8" i="135"/>
  <c r="X8" i="135"/>
  <c r="Y8" i="135"/>
  <c r="V9" i="135"/>
  <c r="W9" i="135"/>
  <c r="X9" i="135"/>
  <c r="Y9" i="135"/>
  <c r="V10" i="135"/>
  <c r="W10" i="135"/>
  <c r="X10" i="135"/>
  <c r="Y10" i="135"/>
  <c r="V11" i="135"/>
  <c r="W11" i="135"/>
  <c r="X11" i="135"/>
  <c r="Y11" i="135"/>
  <c r="V12" i="135"/>
  <c r="W12" i="135"/>
  <c r="X12" i="135"/>
  <c r="Y12" i="135"/>
  <c r="V13" i="135"/>
  <c r="W13" i="135"/>
  <c r="X13" i="135"/>
  <c r="Y13" i="135"/>
  <c r="V14" i="135"/>
  <c r="W14" i="135"/>
  <c r="X14" i="135"/>
  <c r="Y14" i="135"/>
  <c r="V15" i="135"/>
  <c r="W15" i="135"/>
  <c r="X15" i="135"/>
  <c r="Y15" i="135"/>
  <c r="V16" i="135"/>
  <c r="W16" i="135"/>
  <c r="X16" i="135"/>
  <c r="Y16" i="135"/>
  <c r="V17" i="135"/>
  <c r="W17" i="135"/>
  <c r="X17" i="135"/>
  <c r="Y17" i="135"/>
  <c r="V18" i="135"/>
  <c r="W18" i="135"/>
  <c r="X18" i="135"/>
  <c r="Y18" i="135"/>
  <c r="V19" i="135"/>
  <c r="W19" i="135"/>
  <c r="X19" i="135"/>
  <c r="Y19" i="135"/>
  <c r="V20" i="135"/>
  <c r="W20" i="135"/>
  <c r="X20" i="135"/>
  <c r="Y20" i="135"/>
  <c r="V21" i="135"/>
  <c r="W21" i="135"/>
  <c r="X21" i="135"/>
  <c r="Y21" i="135"/>
  <c r="V22" i="135"/>
  <c r="W22" i="135"/>
  <c r="X22" i="135"/>
  <c r="Y22" i="135"/>
  <c r="V23" i="135"/>
  <c r="W23" i="135"/>
  <c r="X23" i="135"/>
  <c r="Y23" i="135"/>
  <c r="V24" i="135"/>
  <c r="W24" i="135"/>
  <c r="X24" i="135"/>
  <c r="Y24" i="135"/>
  <c r="V25" i="135"/>
  <c r="W25" i="135"/>
  <c r="X25" i="135"/>
  <c r="Y25" i="135"/>
  <c r="V26" i="135"/>
  <c r="W26" i="135"/>
  <c r="X26" i="135"/>
  <c r="Y26" i="135"/>
  <c r="V27" i="135"/>
  <c r="W27" i="135"/>
  <c r="X27" i="135"/>
  <c r="Y27" i="135"/>
  <c r="V28" i="135"/>
  <c r="W28" i="135"/>
  <c r="X28" i="135"/>
  <c r="Y28" i="135"/>
  <c r="V29" i="135"/>
  <c r="W29" i="135"/>
  <c r="X29" i="135"/>
  <c r="Y29" i="135"/>
  <c r="V30" i="135"/>
  <c r="W30" i="135"/>
  <c r="X30" i="135"/>
  <c r="Y30" i="135"/>
  <c r="V31" i="135"/>
  <c r="W31" i="135"/>
  <c r="X31" i="135"/>
  <c r="Y31" i="135"/>
  <c r="V32" i="135"/>
  <c r="W32" i="135"/>
  <c r="X32" i="135"/>
  <c r="Y32" i="135"/>
  <c r="V33" i="135"/>
  <c r="W33" i="135"/>
  <c r="X33" i="135"/>
  <c r="Y33" i="135"/>
  <c r="V34" i="135"/>
  <c r="W34" i="135"/>
  <c r="X34" i="135"/>
  <c r="Y34" i="135"/>
  <c r="V35" i="135"/>
  <c r="W35" i="135"/>
  <c r="X35" i="135"/>
  <c r="Y35" i="135"/>
  <c r="V36" i="135"/>
  <c r="W36" i="135"/>
  <c r="X36" i="135"/>
  <c r="Y36" i="135"/>
  <c r="V37" i="135"/>
  <c r="W37" i="135"/>
  <c r="X37" i="135"/>
  <c r="Y37" i="135"/>
  <c r="V38" i="135"/>
  <c r="W38" i="135"/>
  <c r="X38" i="135"/>
  <c r="Y38" i="135"/>
  <c r="V39" i="135"/>
  <c r="W39" i="135"/>
  <c r="X39" i="135"/>
  <c r="Y39" i="135"/>
  <c r="V40" i="135"/>
  <c r="W40" i="135"/>
  <c r="X40" i="135"/>
  <c r="Y40" i="135"/>
  <c r="V41" i="135"/>
  <c r="W41" i="135"/>
  <c r="X41" i="135"/>
  <c r="Y41" i="135"/>
  <c r="V42" i="135"/>
  <c r="W42" i="135"/>
  <c r="X42" i="135"/>
  <c r="Y42" i="135"/>
  <c r="V43" i="135"/>
  <c r="W43" i="135"/>
  <c r="X43" i="135"/>
  <c r="Y43" i="135"/>
  <c r="V44" i="135"/>
  <c r="W44" i="135"/>
  <c r="X44" i="135"/>
  <c r="Y44" i="135"/>
  <c r="V45" i="135"/>
  <c r="W45" i="135"/>
  <c r="X45" i="135"/>
  <c r="Y45" i="135"/>
  <c r="V46" i="135"/>
  <c r="W46" i="135"/>
  <c r="X46" i="135"/>
  <c r="Y46" i="135"/>
  <c r="V47" i="135"/>
  <c r="W47" i="135"/>
  <c r="X47" i="135"/>
  <c r="Y47" i="135"/>
  <c r="V48" i="135"/>
  <c r="W48" i="135"/>
  <c r="X48" i="135"/>
  <c r="Y48" i="135"/>
  <c r="V49" i="135"/>
  <c r="W49" i="135"/>
  <c r="X49" i="135"/>
  <c r="Y49" i="135"/>
  <c r="V50" i="135"/>
  <c r="W50" i="135"/>
  <c r="X50" i="135"/>
  <c r="Y50" i="135"/>
  <c r="V51" i="135"/>
  <c r="W51" i="135"/>
  <c r="X51" i="135"/>
  <c r="Y51" i="135"/>
  <c r="V52" i="135"/>
  <c r="W52" i="135"/>
  <c r="X52" i="135"/>
  <c r="Y52" i="135"/>
  <c r="V53" i="135"/>
  <c r="W53" i="135"/>
  <c r="X53" i="135"/>
  <c r="Y53" i="135"/>
  <c r="V54" i="135"/>
  <c r="W54" i="135"/>
  <c r="X54" i="135"/>
  <c r="Y54" i="135"/>
  <c r="V55" i="135"/>
  <c r="W55" i="135"/>
  <c r="X55" i="135"/>
  <c r="Y55" i="135"/>
  <c r="V56" i="135"/>
  <c r="W56" i="135"/>
  <c r="X56" i="135"/>
  <c r="Y56" i="135"/>
  <c r="V57" i="135"/>
  <c r="W57" i="135"/>
  <c r="X57" i="135"/>
  <c r="Y57" i="135"/>
  <c r="V58" i="135"/>
  <c r="W58" i="135"/>
  <c r="X58" i="135"/>
  <c r="Y58" i="135"/>
  <c r="V59" i="135"/>
  <c r="W59" i="135"/>
  <c r="X59" i="135"/>
  <c r="Y59" i="135"/>
  <c r="V60" i="135"/>
  <c r="W60" i="135"/>
  <c r="X60" i="135"/>
  <c r="Y60" i="135"/>
  <c r="V61" i="135"/>
  <c r="W61" i="135"/>
  <c r="X61" i="135"/>
  <c r="Y61" i="135"/>
  <c r="V62" i="135"/>
  <c r="W62" i="135"/>
  <c r="X62" i="135"/>
  <c r="Y62" i="135"/>
  <c r="V63" i="135"/>
  <c r="W63" i="135"/>
  <c r="X63" i="135"/>
  <c r="Y63" i="135"/>
  <c r="V64" i="135"/>
  <c r="W64" i="135"/>
  <c r="X64" i="135"/>
  <c r="Y64" i="135"/>
  <c r="V65" i="135"/>
  <c r="W65" i="135"/>
  <c r="X65" i="135"/>
  <c r="Y65" i="135"/>
  <c r="V66" i="135"/>
  <c r="W66" i="135"/>
  <c r="X66" i="135"/>
  <c r="Y66" i="135"/>
  <c r="V67" i="135"/>
  <c r="W67" i="135"/>
  <c r="X67" i="135"/>
  <c r="Y67" i="135"/>
  <c r="V68" i="135"/>
  <c r="W68" i="135"/>
  <c r="X68" i="135"/>
  <c r="Y68" i="135"/>
  <c r="V69" i="135"/>
  <c r="W69" i="135"/>
  <c r="X69" i="135"/>
  <c r="Y69" i="135"/>
  <c r="V70" i="135"/>
  <c r="W70" i="135"/>
  <c r="X70" i="135"/>
  <c r="Y70" i="135"/>
  <c r="V71" i="135"/>
  <c r="W71" i="135"/>
  <c r="X71" i="135"/>
  <c r="Y71" i="135"/>
  <c r="V72" i="135"/>
  <c r="W72" i="135"/>
  <c r="X72" i="135"/>
  <c r="Y72" i="135"/>
  <c r="V73" i="135"/>
  <c r="W73" i="135"/>
  <c r="X73" i="135"/>
  <c r="Y73" i="135"/>
  <c r="V74" i="135"/>
  <c r="W74" i="135"/>
  <c r="X74" i="135"/>
  <c r="Y74" i="135"/>
  <c r="V75" i="135"/>
  <c r="W75" i="135"/>
  <c r="X75" i="135"/>
  <c r="Y75" i="135"/>
  <c r="V76" i="135"/>
  <c r="W76" i="135"/>
  <c r="X76" i="135"/>
  <c r="Y76" i="135"/>
  <c r="V77" i="135"/>
  <c r="W77" i="135"/>
  <c r="X77" i="135"/>
  <c r="Y77" i="135"/>
  <c r="V78" i="135"/>
  <c r="W78" i="135"/>
  <c r="X78" i="135"/>
  <c r="Y78" i="135"/>
  <c r="V79" i="135"/>
  <c r="W79" i="135"/>
  <c r="X79" i="135"/>
  <c r="Y79" i="135"/>
  <c r="V80" i="135"/>
  <c r="W80" i="135"/>
  <c r="X80" i="135"/>
  <c r="Y80" i="135"/>
  <c r="V81" i="135"/>
  <c r="W81" i="135"/>
  <c r="X81" i="135"/>
  <c r="Y81" i="135"/>
  <c r="V82" i="135"/>
  <c r="W82" i="135"/>
  <c r="X82" i="135"/>
  <c r="Y82" i="135"/>
  <c r="V83" i="135"/>
  <c r="W83" i="135"/>
  <c r="X83" i="135"/>
  <c r="Y83" i="135"/>
  <c r="V84" i="135"/>
  <c r="W84" i="135"/>
  <c r="X84" i="135"/>
  <c r="Y84" i="135"/>
  <c r="V85" i="135"/>
  <c r="W85" i="135"/>
  <c r="X85" i="135"/>
  <c r="Y85" i="135"/>
  <c r="V86" i="135"/>
  <c r="W86" i="135"/>
  <c r="X86" i="135"/>
  <c r="Y86" i="135"/>
  <c r="V87" i="135"/>
  <c r="W87" i="135"/>
  <c r="X87" i="135"/>
  <c r="Y87" i="135"/>
  <c r="V88" i="135"/>
  <c r="W88" i="135"/>
  <c r="X88" i="135"/>
  <c r="Y88" i="135"/>
  <c r="V89" i="135"/>
  <c r="W89" i="135"/>
  <c r="X89" i="135"/>
  <c r="Y89" i="135"/>
  <c r="V90" i="135"/>
  <c r="W90" i="135"/>
  <c r="X90" i="135"/>
  <c r="Y90" i="135"/>
  <c r="V91" i="135"/>
  <c r="W91" i="135"/>
  <c r="X91" i="135"/>
  <c r="Y91" i="135"/>
  <c r="V92" i="135"/>
  <c r="W92" i="135"/>
  <c r="X92" i="135"/>
  <c r="Y92" i="135"/>
  <c r="V93" i="135"/>
  <c r="W93" i="135"/>
  <c r="X93" i="135"/>
  <c r="Y93" i="135"/>
  <c r="V94" i="135"/>
  <c r="W94" i="135"/>
  <c r="X94" i="135"/>
  <c r="Y94" i="135"/>
  <c r="V95" i="135"/>
  <c r="W95" i="135"/>
  <c r="X95" i="135"/>
  <c r="Y95" i="135"/>
  <c r="V96" i="135"/>
  <c r="W96" i="135"/>
  <c r="X96" i="135"/>
  <c r="Y96" i="135"/>
  <c r="V97" i="135"/>
  <c r="W97" i="135"/>
  <c r="X97" i="135"/>
  <c r="Y97" i="135"/>
  <c r="V98" i="135"/>
  <c r="W98" i="135"/>
  <c r="X98" i="135"/>
  <c r="Y98" i="135"/>
  <c r="V99" i="135"/>
  <c r="W99" i="135"/>
  <c r="X99" i="135"/>
  <c r="Y99" i="135"/>
  <c r="V100" i="135"/>
  <c r="W100" i="135"/>
  <c r="X100" i="135"/>
  <c r="Y100" i="135"/>
  <c r="V101" i="135"/>
  <c r="W101" i="135"/>
  <c r="X101" i="135"/>
  <c r="Y101" i="135"/>
  <c r="V102" i="135"/>
  <c r="W102" i="135"/>
  <c r="X102" i="135"/>
  <c r="Y102" i="135"/>
  <c r="V103" i="135"/>
  <c r="W103" i="135"/>
  <c r="X103" i="135"/>
  <c r="Y103" i="135"/>
  <c r="V104" i="135"/>
  <c r="W104" i="135"/>
  <c r="X104" i="135"/>
  <c r="Y104" i="135"/>
  <c r="V105" i="135"/>
  <c r="W105" i="135"/>
  <c r="X105" i="135"/>
  <c r="Y105" i="135"/>
  <c r="V106" i="135"/>
  <c r="W106" i="135"/>
  <c r="X106" i="135"/>
  <c r="Y106" i="135"/>
  <c r="V107" i="135"/>
  <c r="W107" i="135"/>
  <c r="X107" i="135"/>
  <c r="Y107" i="135"/>
  <c r="V108" i="135"/>
  <c r="W108" i="135"/>
  <c r="X108" i="135"/>
  <c r="Y108" i="135"/>
  <c r="V109" i="135"/>
  <c r="W109" i="135"/>
  <c r="X109" i="135"/>
  <c r="Y109" i="135"/>
  <c r="V110" i="135"/>
  <c r="W110" i="135"/>
  <c r="X110" i="135"/>
  <c r="Y110" i="135"/>
  <c r="V111" i="135"/>
  <c r="W111" i="135"/>
  <c r="X111" i="135"/>
  <c r="Y111" i="135"/>
  <c r="V112" i="135"/>
  <c r="W112" i="135"/>
  <c r="X112" i="135"/>
  <c r="Y112" i="135"/>
  <c r="V113" i="135"/>
  <c r="W113" i="135"/>
  <c r="X113" i="135"/>
  <c r="Y113" i="135"/>
  <c r="V114" i="135"/>
  <c r="W114" i="135"/>
  <c r="X114" i="135"/>
  <c r="Y114" i="135"/>
  <c r="V115" i="135"/>
  <c r="W115" i="135"/>
  <c r="X115" i="135"/>
  <c r="Y115" i="135"/>
  <c r="V116" i="135"/>
  <c r="W116" i="135"/>
  <c r="X116" i="135"/>
  <c r="Y116" i="135"/>
  <c r="V117" i="135"/>
  <c r="W117" i="135"/>
  <c r="X117" i="135"/>
  <c r="Y117" i="135"/>
  <c r="V118" i="135"/>
  <c r="W118" i="135"/>
  <c r="X118" i="135"/>
  <c r="Y118" i="135"/>
  <c r="V119" i="135"/>
  <c r="W119" i="135"/>
  <c r="X119" i="135"/>
  <c r="Y119" i="135"/>
  <c r="V120" i="135"/>
  <c r="W120" i="135"/>
  <c r="X120" i="135"/>
  <c r="Y120" i="135"/>
  <c r="V121" i="135"/>
  <c r="W121" i="135"/>
  <c r="X121" i="135"/>
  <c r="Y121" i="135"/>
  <c r="V122" i="135"/>
  <c r="W122" i="135"/>
  <c r="X122" i="135"/>
  <c r="Y122" i="135"/>
  <c r="V123" i="135"/>
  <c r="W123" i="135"/>
  <c r="X123" i="135"/>
  <c r="Y123" i="135"/>
  <c r="V124" i="135"/>
  <c r="W124" i="135"/>
  <c r="X124" i="135"/>
  <c r="Y124" i="135"/>
  <c r="V125" i="135"/>
  <c r="W125" i="135"/>
  <c r="X125" i="135"/>
  <c r="Y125" i="135"/>
  <c r="V126" i="135"/>
  <c r="W126" i="135"/>
  <c r="X126" i="135"/>
  <c r="Y126" i="135"/>
  <c r="V127" i="135"/>
  <c r="W127" i="135"/>
  <c r="X127" i="135"/>
  <c r="Y127" i="135"/>
  <c r="V128" i="135"/>
  <c r="W128" i="135"/>
  <c r="X128" i="135"/>
  <c r="Y128" i="135"/>
  <c r="V129" i="135"/>
  <c r="W129" i="135"/>
  <c r="X129" i="135"/>
  <c r="Y129" i="135"/>
  <c r="V130" i="135"/>
  <c r="W130" i="135"/>
  <c r="X130" i="135"/>
  <c r="Y130" i="135"/>
  <c r="V131" i="135"/>
  <c r="W131" i="135"/>
  <c r="X131" i="135"/>
  <c r="Y131" i="135"/>
  <c r="V132" i="135"/>
  <c r="W132" i="135"/>
  <c r="X132" i="135"/>
  <c r="Y132" i="135"/>
  <c r="V133" i="135"/>
  <c r="W133" i="135"/>
  <c r="X133" i="135"/>
  <c r="Y133" i="135"/>
  <c r="V134" i="135"/>
  <c r="W134" i="135"/>
  <c r="X134" i="135"/>
  <c r="Y134" i="135"/>
  <c r="V135" i="135"/>
  <c r="W135" i="135"/>
  <c r="X135" i="135"/>
  <c r="Y135" i="135"/>
  <c r="V136" i="135"/>
  <c r="W136" i="135"/>
  <c r="X136" i="135"/>
  <c r="Y136" i="135"/>
  <c r="V137" i="135"/>
  <c r="W137" i="135"/>
  <c r="X137" i="135"/>
  <c r="Y137" i="135"/>
  <c r="V138" i="135"/>
  <c r="W138" i="135"/>
  <c r="X138" i="135"/>
  <c r="Y138" i="135"/>
  <c r="V139" i="135"/>
  <c r="W139" i="135"/>
  <c r="X139" i="135"/>
  <c r="Y139" i="135"/>
  <c r="V140" i="135"/>
  <c r="W140" i="135"/>
  <c r="X140" i="135"/>
  <c r="Y140" i="135"/>
  <c r="V141" i="135"/>
  <c r="W141" i="135"/>
  <c r="X141" i="135"/>
  <c r="Y141" i="135"/>
  <c r="V142" i="135"/>
  <c r="W142" i="135"/>
  <c r="X142" i="135"/>
  <c r="Y142" i="135"/>
  <c r="V143" i="135"/>
  <c r="W143" i="135"/>
  <c r="X143" i="135"/>
  <c r="Y143" i="135"/>
  <c r="V144" i="135"/>
  <c r="W144" i="135"/>
  <c r="X144" i="135"/>
  <c r="Y144" i="135"/>
  <c r="V145" i="135"/>
  <c r="W145" i="135"/>
  <c r="X145" i="135"/>
  <c r="Y145" i="135"/>
  <c r="V146" i="135"/>
  <c r="W146" i="135"/>
  <c r="X146" i="135"/>
  <c r="Y146" i="135"/>
  <c r="W3" i="135"/>
  <c r="X3" i="135"/>
  <c r="Y3" i="135"/>
  <c r="V3" i="135"/>
  <c r="N4" i="135"/>
  <c r="V11" i="4" s="1"/>
  <c r="N5" i="135"/>
  <c r="V12" i="4" s="1"/>
  <c r="N6" i="135"/>
  <c r="V13" i="4" s="1"/>
  <c r="N7" i="135"/>
  <c r="V14" i="4" s="1"/>
  <c r="N8" i="135"/>
  <c r="V15" i="4" s="1"/>
  <c r="N9" i="135"/>
  <c r="V16" i="4" s="1"/>
  <c r="N10" i="135"/>
  <c r="V17" i="4" s="1"/>
  <c r="N11" i="135"/>
  <c r="V18" i="4" s="1"/>
  <c r="N12" i="135"/>
  <c r="V19" i="4" s="1"/>
  <c r="N13" i="135"/>
  <c r="V20" i="4" s="1"/>
  <c r="N14" i="135"/>
  <c r="V22" i="4" s="1"/>
  <c r="N15" i="135"/>
  <c r="V23" i="4" s="1"/>
  <c r="N16" i="135"/>
  <c r="V25" i="4" s="1"/>
  <c r="N17" i="135"/>
  <c r="V26" i="4" s="1"/>
  <c r="N18" i="135"/>
  <c r="V27" i="4" s="1"/>
  <c r="N19" i="135"/>
  <c r="V32" i="4" s="1"/>
  <c r="N20" i="135"/>
  <c r="V33" i="4" s="1"/>
  <c r="N21" i="135"/>
  <c r="V34" i="4" s="1"/>
  <c r="N22" i="135"/>
  <c r="V35" i="4" s="1"/>
  <c r="N23" i="135"/>
  <c r="V41" i="4" s="1"/>
  <c r="N24" i="135"/>
  <c r="V42" i="4" s="1"/>
  <c r="N25" i="135"/>
  <c r="V43" i="4" s="1"/>
  <c r="N26" i="135"/>
  <c r="V44" i="4" s="1"/>
  <c r="N27" i="135"/>
  <c r="V45" i="4" s="1"/>
  <c r="N28" i="135"/>
  <c r="V46" i="4" s="1"/>
  <c r="N29" i="135"/>
  <c r="V48" i="4" s="1"/>
  <c r="N30" i="135"/>
  <c r="V49" i="4" s="1"/>
  <c r="N31" i="135"/>
  <c r="V50" i="4" s="1"/>
  <c r="N32" i="135"/>
  <c r="V54" i="4" s="1"/>
  <c r="N33" i="135"/>
  <c r="V56" i="4" s="1"/>
  <c r="N34" i="135"/>
  <c r="V57" i="4" s="1"/>
  <c r="N35" i="135"/>
  <c r="V58" i="4" s="1"/>
  <c r="N36" i="135"/>
  <c r="V63" i="4" s="1"/>
  <c r="N37" i="135"/>
  <c r="V64" i="4" s="1"/>
  <c r="N38" i="135"/>
  <c r="V65" i="4" s="1"/>
  <c r="N39" i="135"/>
  <c r="V66" i="4" s="1"/>
  <c r="N40" i="135"/>
  <c r="V72" i="4" s="1"/>
  <c r="N41" i="135"/>
  <c r="V73" i="4" s="1"/>
  <c r="N42" i="135"/>
  <c r="V74" i="4" s="1"/>
  <c r="N43" i="135"/>
  <c r="V75" i="4" s="1"/>
  <c r="N44" i="135"/>
  <c r="V76" i="4" s="1"/>
  <c r="N45" i="135"/>
  <c r="V78" i="4" s="1"/>
  <c r="N46" i="135"/>
  <c r="V79" i="4" s="1"/>
  <c r="N47" i="135"/>
  <c r="V81" i="4" s="1"/>
  <c r="N48" i="135"/>
  <c r="V82" i="4" s="1"/>
  <c r="N49" i="135"/>
  <c r="V85" i="4" s="1"/>
  <c r="N50" i="135"/>
  <c r="V86" i="4" s="1"/>
  <c r="N51" i="135"/>
  <c r="V89" i="4" s="1"/>
  <c r="N52" i="135"/>
  <c r="V92" i="4" s="1"/>
  <c r="N53" i="135"/>
  <c r="V94" i="4" s="1"/>
  <c r="N54" i="135"/>
  <c r="V96" i="4" s="1"/>
  <c r="N55" i="135"/>
  <c r="N56" i="135"/>
  <c r="V98" i="4" s="1"/>
  <c r="N57" i="135"/>
  <c r="V99" i="4" s="1"/>
  <c r="N58" i="135"/>
  <c r="V100" i="4" s="1"/>
  <c r="N59" i="135"/>
  <c r="V101" i="4" s="1"/>
  <c r="N60" i="135"/>
  <c r="V102" i="4" s="1"/>
  <c r="N61" i="135"/>
  <c r="V103" i="4" s="1"/>
  <c r="N62" i="135"/>
  <c r="V107" i="4" s="1"/>
  <c r="N63" i="135"/>
  <c r="V108" i="4" s="1"/>
  <c r="N64" i="135"/>
  <c r="V109" i="4" s="1"/>
  <c r="N65" i="135"/>
  <c r="N66" i="135"/>
  <c r="N67" i="135"/>
  <c r="V115" i="4" s="1"/>
  <c r="N68" i="135"/>
  <c r="N69" i="135"/>
  <c r="V117" i="4" s="1"/>
  <c r="N70" i="135"/>
  <c r="V118" i="4" s="1"/>
  <c r="N71" i="135"/>
  <c r="V119" i="4" s="1"/>
  <c r="N72" i="135"/>
  <c r="V120" i="4" s="1"/>
  <c r="N73" i="135"/>
  <c r="V121" i="4" s="1"/>
  <c r="N74" i="135"/>
  <c r="V122" i="4" s="1"/>
  <c r="N75" i="135"/>
  <c r="V123" i="4" s="1"/>
  <c r="N76" i="135"/>
  <c r="V124" i="4" s="1"/>
  <c r="N77" i="135"/>
  <c r="V125" i="4" s="1"/>
  <c r="N78" i="135"/>
  <c r="V126" i="4" s="1"/>
  <c r="N79" i="135"/>
  <c r="V127" i="4" s="1"/>
  <c r="N80" i="135"/>
  <c r="V128" i="4" s="1"/>
  <c r="N81" i="135"/>
  <c r="V129" i="4" s="1"/>
  <c r="N82" i="135"/>
  <c r="N83" i="135"/>
  <c r="N84" i="135"/>
  <c r="V133" i="4" s="1"/>
  <c r="N85" i="135"/>
  <c r="V134" i="4" s="1"/>
  <c r="N86" i="135"/>
  <c r="V136" i="4" s="1"/>
  <c r="N87" i="135"/>
  <c r="V138" i="4" s="1"/>
  <c r="N88" i="135"/>
  <c r="V139" i="4" s="1"/>
  <c r="N89" i="135"/>
  <c r="V140" i="4" s="1"/>
  <c r="N90" i="135"/>
  <c r="V146" i="4" s="1"/>
  <c r="N91" i="135"/>
  <c r="V155" i="4" s="1"/>
  <c r="N92" i="135"/>
  <c r="V159" i="4" s="1"/>
  <c r="N93" i="135"/>
  <c r="N94" i="135"/>
  <c r="V169" i="4" s="1"/>
  <c r="V168" i="4" s="1"/>
  <c r="N95" i="135"/>
  <c r="V182" i="4" s="1"/>
  <c r="N96" i="135"/>
  <c r="V186" i="4" s="1"/>
  <c r="N3" i="135"/>
  <c r="V10" i="4" s="1"/>
  <c r="N159" i="39"/>
  <c r="N151" i="39"/>
  <c r="R174" i="39"/>
  <c r="L174" i="39"/>
  <c r="J12" i="35"/>
  <c r="AB4" i="133"/>
  <c r="AC4" i="133"/>
  <c r="AD4" i="133"/>
  <c r="AB5" i="133"/>
  <c r="AC5" i="133"/>
  <c r="AD5" i="133"/>
  <c r="AB6" i="133"/>
  <c r="AC6" i="133"/>
  <c r="AD6" i="133"/>
  <c r="AB7" i="133"/>
  <c r="AC7" i="133"/>
  <c r="AD7" i="133"/>
  <c r="AB8" i="133"/>
  <c r="AC8" i="133"/>
  <c r="AD8" i="133"/>
  <c r="AB9" i="133"/>
  <c r="AC9" i="133"/>
  <c r="AD9" i="133"/>
  <c r="AB10" i="133"/>
  <c r="AC10" i="133"/>
  <c r="AD10" i="133"/>
  <c r="AB11" i="133"/>
  <c r="AC11" i="133"/>
  <c r="AD11" i="133"/>
  <c r="AB12" i="133"/>
  <c r="AC12" i="133"/>
  <c r="AD12" i="133"/>
  <c r="AB13" i="133"/>
  <c r="AC13" i="133"/>
  <c r="AD13" i="133"/>
  <c r="AB14" i="133"/>
  <c r="AC14" i="133"/>
  <c r="AD14" i="133"/>
  <c r="AB15" i="133"/>
  <c r="AC15" i="133"/>
  <c r="AD15" i="133"/>
  <c r="AB16" i="133"/>
  <c r="AC16" i="133"/>
  <c r="AD16" i="133"/>
  <c r="AB17" i="133"/>
  <c r="AC17" i="133"/>
  <c r="AD17" i="133"/>
  <c r="AB18" i="133"/>
  <c r="AC18" i="133"/>
  <c r="AD18" i="133"/>
  <c r="AB19" i="133"/>
  <c r="AC19" i="133"/>
  <c r="AD19" i="133"/>
  <c r="AB20" i="133"/>
  <c r="AC20" i="133"/>
  <c r="AD20" i="133"/>
  <c r="AB21" i="133"/>
  <c r="AC21" i="133"/>
  <c r="AD21" i="133"/>
  <c r="AB22" i="133"/>
  <c r="AC22" i="133"/>
  <c r="AD22" i="133"/>
  <c r="AB23" i="133"/>
  <c r="AC23" i="133"/>
  <c r="AD23" i="133"/>
  <c r="AB24" i="133"/>
  <c r="AC24" i="133"/>
  <c r="AD24" i="133"/>
  <c r="AB25" i="133"/>
  <c r="AC25" i="133"/>
  <c r="AD25" i="133"/>
  <c r="AB26" i="133"/>
  <c r="AC26" i="133"/>
  <c r="AD26" i="133"/>
  <c r="AB27" i="133"/>
  <c r="AC27" i="133"/>
  <c r="AD27" i="133"/>
  <c r="AB28" i="133"/>
  <c r="AC28" i="133"/>
  <c r="AD28" i="133"/>
  <c r="AB29" i="133"/>
  <c r="AC29" i="133"/>
  <c r="AD29" i="133"/>
  <c r="AB30" i="133"/>
  <c r="AC30" i="133"/>
  <c r="AD30" i="133"/>
  <c r="AB31" i="133"/>
  <c r="AC31" i="133"/>
  <c r="AD31" i="133"/>
  <c r="AB32" i="133"/>
  <c r="AC32" i="133"/>
  <c r="AD32" i="133"/>
  <c r="AB33" i="133"/>
  <c r="AC33" i="133"/>
  <c r="AD33" i="133"/>
  <c r="AB34" i="133"/>
  <c r="AC34" i="133"/>
  <c r="AD34" i="133"/>
  <c r="AB35" i="133"/>
  <c r="AC35" i="133"/>
  <c r="L273" i="39" s="1"/>
  <c r="AD35" i="133"/>
  <c r="AB36" i="133"/>
  <c r="AC36" i="133"/>
  <c r="AD36" i="133"/>
  <c r="AB37" i="133"/>
  <c r="AC37" i="133"/>
  <c r="AD37" i="133"/>
  <c r="AB38" i="133"/>
  <c r="AC38" i="133"/>
  <c r="AD38" i="133"/>
  <c r="AB39" i="133"/>
  <c r="AC39" i="133"/>
  <c r="AD39" i="133"/>
  <c r="AB40" i="133"/>
  <c r="AC40" i="133"/>
  <c r="AD40" i="133"/>
  <c r="AB41" i="133"/>
  <c r="AC41" i="133"/>
  <c r="AD41" i="133"/>
  <c r="AC3" i="133"/>
  <c r="AD3" i="133"/>
  <c r="AB3" i="133"/>
  <c r="I174" i="39" s="1"/>
  <c r="U14" i="35"/>
  <c r="R4" i="133"/>
  <c r="R5" i="133"/>
  <c r="R6" i="133"/>
  <c r="R7" i="133"/>
  <c r="R8" i="133"/>
  <c r="R9" i="133"/>
  <c r="R10" i="133"/>
  <c r="U25" i="35" s="1"/>
  <c r="R11" i="133"/>
  <c r="U23" i="35" s="1"/>
  <c r="R12" i="133"/>
  <c r="R13" i="133"/>
  <c r="U27" i="35" s="1"/>
  <c r="U26" i="35" s="1"/>
  <c r="R14" i="133"/>
  <c r="U33" i="35" s="1"/>
  <c r="R15" i="133"/>
  <c r="U31" i="35" s="1"/>
  <c r="R16" i="133"/>
  <c r="U35" i="35" s="1"/>
  <c r="R17" i="133"/>
  <c r="R18" i="133"/>
  <c r="R19" i="133"/>
  <c r="U44" i="35" s="1"/>
  <c r="U42" i="35" s="1"/>
  <c r="U41" i="35" s="1"/>
  <c r="U40" i="35" s="1"/>
  <c r="R20" i="133"/>
  <c r="R3" i="133"/>
  <c r="N170" i="4" l="1"/>
  <c r="J11" i="35"/>
  <c r="L42" i="35"/>
  <c r="I20" i="35"/>
  <c r="O12" i="35"/>
  <c r="M174" i="39"/>
  <c r="I11" i="35"/>
  <c r="N11" i="35" s="1"/>
  <c r="M12" i="35"/>
  <c r="X11" i="4"/>
  <c r="X10" i="4" s="1"/>
  <c r="X9" i="4" s="1"/>
  <c r="V9" i="4"/>
  <c r="K12" i="35"/>
  <c r="J174" i="39"/>
  <c r="U20" i="35"/>
  <c r="U30" i="35"/>
  <c r="K11" i="35" l="1"/>
  <c r="N174" i="39"/>
  <c r="O174" i="39" s="1"/>
  <c r="U13" i="35"/>
  <c r="U10" i="35" s="1"/>
  <c r="U9" i="35" s="1"/>
  <c r="O11" i="35"/>
  <c r="M11" i="35"/>
  <c r="K174" i="39"/>
  <c r="I26" i="37"/>
  <c r="I28" i="37"/>
  <c r="I34" i="37"/>
  <c r="AF4" i="132"/>
  <c r="AG4" i="132"/>
  <c r="AH4" i="132"/>
  <c r="AF5" i="132"/>
  <c r="AG5" i="132"/>
  <c r="AH5" i="132"/>
  <c r="AF6" i="132"/>
  <c r="AG6" i="132"/>
  <c r="AH6" i="132"/>
  <c r="AF7" i="132"/>
  <c r="AG7" i="132"/>
  <c r="AH7" i="132"/>
  <c r="AF8" i="132"/>
  <c r="AG8" i="132"/>
  <c r="AH8" i="132"/>
  <c r="AF9" i="132"/>
  <c r="AG9" i="132"/>
  <c r="AH9" i="132"/>
  <c r="AF10" i="132"/>
  <c r="AG10" i="132"/>
  <c r="AH10" i="132"/>
  <c r="AF11" i="132"/>
  <c r="AG11" i="132"/>
  <c r="AH11" i="132"/>
  <c r="AF12" i="132"/>
  <c r="AG12" i="132"/>
  <c r="AH12" i="132"/>
  <c r="AF13" i="132"/>
  <c r="AG13" i="132"/>
  <c r="AH13" i="132"/>
  <c r="AF14" i="132"/>
  <c r="AG14" i="132"/>
  <c r="AH14" i="132"/>
  <c r="AF15" i="132"/>
  <c r="AG15" i="132"/>
  <c r="AH15" i="132"/>
  <c r="AF16" i="132"/>
  <c r="AG16" i="132"/>
  <c r="AH16" i="132"/>
  <c r="AF17" i="132"/>
  <c r="AG17" i="132"/>
  <c r="AH17" i="132"/>
  <c r="AF18" i="132"/>
  <c r="I23" i="37" s="1"/>
  <c r="AG18" i="132"/>
  <c r="AH18" i="132"/>
  <c r="AF19" i="132"/>
  <c r="I30" i="37" s="1"/>
  <c r="AG19" i="132"/>
  <c r="AH19" i="132"/>
  <c r="AF20" i="132"/>
  <c r="AG20" i="132"/>
  <c r="AH20" i="132"/>
  <c r="AF21" i="132"/>
  <c r="AG21" i="132"/>
  <c r="AH21" i="132"/>
  <c r="AF22" i="132"/>
  <c r="AG22" i="132"/>
  <c r="AH22" i="132"/>
  <c r="AF23" i="132"/>
  <c r="AG23" i="132"/>
  <c r="AH23" i="132"/>
  <c r="AF24" i="132"/>
  <c r="AG24" i="132"/>
  <c r="AH24" i="132"/>
  <c r="AF25" i="132"/>
  <c r="AG25" i="132"/>
  <c r="AH25" i="132"/>
  <c r="AF26" i="132"/>
  <c r="AG26" i="132"/>
  <c r="AH26" i="132"/>
  <c r="AF27" i="132"/>
  <c r="AG27" i="132"/>
  <c r="AH27" i="132"/>
  <c r="AF28" i="132"/>
  <c r="AG28" i="132"/>
  <c r="AH28" i="132"/>
  <c r="AF29" i="132"/>
  <c r="AG29" i="132"/>
  <c r="AH29" i="132"/>
  <c r="AF30" i="132"/>
  <c r="AG30" i="132"/>
  <c r="AH30" i="132"/>
  <c r="AF31" i="132"/>
  <c r="AG31" i="132"/>
  <c r="AH31" i="132"/>
  <c r="AF32" i="132"/>
  <c r="AG32" i="132"/>
  <c r="AH32" i="132"/>
  <c r="AF33" i="132"/>
  <c r="AG33" i="132"/>
  <c r="AH33" i="132"/>
  <c r="AF34" i="132"/>
  <c r="AG34" i="132"/>
  <c r="AH34" i="132"/>
  <c r="AF35" i="132"/>
  <c r="AG35" i="132"/>
  <c r="AH35" i="132"/>
  <c r="AF36" i="132"/>
  <c r="AG36" i="132"/>
  <c r="AH36" i="132"/>
  <c r="AF37" i="132"/>
  <c r="AG37" i="132"/>
  <c r="AH37" i="132"/>
  <c r="AF38" i="132"/>
  <c r="AG38" i="132"/>
  <c r="AH38" i="132"/>
  <c r="AF39" i="132"/>
  <c r="AG39" i="132"/>
  <c r="AH39" i="132"/>
  <c r="AF40" i="132"/>
  <c r="AG40" i="132"/>
  <c r="AH40" i="132"/>
  <c r="AF41" i="132"/>
  <c r="AG41" i="132"/>
  <c r="AH41" i="132"/>
  <c r="AF42" i="132"/>
  <c r="AG42" i="132"/>
  <c r="AH42" i="132"/>
  <c r="AF43" i="132"/>
  <c r="I54" i="37" s="1"/>
  <c r="AG43" i="132"/>
  <c r="AH43" i="132"/>
  <c r="AF44" i="132"/>
  <c r="AG44" i="132"/>
  <c r="AH44" i="132"/>
  <c r="AG3" i="132"/>
  <c r="AH3" i="132"/>
  <c r="AF3" i="132"/>
  <c r="U34" i="37"/>
  <c r="U4" i="132"/>
  <c r="V4" i="132"/>
  <c r="W4" i="132"/>
  <c r="U15" i="37" s="1"/>
  <c r="U5" i="132"/>
  <c r="V5" i="132"/>
  <c r="W5" i="132"/>
  <c r="U17" i="37" s="1"/>
  <c r="U6" i="132"/>
  <c r="V6" i="132"/>
  <c r="W6" i="132"/>
  <c r="U18" i="37" s="1"/>
  <c r="U7" i="132"/>
  <c r="V7" i="132"/>
  <c r="W7" i="132"/>
  <c r="U21" i="37" s="1"/>
  <c r="U8" i="132"/>
  <c r="V8" i="132"/>
  <c r="W8" i="132"/>
  <c r="U9" i="132"/>
  <c r="V9" i="132"/>
  <c r="W9" i="132"/>
  <c r="U19" i="37" s="1"/>
  <c r="U10" i="132"/>
  <c r="V10" i="132"/>
  <c r="W10" i="132"/>
  <c r="U31" i="37" s="1"/>
  <c r="U30" i="37" s="1"/>
  <c r="U11" i="132"/>
  <c r="V11" i="132"/>
  <c r="W11" i="132"/>
  <c r="U40" i="37" s="1"/>
  <c r="U12" i="132"/>
  <c r="V12" i="132"/>
  <c r="W12" i="132"/>
  <c r="U41" i="37" s="1"/>
  <c r="U13" i="132"/>
  <c r="V13" i="132"/>
  <c r="W13" i="132"/>
  <c r="U42" i="37" s="1"/>
  <c r="U14" i="132"/>
  <c r="V14" i="132"/>
  <c r="W14" i="132"/>
  <c r="U44" i="37" s="1"/>
  <c r="U15" i="132"/>
  <c r="V15" i="132"/>
  <c r="W15" i="132"/>
  <c r="U45" i="37" s="1"/>
  <c r="U16" i="132"/>
  <c r="V16" i="132"/>
  <c r="W16" i="132"/>
  <c r="U46" i="37" s="1"/>
  <c r="U17" i="132"/>
  <c r="V17" i="132"/>
  <c r="W17" i="132"/>
  <c r="U47" i="37" s="1"/>
  <c r="U18" i="132"/>
  <c r="V18" i="132"/>
  <c r="W18" i="132"/>
  <c r="U49" i="37" s="1"/>
  <c r="U19" i="132"/>
  <c r="V19" i="132"/>
  <c r="W19" i="132"/>
  <c r="U20" i="132"/>
  <c r="V20" i="132"/>
  <c r="V3" i="132"/>
  <c r="W3" i="132"/>
  <c r="U3" i="132"/>
  <c r="Z3" i="131"/>
  <c r="AA3" i="131"/>
  <c r="Z4" i="131"/>
  <c r="AA4" i="131"/>
  <c r="Y4" i="131"/>
  <c r="Y3" i="131"/>
  <c r="I38" i="37" l="1"/>
  <c r="H65" i="37" s="1"/>
  <c r="H71" i="37"/>
  <c r="I14" i="37"/>
  <c r="I12" i="37" s="1"/>
  <c r="U43" i="37"/>
  <c r="U16" i="37"/>
  <c r="U14" i="37" s="1"/>
  <c r="U12" i="37" s="1"/>
  <c r="W20" i="132"/>
  <c r="U38" i="37"/>
  <c r="Q3" i="131"/>
  <c r="R3" i="131"/>
  <c r="P3" i="131"/>
  <c r="U37" i="37" l="1"/>
  <c r="U33" i="37" s="1"/>
  <c r="U11" i="37" s="1"/>
  <c r="I37" i="37"/>
  <c r="I33" i="37" s="1"/>
  <c r="G86" i="4"/>
  <c r="G99" i="4"/>
  <c r="G100" i="4"/>
  <c r="I11" i="37" l="1"/>
  <c r="F90" i="37"/>
  <c r="F87" i="37"/>
  <c r="F86" i="37"/>
  <c r="F85" i="37"/>
  <c r="F84" i="37"/>
  <c r="F83" i="37"/>
  <c r="F82" i="37"/>
  <c r="F78" i="37"/>
  <c r="F77" i="37"/>
  <c r="F76" i="37"/>
  <c r="F79" i="37"/>
  <c r="S296" i="39" l="1"/>
  <c r="G203" i="39"/>
  <c r="N228" i="39" l="1"/>
  <c r="N227" i="39"/>
  <c r="N226" i="39"/>
  <c r="N225" i="39"/>
  <c r="N224" i="39"/>
  <c r="N223" i="39"/>
  <c r="N222" i="39"/>
  <c r="N221" i="39"/>
  <c r="N220" i="39"/>
  <c r="N219" i="39"/>
  <c r="N218" i="39"/>
  <c r="N217" i="39"/>
  <c r="N216" i="39"/>
  <c r="N215" i="39"/>
  <c r="N214" i="39"/>
  <c r="L282" i="39"/>
  <c r="L236" i="39"/>
  <c r="L228" i="39"/>
  <c r="L227" i="39"/>
  <c r="L226" i="39"/>
  <c r="L225" i="39"/>
  <c r="L224" i="39"/>
  <c r="L223" i="39"/>
  <c r="L221" i="39"/>
  <c r="L220" i="39"/>
  <c r="L219" i="39"/>
  <c r="L218" i="39"/>
  <c r="L217" i="39"/>
  <c r="L216" i="39"/>
  <c r="L215" i="39"/>
  <c r="L214" i="39"/>
  <c r="L170" i="39"/>
  <c r="L169" i="39"/>
  <c r="L165" i="39"/>
  <c r="L162" i="39"/>
  <c r="J170" i="39"/>
  <c r="J169" i="39"/>
  <c r="J165" i="39"/>
  <c r="J162" i="39"/>
  <c r="I236" i="39"/>
  <c r="I229" i="39"/>
  <c r="I228" i="39"/>
  <c r="I227" i="39"/>
  <c r="I226" i="39"/>
  <c r="I225" i="39"/>
  <c r="I224" i="39"/>
  <c r="I223" i="39"/>
  <c r="I222" i="39"/>
  <c r="I221" i="39"/>
  <c r="I220" i="39"/>
  <c r="I170" i="39"/>
  <c r="I169" i="39"/>
  <c r="I165" i="39"/>
  <c r="I162" i="39"/>
  <c r="H282" i="39"/>
  <c r="I219" i="39"/>
  <c r="I218" i="39"/>
  <c r="I217" i="39"/>
  <c r="I216" i="39"/>
  <c r="I215" i="39"/>
  <c r="I214" i="39"/>
  <c r="H228" i="39"/>
  <c r="H227" i="39"/>
  <c r="H226" i="39"/>
  <c r="H225" i="39"/>
  <c r="H224" i="39"/>
  <c r="H223" i="39"/>
  <c r="H222" i="39"/>
  <c r="H221" i="39"/>
  <c r="H220" i="39"/>
  <c r="H218" i="39"/>
  <c r="H217" i="39"/>
  <c r="H216" i="39"/>
  <c r="H215" i="39"/>
  <c r="H214" i="39"/>
  <c r="P54" i="39" l="1"/>
  <c r="F54" i="39"/>
  <c r="F23" i="39"/>
  <c r="P23" i="39"/>
  <c r="M148" i="39"/>
  <c r="M149" i="39"/>
  <c r="M152" i="39"/>
  <c r="M153" i="39"/>
  <c r="M155" i="39"/>
  <c r="M182" i="39"/>
  <c r="M186" i="39"/>
  <c r="M199" i="39"/>
  <c r="M200" i="39"/>
  <c r="M210" i="39"/>
  <c r="M230" i="39"/>
  <c r="M233" i="39"/>
  <c r="M234" i="39"/>
  <c r="M235" i="39"/>
  <c r="M265" i="39"/>
  <c r="M266" i="39"/>
  <c r="M267" i="39"/>
  <c r="M268" i="39"/>
  <c r="K148" i="39"/>
  <c r="K149" i="39"/>
  <c r="K152" i="39"/>
  <c r="K153" i="39"/>
  <c r="K155" i="39"/>
  <c r="K182" i="39"/>
  <c r="K186" i="39"/>
  <c r="K199" i="39"/>
  <c r="K200" i="39"/>
  <c r="K210" i="39"/>
  <c r="K230" i="39"/>
  <c r="K233" i="39"/>
  <c r="K234" i="39"/>
  <c r="K235" i="39"/>
  <c r="K265" i="39"/>
  <c r="K266" i="39"/>
  <c r="K267" i="39"/>
  <c r="K268" i="39"/>
  <c r="O148" i="39"/>
  <c r="O149" i="39"/>
  <c r="O152" i="39"/>
  <c r="O153" i="39"/>
  <c r="O182" i="39"/>
  <c r="O186" i="39"/>
  <c r="O199" i="39"/>
  <c r="O200" i="39"/>
  <c r="O210" i="39"/>
  <c r="O230" i="39"/>
  <c r="O233" i="39"/>
  <c r="O234" i="39"/>
  <c r="O235" i="39"/>
  <c r="O265" i="39"/>
  <c r="O266" i="39"/>
  <c r="O267" i="39"/>
  <c r="O268" i="39"/>
  <c r="R62" i="39"/>
  <c r="R179" i="39"/>
  <c r="R202" i="39"/>
  <c r="R268" i="39"/>
  <c r="R270" i="39"/>
  <c r="L166" i="4" l="1"/>
  <c r="L158" i="4"/>
  <c r="L160" i="4"/>
  <c r="R23" i="4"/>
  <c r="R24" i="4"/>
  <c r="N31" i="4"/>
  <c r="P31" i="4"/>
  <c r="N54" i="39"/>
  <c r="N62" i="4"/>
  <c r="P62" i="4"/>
  <c r="N80" i="4"/>
  <c r="P80" i="4"/>
  <c r="N83" i="4"/>
  <c r="P83" i="4"/>
  <c r="N84" i="4"/>
  <c r="P84" i="4"/>
  <c r="N87" i="4"/>
  <c r="P87" i="4"/>
  <c r="N89" i="4"/>
  <c r="P89" i="4"/>
  <c r="N91" i="4"/>
  <c r="P91" i="4"/>
  <c r="N95" i="4"/>
  <c r="P95" i="4"/>
  <c r="N112" i="4"/>
  <c r="P112" i="4"/>
  <c r="N114" i="4"/>
  <c r="P114" i="4"/>
  <c r="N132" i="4"/>
  <c r="P132" i="4"/>
  <c r="N147" i="4"/>
  <c r="N149" i="4"/>
  <c r="P149" i="4"/>
  <c r="N152" i="4"/>
  <c r="P152" i="4"/>
  <c r="P154" i="4"/>
  <c r="P155" i="4"/>
  <c r="N156" i="4"/>
  <c r="O155" i="4"/>
  <c r="P156" i="4"/>
  <c r="L185" i="39"/>
  <c r="N159" i="4"/>
  <c r="P159" i="4"/>
  <c r="N154" i="4"/>
  <c r="N155" i="4"/>
  <c r="N203" i="39"/>
  <c r="P178" i="4"/>
  <c r="N179" i="4"/>
  <c r="P179" i="4"/>
  <c r="P181" i="4"/>
  <c r="P182" i="4"/>
  <c r="P184" i="4"/>
  <c r="N185" i="4"/>
  <c r="P185" i="4"/>
  <c r="P186" i="4"/>
  <c r="N187" i="4"/>
  <c r="P187" i="4"/>
  <c r="T79" i="4"/>
  <c r="I203" i="39"/>
  <c r="I202" i="39"/>
  <c r="P177" i="4"/>
  <c r="N141" i="4"/>
  <c r="P122" i="4"/>
  <c r="P130" i="4"/>
  <c r="P120" i="4"/>
  <c r="N97" i="4"/>
  <c r="P93" i="4"/>
  <c r="P90" i="4"/>
  <c r="P82" i="4"/>
  <c r="P81" i="4"/>
  <c r="I177" i="4"/>
  <c r="I67" i="39"/>
  <c r="P68" i="4"/>
  <c r="P72" i="4"/>
  <c r="P74" i="4"/>
  <c r="I54" i="39"/>
  <c r="N35" i="4"/>
  <c r="P38" i="4"/>
  <c r="P42" i="4"/>
  <c r="P44" i="4"/>
  <c r="P46" i="4"/>
  <c r="P50" i="4"/>
  <c r="P52" i="4"/>
  <c r="I23" i="39"/>
  <c r="N166" i="4"/>
  <c r="N79" i="4"/>
  <c r="P13" i="4"/>
  <c r="F4" i="135"/>
  <c r="G4" i="135"/>
  <c r="H4" i="135"/>
  <c r="I4" i="135"/>
  <c r="F5" i="135"/>
  <c r="G5" i="135"/>
  <c r="H5" i="135"/>
  <c r="I5" i="135"/>
  <c r="F6" i="135"/>
  <c r="I13" i="4" s="1"/>
  <c r="G6" i="135"/>
  <c r="H6" i="135"/>
  <c r="I6" i="135"/>
  <c r="T13" i="4" s="1"/>
  <c r="K13" i="4" s="1"/>
  <c r="F7" i="135"/>
  <c r="I14" i="4" s="1"/>
  <c r="G7" i="135"/>
  <c r="H7" i="135"/>
  <c r="I7" i="135"/>
  <c r="T14" i="4" s="1"/>
  <c r="K14" i="4" s="1"/>
  <c r="F8" i="135"/>
  <c r="I15" i="4" s="1"/>
  <c r="G8" i="135"/>
  <c r="H8" i="135"/>
  <c r="I8" i="135"/>
  <c r="T15" i="4" s="1"/>
  <c r="K15" i="4" s="1"/>
  <c r="F9" i="135"/>
  <c r="I16" i="4" s="1"/>
  <c r="G9" i="135"/>
  <c r="H9" i="135"/>
  <c r="I9" i="135"/>
  <c r="T16" i="4" s="1"/>
  <c r="K16" i="4" s="1"/>
  <c r="F10" i="135"/>
  <c r="I17" i="4" s="1"/>
  <c r="G10" i="135"/>
  <c r="H10" i="135"/>
  <c r="I10" i="135"/>
  <c r="T17" i="4" s="1"/>
  <c r="K17" i="4" s="1"/>
  <c r="F11" i="135"/>
  <c r="I18" i="4" s="1"/>
  <c r="G11" i="135"/>
  <c r="H11" i="135"/>
  <c r="I11" i="135"/>
  <c r="T18" i="4" s="1"/>
  <c r="F12" i="135"/>
  <c r="I19" i="4" s="1"/>
  <c r="G12" i="135"/>
  <c r="H12" i="135"/>
  <c r="I12" i="135"/>
  <c r="T19" i="4" s="1"/>
  <c r="F13" i="135"/>
  <c r="I20" i="4" s="1"/>
  <c r="G13" i="135"/>
  <c r="H13" i="135"/>
  <c r="I13" i="135"/>
  <c r="T20" i="4" s="1"/>
  <c r="F14" i="135"/>
  <c r="I21" i="4" s="1"/>
  <c r="G14" i="135"/>
  <c r="H14" i="135"/>
  <c r="I14" i="135"/>
  <c r="T21" i="4" s="1"/>
  <c r="F15" i="135"/>
  <c r="I22" i="4" s="1"/>
  <c r="G15" i="135"/>
  <c r="H15" i="135"/>
  <c r="I15" i="135"/>
  <c r="T22" i="4" s="1"/>
  <c r="F16" i="135"/>
  <c r="I23" i="4" s="1"/>
  <c r="H23" i="39" s="1"/>
  <c r="G16" i="135"/>
  <c r="H16" i="135"/>
  <c r="I16" i="135"/>
  <c r="T23" i="4" s="1"/>
  <c r="F17" i="135"/>
  <c r="I24" i="4" s="1"/>
  <c r="G17" i="135"/>
  <c r="H17" i="135"/>
  <c r="I17" i="135"/>
  <c r="T24" i="4" s="1"/>
  <c r="F18" i="135"/>
  <c r="I25" i="4" s="1"/>
  <c r="G18" i="135"/>
  <c r="H18" i="135"/>
  <c r="I18" i="135"/>
  <c r="T25" i="4" s="1"/>
  <c r="F19" i="135"/>
  <c r="I26" i="4" s="1"/>
  <c r="G19" i="135"/>
  <c r="H19" i="135"/>
  <c r="I19" i="135"/>
  <c r="T26" i="4" s="1"/>
  <c r="F20" i="135"/>
  <c r="I27" i="4" s="1"/>
  <c r="G20" i="135"/>
  <c r="H20" i="135"/>
  <c r="I20" i="135"/>
  <c r="T27" i="4" s="1"/>
  <c r="F21" i="135"/>
  <c r="I28" i="4" s="1"/>
  <c r="G21" i="135"/>
  <c r="H21" i="135"/>
  <c r="I21" i="135"/>
  <c r="T28" i="4" s="1"/>
  <c r="F22" i="135"/>
  <c r="I29" i="4" s="1"/>
  <c r="G22" i="135"/>
  <c r="H22" i="135"/>
  <c r="I22" i="135"/>
  <c r="T29" i="4" s="1"/>
  <c r="F23" i="135"/>
  <c r="I30" i="4" s="1"/>
  <c r="G23" i="135"/>
  <c r="H23" i="135"/>
  <c r="I23" i="135"/>
  <c r="T30" i="4" s="1"/>
  <c r="F24" i="135"/>
  <c r="G24" i="135"/>
  <c r="H24" i="135"/>
  <c r="I24" i="135"/>
  <c r="T32" i="4" s="1"/>
  <c r="F25" i="135"/>
  <c r="I33" i="4" s="1"/>
  <c r="G25" i="135"/>
  <c r="H25" i="135"/>
  <c r="I25" i="135"/>
  <c r="T33" i="4" s="1"/>
  <c r="F26" i="135"/>
  <c r="I34" i="4" s="1"/>
  <c r="G26" i="135"/>
  <c r="H26" i="135"/>
  <c r="I26" i="135"/>
  <c r="T34" i="4" s="1"/>
  <c r="F27" i="135"/>
  <c r="I35" i="4" s="1"/>
  <c r="G27" i="135"/>
  <c r="H27" i="135"/>
  <c r="I27" i="135"/>
  <c r="T35" i="4" s="1"/>
  <c r="F28" i="135"/>
  <c r="I36" i="4" s="1"/>
  <c r="G28" i="135"/>
  <c r="H28" i="135"/>
  <c r="I28" i="135"/>
  <c r="T36" i="4" s="1"/>
  <c r="F29" i="135"/>
  <c r="I37" i="4" s="1"/>
  <c r="G29" i="135"/>
  <c r="H29" i="135"/>
  <c r="I29" i="135"/>
  <c r="F30" i="135"/>
  <c r="I38" i="4" s="1"/>
  <c r="G30" i="135"/>
  <c r="H30" i="135"/>
  <c r="I30" i="135"/>
  <c r="T38" i="4" s="1"/>
  <c r="F31" i="135"/>
  <c r="I39" i="4" s="1"/>
  <c r="G31" i="135"/>
  <c r="H31" i="135"/>
  <c r="I31" i="135"/>
  <c r="T39" i="4" s="1"/>
  <c r="F32" i="135"/>
  <c r="I40" i="4" s="1"/>
  <c r="G32" i="135"/>
  <c r="H32" i="135"/>
  <c r="I32" i="135"/>
  <c r="T40" i="4" s="1"/>
  <c r="F33" i="135"/>
  <c r="I41" i="4" s="1"/>
  <c r="G33" i="135"/>
  <c r="H33" i="135"/>
  <c r="I33" i="135"/>
  <c r="F34" i="135"/>
  <c r="I42" i="4" s="1"/>
  <c r="G34" i="135"/>
  <c r="H34" i="135"/>
  <c r="I34" i="135"/>
  <c r="F35" i="135"/>
  <c r="I43" i="4" s="1"/>
  <c r="G35" i="135"/>
  <c r="H35" i="135"/>
  <c r="I35" i="135"/>
  <c r="T43" i="4" s="1"/>
  <c r="F36" i="135"/>
  <c r="I44" i="4" s="1"/>
  <c r="G36" i="135"/>
  <c r="H36" i="135"/>
  <c r="I36" i="135"/>
  <c r="T44" i="4" s="1"/>
  <c r="F37" i="135"/>
  <c r="I45" i="4" s="1"/>
  <c r="G37" i="135"/>
  <c r="H37" i="135"/>
  <c r="I37" i="135"/>
  <c r="T45" i="4" s="1"/>
  <c r="F38" i="135"/>
  <c r="I46" i="4" s="1"/>
  <c r="G38" i="135"/>
  <c r="H38" i="135"/>
  <c r="I38" i="135"/>
  <c r="T46" i="4" s="1"/>
  <c r="F39" i="135"/>
  <c r="I47" i="4" s="1"/>
  <c r="G39" i="135"/>
  <c r="H39" i="135"/>
  <c r="I39" i="135"/>
  <c r="T47" i="4" s="1"/>
  <c r="F40" i="135"/>
  <c r="I48" i="4" s="1"/>
  <c r="G40" i="135"/>
  <c r="H40" i="135"/>
  <c r="I40" i="135"/>
  <c r="T48" i="4" s="1"/>
  <c r="F41" i="135"/>
  <c r="I49" i="4" s="1"/>
  <c r="G41" i="135"/>
  <c r="H41" i="135"/>
  <c r="I41" i="135"/>
  <c r="T49" i="4" s="1"/>
  <c r="F42" i="135"/>
  <c r="I50" i="4" s="1"/>
  <c r="G42" i="135"/>
  <c r="H42" i="135"/>
  <c r="I42" i="135"/>
  <c r="T50" i="4" s="1"/>
  <c r="F43" i="135"/>
  <c r="I51" i="4" s="1"/>
  <c r="G43" i="135"/>
  <c r="H43" i="135"/>
  <c r="I43" i="135"/>
  <c r="T51" i="4" s="1"/>
  <c r="F44" i="135"/>
  <c r="I52" i="4" s="1"/>
  <c r="G44" i="135"/>
  <c r="H44" i="135"/>
  <c r="I44" i="135"/>
  <c r="T52" i="4" s="1"/>
  <c r="F45" i="135"/>
  <c r="I53" i="4" s="1"/>
  <c r="G45" i="135"/>
  <c r="H45" i="135"/>
  <c r="I45" i="135"/>
  <c r="T53" i="4" s="1"/>
  <c r="F46" i="135"/>
  <c r="I54" i="4" s="1"/>
  <c r="H54" i="39" s="1"/>
  <c r="G46" i="135"/>
  <c r="H46" i="135"/>
  <c r="I46" i="135"/>
  <c r="T54" i="4" s="1"/>
  <c r="F47" i="135"/>
  <c r="I55" i="4" s="1"/>
  <c r="G47" i="135"/>
  <c r="H47" i="135"/>
  <c r="I47" i="135"/>
  <c r="T55" i="4" s="1"/>
  <c r="F48" i="135"/>
  <c r="I56" i="4" s="1"/>
  <c r="G48" i="135"/>
  <c r="H48" i="135"/>
  <c r="I48" i="135"/>
  <c r="T56" i="4" s="1"/>
  <c r="F49" i="135"/>
  <c r="I57" i="4" s="1"/>
  <c r="G49" i="135"/>
  <c r="H49" i="135"/>
  <c r="I49" i="135"/>
  <c r="T57" i="4" s="1"/>
  <c r="F50" i="135"/>
  <c r="I58" i="4" s="1"/>
  <c r="G50" i="135"/>
  <c r="H50" i="135"/>
  <c r="I50" i="135"/>
  <c r="T58" i="4" s="1"/>
  <c r="F51" i="135"/>
  <c r="I59" i="4" s="1"/>
  <c r="G51" i="135"/>
  <c r="H51" i="135"/>
  <c r="I51" i="135"/>
  <c r="T59" i="4" s="1"/>
  <c r="F52" i="135"/>
  <c r="I60" i="4" s="1"/>
  <c r="G52" i="135"/>
  <c r="H52" i="135"/>
  <c r="I52" i="135"/>
  <c r="T60" i="4" s="1"/>
  <c r="F53" i="135"/>
  <c r="I61" i="4" s="1"/>
  <c r="G53" i="135"/>
  <c r="H53" i="135"/>
  <c r="I53" i="135"/>
  <c r="T61" i="4" s="1"/>
  <c r="F54" i="135"/>
  <c r="G54" i="135"/>
  <c r="H54" i="135"/>
  <c r="I54" i="135"/>
  <c r="F55" i="135"/>
  <c r="I64" i="4" s="1"/>
  <c r="G55" i="135"/>
  <c r="H55" i="135"/>
  <c r="I55" i="135"/>
  <c r="T64" i="4" s="1"/>
  <c r="F56" i="135"/>
  <c r="I65" i="4" s="1"/>
  <c r="G56" i="135"/>
  <c r="H56" i="135"/>
  <c r="I56" i="135"/>
  <c r="T65" i="4" s="1"/>
  <c r="F57" i="135"/>
  <c r="I66" i="4" s="1"/>
  <c r="G57" i="135"/>
  <c r="H57" i="135"/>
  <c r="I57" i="135"/>
  <c r="T66" i="4" s="1"/>
  <c r="F58" i="135"/>
  <c r="I67" i="4" s="1"/>
  <c r="H67" i="39" s="1"/>
  <c r="G58" i="135"/>
  <c r="H58" i="135"/>
  <c r="I58" i="135"/>
  <c r="T67" i="4" s="1"/>
  <c r="F59" i="135"/>
  <c r="I68" i="4" s="1"/>
  <c r="G59" i="135"/>
  <c r="H59" i="135"/>
  <c r="I59" i="135"/>
  <c r="F60" i="135"/>
  <c r="I69" i="4" s="1"/>
  <c r="G60" i="135"/>
  <c r="H60" i="135"/>
  <c r="I60" i="135"/>
  <c r="T69" i="4" s="1"/>
  <c r="F61" i="135"/>
  <c r="I70" i="4" s="1"/>
  <c r="G61" i="135"/>
  <c r="H61" i="135"/>
  <c r="I61" i="135"/>
  <c r="T70" i="4" s="1"/>
  <c r="F62" i="135"/>
  <c r="I71" i="4" s="1"/>
  <c r="G62" i="135"/>
  <c r="H62" i="135"/>
  <c r="I62" i="135"/>
  <c r="T71" i="4" s="1"/>
  <c r="T68" i="4" s="1"/>
  <c r="F63" i="135"/>
  <c r="I72" i="4" s="1"/>
  <c r="G63" i="135"/>
  <c r="H63" i="135"/>
  <c r="I63" i="135"/>
  <c r="F64" i="135"/>
  <c r="I73" i="4" s="1"/>
  <c r="G64" i="135"/>
  <c r="H64" i="135"/>
  <c r="I64" i="135"/>
  <c r="F65" i="135"/>
  <c r="I74" i="4" s="1"/>
  <c r="G65" i="135"/>
  <c r="H65" i="135"/>
  <c r="I65" i="135"/>
  <c r="T74" i="4" s="1"/>
  <c r="F66" i="135"/>
  <c r="I75" i="4" s="1"/>
  <c r="G66" i="135"/>
  <c r="H66" i="135"/>
  <c r="I66" i="135"/>
  <c r="T75" i="4" s="1"/>
  <c r="F67" i="135"/>
  <c r="I76" i="4" s="1"/>
  <c r="G67" i="135"/>
  <c r="H67" i="135"/>
  <c r="I67" i="135"/>
  <c r="T76" i="4" s="1"/>
  <c r="F68" i="135"/>
  <c r="G68" i="135"/>
  <c r="H68" i="135"/>
  <c r="I68" i="135"/>
  <c r="F69" i="135"/>
  <c r="G69" i="135"/>
  <c r="H69" i="135"/>
  <c r="I69" i="135"/>
  <c r="F70" i="135"/>
  <c r="I81" i="4" s="1"/>
  <c r="G70" i="135"/>
  <c r="H70" i="135"/>
  <c r="I70" i="135"/>
  <c r="F71" i="135"/>
  <c r="I82" i="4" s="1"/>
  <c r="G71" i="135"/>
  <c r="H71" i="135"/>
  <c r="I71" i="135"/>
  <c r="F72" i="135"/>
  <c r="G72" i="135"/>
  <c r="H72" i="135"/>
  <c r="I72" i="135"/>
  <c r="F73" i="135"/>
  <c r="I86" i="4" s="1"/>
  <c r="G73" i="135"/>
  <c r="H73" i="135"/>
  <c r="I73" i="135"/>
  <c r="T86" i="4" s="1"/>
  <c r="F74" i="135"/>
  <c r="G74" i="135"/>
  <c r="H74" i="135"/>
  <c r="I74" i="135"/>
  <c r="F75" i="135"/>
  <c r="G75" i="135"/>
  <c r="H75" i="135"/>
  <c r="I75" i="135"/>
  <c r="F76" i="135"/>
  <c r="I90" i="4" s="1"/>
  <c r="G76" i="135"/>
  <c r="H76" i="135"/>
  <c r="I76" i="135"/>
  <c r="F77" i="135"/>
  <c r="I92" i="4" s="1"/>
  <c r="G77" i="135"/>
  <c r="H77" i="135"/>
  <c r="I77" i="135"/>
  <c r="F78" i="135"/>
  <c r="I93" i="4" s="1"/>
  <c r="G78" i="135"/>
  <c r="H78" i="135"/>
  <c r="I78" i="135"/>
  <c r="F79" i="135"/>
  <c r="I94" i="4" s="1"/>
  <c r="G79" i="135"/>
  <c r="H79" i="135"/>
  <c r="I79" i="135"/>
  <c r="T94" i="4" s="1"/>
  <c r="F80" i="135"/>
  <c r="I96" i="4" s="1"/>
  <c r="G80" i="135"/>
  <c r="H80" i="135"/>
  <c r="I80" i="135"/>
  <c r="T96" i="4" s="1"/>
  <c r="F81" i="135"/>
  <c r="I97" i="4" s="1"/>
  <c r="G81" i="135"/>
  <c r="H81" i="135"/>
  <c r="I81" i="135"/>
  <c r="T97" i="4" s="1"/>
  <c r="F82" i="135"/>
  <c r="I98" i="4" s="1"/>
  <c r="G82" i="135"/>
  <c r="H82" i="135"/>
  <c r="I82" i="135"/>
  <c r="F83" i="135"/>
  <c r="I99" i="4" s="1"/>
  <c r="G83" i="135"/>
  <c r="H83" i="135"/>
  <c r="I83" i="135"/>
  <c r="T99" i="4" s="1"/>
  <c r="F84" i="135"/>
  <c r="I100" i="4" s="1"/>
  <c r="G84" i="135"/>
  <c r="H84" i="135"/>
  <c r="I84" i="135"/>
  <c r="T100" i="4" s="1"/>
  <c r="F85" i="135"/>
  <c r="I101" i="4" s="1"/>
  <c r="G85" i="135"/>
  <c r="H85" i="135"/>
  <c r="I85" i="135"/>
  <c r="T101" i="4" s="1"/>
  <c r="F86" i="135"/>
  <c r="I102" i="4" s="1"/>
  <c r="G86" i="135"/>
  <c r="H86" i="135"/>
  <c r="I86" i="135"/>
  <c r="T102" i="4" s="1"/>
  <c r="F87" i="135"/>
  <c r="I103" i="4" s="1"/>
  <c r="G87" i="135"/>
  <c r="H87" i="135"/>
  <c r="I87" i="135"/>
  <c r="T103" i="4" s="1"/>
  <c r="F88" i="135"/>
  <c r="I104" i="4" s="1"/>
  <c r="G88" i="135"/>
  <c r="H88" i="135"/>
  <c r="I88" i="135"/>
  <c r="T104" i="4" s="1"/>
  <c r="F89" i="135"/>
  <c r="I105" i="4" s="1"/>
  <c r="G89" i="135"/>
  <c r="H89" i="135"/>
  <c r="I89" i="135"/>
  <c r="T105" i="4" s="1"/>
  <c r="F90" i="135"/>
  <c r="I106" i="4" s="1"/>
  <c r="G90" i="135"/>
  <c r="H90" i="135"/>
  <c r="I90" i="135"/>
  <c r="T106" i="4" s="1"/>
  <c r="F91" i="135"/>
  <c r="I107" i="4" s="1"/>
  <c r="G91" i="135"/>
  <c r="H91" i="135"/>
  <c r="I91" i="135"/>
  <c r="T107" i="4" s="1"/>
  <c r="F92" i="135"/>
  <c r="I108" i="4" s="1"/>
  <c r="G92" i="135"/>
  <c r="H92" i="135"/>
  <c r="I92" i="135"/>
  <c r="T108" i="4" s="1"/>
  <c r="F93" i="135"/>
  <c r="I109" i="4" s="1"/>
  <c r="G93" i="135"/>
  <c r="H93" i="135"/>
  <c r="I93" i="135"/>
  <c r="T109" i="4" s="1"/>
  <c r="F94" i="135"/>
  <c r="I110" i="4" s="1"/>
  <c r="G94" i="135"/>
  <c r="H94" i="135"/>
  <c r="I94" i="135"/>
  <c r="T110" i="4" s="1"/>
  <c r="F95" i="135"/>
  <c r="I111" i="4" s="1"/>
  <c r="G95" i="135"/>
  <c r="H95" i="135"/>
  <c r="I95" i="135"/>
  <c r="T111" i="4" s="1"/>
  <c r="F96" i="135"/>
  <c r="I113" i="4" s="1"/>
  <c r="G96" i="135"/>
  <c r="H96" i="135"/>
  <c r="I96" i="135"/>
  <c r="T113" i="4" s="1"/>
  <c r="F97" i="135"/>
  <c r="G97" i="135"/>
  <c r="H97" i="135"/>
  <c r="I97" i="135"/>
  <c r="F98" i="135"/>
  <c r="I116" i="4" s="1"/>
  <c r="G98" i="135"/>
  <c r="H98" i="135"/>
  <c r="I98" i="135"/>
  <c r="T116" i="4" s="1"/>
  <c r="F99" i="135"/>
  <c r="I117" i="4" s="1"/>
  <c r="G99" i="135"/>
  <c r="H99" i="135"/>
  <c r="I99" i="135"/>
  <c r="T117" i="4" s="1"/>
  <c r="F100" i="135"/>
  <c r="I118" i="4" s="1"/>
  <c r="G100" i="135"/>
  <c r="H100" i="135"/>
  <c r="I100" i="135"/>
  <c r="T118" i="4" s="1"/>
  <c r="F101" i="135"/>
  <c r="I119" i="4" s="1"/>
  <c r="G101" i="135"/>
  <c r="H101" i="135"/>
  <c r="I101" i="135"/>
  <c r="T119" i="4" s="1"/>
  <c r="F102" i="135"/>
  <c r="I120" i="4" s="1"/>
  <c r="G102" i="135"/>
  <c r="H102" i="135"/>
  <c r="I102" i="135"/>
  <c r="T120" i="4" s="1"/>
  <c r="F103" i="135"/>
  <c r="G103" i="135"/>
  <c r="H103" i="135"/>
  <c r="I103" i="135"/>
  <c r="F104" i="135"/>
  <c r="I121" i="4" s="1"/>
  <c r="G104" i="135"/>
  <c r="H104" i="135"/>
  <c r="I104" i="135"/>
  <c r="T121" i="4" s="1"/>
  <c r="F105" i="135"/>
  <c r="I122" i="4" s="1"/>
  <c r="G105" i="135"/>
  <c r="H105" i="135"/>
  <c r="I105" i="135"/>
  <c r="T122" i="4" s="1"/>
  <c r="F106" i="135"/>
  <c r="I123" i="4" s="1"/>
  <c r="G106" i="135"/>
  <c r="H106" i="135"/>
  <c r="I106" i="135"/>
  <c r="T123" i="4" s="1"/>
  <c r="F107" i="135"/>
  <c r="I124" i="4" s="1"/>
  <c r="G107" i="135"/>
  <c r="H107" i="135"/>
  <c r="I107" i="135"/>
  <c r="T124" i="4" s="1"/>
  <c r="F108" i="135"/>
  <c r="I125" i="4" s="1"/>
  <c r="G108" i="135"/>
  <c r="H108" i="135"/>
  <c r="I108" i="135"/>
  <c r="T125" i="4" s="1"/>
  <c r="F109" i="135"/>
  <c r="I126" i="4" s="1"/>
  <c r="G109" i="135"/>
  <c r="H109" i="135"/>
  <c r="I109" i="135"/>
  <c r="T126" i="4" s="1"/>
  <c r="F110" i="135"/>
  <c r="I127" i="4" s="1"/>
  <c r="G110" i="135"/>
  <c r="H110" i="135"/>
  <c r="I110" i="135"/>
  <c r="T127" i="4" s="1"/>
  <c r="F111" i="135"/>
  <c r="I128" i="4" s="1"/>
  <c r="G111" i="135"/>
  <c r="H111" i="135"/>
  <c r="I111" i="135"/>
  <c r="T128" i="4" s="1"/>
  <c r="F112" i="135"/>
  <c r="I129" i="4" s="1"/>
  <c r="G112" i="135"/>
  <c r="H112" i="135"/>
  <c r="I112" i="135"/>
  <c r="T129" i="4" s="1"/>
  <c r="F113" i="135"/>
  <c r="I130" i="4" s="1"/>
  <c r="G113" i="135"/>
  <c r="H113" i="135"/>
  <c r="I113" i="135"/>
  <c r="T130" i="4" s="1"/>
  <c r="F114" i="135"/>
  <c r="I131" i="4" s="1"/>
  <c r="G114" i="135"/>
  <c r="H114" i="135"/>
  <c r="I114" i="135"/>
  <c r="T131" i="4" s="1"/>
  <c r="F115" i="135"/>
  <c r="G115" i="135"/>
  <c r="H115" i="135"/>
  <c r="I115" i="135"/>
  <c r="T133" i="4" s="1"/>
  <c r="F116" i="135"/>
  <c r="I134" i="4" s="1"/>
  <c r="G116" i="135"/>
  <c r="H116" i="135"/>
  <c r="I116" i="135"/>
  <c r="T134" i="4" s="1"/>
  <c r="F117" i="135"/>
  <c r="I135" i="4" s="1"/>
  <c r="G117" i="135"/>
  <c r="H117" i="135"/>
  <c r="I117" i="135"/>
  <c r="T135" i="4" s="1"/>
  <c r="F118" i="135"/>
  <c r="I136" i="4" s="1"/>
  <c r="G118" i="135"/>
  <c r="H118" i="135"/>
  <c r="I118" i="135"/>
  <c r="T136" i="4" s="1"/>
  <c r="F119" i="135"/>
  <c r="I137" i="4" s="1"/>
  <c r="G119" i="135"/>
  <c r="H119" i="135"/>
  <c r="I119" i="135"/>
  <c r="T137" i="4" s="1"/>
  <c r="F120" i="135"/>
  <c r="I138" i="4" s="1"/>
  <c r="G120" i="135"/>
  <c r="H120" i="135"/>
  <c r="I120" i="135"/>
  <c r="T138" i="4" s="1"/>
  <c r="F121" i="135"/>
  <c r="I139" i="4" s="1"/>
  <c r="G121" i="135"/>
  <c r="H121" i="135"/>
  <c r="I121" i="135"/>
  <c r="T139" i="4" s="1"/>
  <c r="F122" i="135"/>
  <c r="I140" i="4" s="1"/>
  <c r="G122" i="135"/>
  <c r="H122" i="135"/>
  <c r="I122" i="135"/>
  <c r="T140" i="4" s="1"/>
  <c r="F123" i="135"/>
  <c r="I141" i="4" s="1"/>
  <c r="G123" i="135"/>
  <c r="H123" i="135"/>
  <c r="I123" i="135"/>
  <c r="T141" i="4" s="1"/>
  <c r="F124" i="135"/>
  <c r="I142" i="4" s="1"/>
  <c r="G124" i="135"/>
  <c r="H124" i="135"/>
  <c r="I124" i="135"/>
  <c r="T142" i="4" s="1"/>
  <c r="F125" i="135"/>
  <c r="I143" i="4" s="1"/>
  <c r="G125" i="135"/>
  <c r="H125" i="135"/>
  <c r="I125" i="135"/>
  <c r="T143" i="4" s="1"/>
  <c r="F126" i="135"/>
  <c r="I144" i="4" s="1"/>
  <c r="G126" i="135"/>
  <c r="H126" i="135"/>
  <c r="I126" i="135"/>
  <c r="T144" i="4" s="1"/>
  <c r="F127" i="135"/>
  <c r="G127" i="135"/>
  <c r="H127" i="135"/>
  <c r="I127" i="135"/>
  <c r="F128" i="135"/>
  <c r="G128" i="135"/>
  <c r="H128" i="135"/>
  <c r="I128" i="135"/>
  <c r="F129" i="135"/>
  <c r="I156" i="4" s="1"/>
  <c r="G129" i="135"/>
  <c r="H129" i="135"/>
  <c r="I129" i="135"/>
  <c r="F130" i="135"/>
  <c r="I159" i="4" s="1"/>
  <c r="G130" i="135"/>
  <c r="H130" i="135"/>
  <c r="I130" i="135"/>
  <c r="T159" i="4" s="1"/>
  <c r="T155" i="4" s="1"/>
  <c r="T146" i="4" s="1"/>
  <c r="F131" i="135"/>
  <c r="G131" i="135"/>
  <c r="H131" i="135"/>
  <c r="I131" i="135"/>
  <c r="F132" i="135"/>
  <c r="G132" i="135"/>
  <c r="H132" i="135"/>
  <c r="I132" i="135"/>
  <c r="T169" i="4" s="1"/>
  <c r="F133" i="135"/>
  <c r="G133" i="135"/>
  <c r="H133" i="135"/>
  <c r="I133" i="135"/>
  <c r="F134" i="135"/>
  <c r="G134" i="135"/>
  <c r="H134" i="135"/>
  <c r="I134" i="135"/>
  <c r="F135" i="135"/>
  <c r="I174" i="4" s="1"/>
  <c r="G135" i="135"/>
  <c r="H135" i="135"/>
  <c r="I135" i="135"/>
  <c r="F136" i="135"/>
  <c r="I175" i="4" s="1"/>
  <c r="H202" i="39" s="1"/>
  <c r="G136" i="135"/>
  <c r="H136" i="135"/>
  <c r="I136" i="135"/>
  <c r="F137" i="135"/>
  <c r="I176" i="4" s="1"/>
  <c r="H203" i="39" s="1"/>
  <c r="G137" i="135"/>
  <c r="H137" i="135"/>
  <c r="I137" i="135"/>
  <c r="F138" i="135"/>
  <c r="I180" i="4" s="1"/>
  <c r="I179" i="4" s="1"/>
  <c r="G138" i="135"/>
  <c r="H138" i="135"/>
  <c r="I138" i="135"/>
  <c r="F139" i="135"/>
  <c r="G139" i="135"/>
  <c r="H139" i="135"/>
  <c r="I139" i="135"/>
  <c r="F140" i="135"/>
  <c r="G140" i="135"/>
  <c r="H140" i="135"/>
  <c r="I140" i="135"/>
  <c r="F141" i="135"/>
  <c r="I183" i="4" s="1"/>
  <c r="G141" i="135"/>
  <c r="H141" i="135"/>
  <c r="I141" i="135"/>
  <c r="F142" i="135"/>
  <c r="G142" i="135"/>
  <c r="H142" i="135"/>
  <c r="I142" i="135"/>
  <c r="F143" i="135"/>
  <c r="I184" i="4" s="1"/>
  <c r="G143" i="135"/>
  <c r="H143" i="135"/>
  <c r="I143" i="135"/>
  <c r="T184" i="4" s="1"/>
  <c r="F144" i="135"/>
  <c r="G144" i="135"/>
  <c r="H144" i="135"/>
  <c r="I144" i="135"/>
  <c r="F145" i="135"/>
  <c r="G145" i="135"/>
  <c r="H145" i="135"/>
  <c r="I145" i="135"/>
  <c r="F146" i="135"/>
  <c r="I186" i="4" s="1"/>
  <c r="G146" i="135"/>
  <c r="H146" i="135"/>
  <c r="I146" i="135"/>
  <c r="T186" i="4" s="1"/>
  <c r="F147" i="135"/>
  <c r="G147" i="135"/>
  <c r="H147" i="135"/>
  <c r="I147" i="135"/>
  <c r="G3" i="135"/>
  <c r="H3" i="135"/>
  <c r="I3" i="135"/>
  <c r="F3" i="135"/>
  <c r="L26" i="35"/>
  <c r="L181" i="39" s="1"/>
  <c r="L48" i="35"/>
  <c r="J18" i="35"/>
  <c r="J17" i="35"/>
  <c r="J16" i="35"/>
  <c r="S42" i="35"/>
  <c r="S41" i="35" s="1"/>
  <c r="S40" i="35" s="1"/>
  <c r="S37" i="35"/>
  <c r="S28" i="35"/>
  <c r="S26" i="35"/>
  <c r="T14" i="35"/>
  <c r="I4" i="133"/>
  <c r="H15" i="35" s="1"/>
  <c r="J4" i="133"/>
  <c r="K4" i="133"/>
  <c r="I5" i="133"/>
  <c r="H17" i="35" s="1"/>
  <c r="J5" i="133"/>
  <c r="K5" i="133"/>
  <c r="I6" i="133"/>
  <c r="H16" i="35" s="1"/>
  <c r="J6" i="133"/>
  <c r="K6" i="133"/>
  <c r="I7" i="133"/>
  <c r="H19" i="35" s="1"/>
  <c r="J7" i="133"/>
  <c r="K7" i="133"/>
  <c r="I8" i="133"/>
  <c r="H18" i="35" s="1"/>
  <c r="J8" i="133"/>
  <c r="K8" i="133"/>
  <c r="I9" i="133"/>
  <c r="J9" i="133"/>
  <c r="K9" i="133"/>
  <c r="S19" i="35" s="1"/>
  <c r="J19" i="35" s="1"/>
  <c r="I10" i="133"/>
  <c r="H21" i="35" s="1"/>
  <c r="J10" i="133"/>
  <c r="K10" i="133"/>
  <c r="I11" i="133"/>
  <c r="H22" i="35" s="1"/>
  <c r="J11" i="133"/>
  <c r="K11" i="133"/>
  <c r="I12" i="133"/>
  <c r="H23" i="35" s="1"/>
  <c r="J12" i="133"/>
  <c r="K12" i="133"/>
  <c r="I13" i="133"/>
  <c r="H25" i="35" s="1"/>
  <c r="J13" i="133"/>
  <c r="K13" i="133"/>
  <c r="I14" i="133"/>
  <c r="J14" i="133"/>
  <c r="K14" i="133"/>
  <c r="S23" i="35" s="1"/>
  <c r="I15" i="133"/>
  <c r="J15" i="133"/>
  <c r="K15" i="133"/>
  <c r="S21" i="35" s="1"/>
  <c r="I16" i="133"/>
  <c r="J16" i="133"/>
  <c r="K16" i="133"/>
  <c r="I17" i="133"/>
  <c r="J17" i="133"/>
  <c r="K17" i="133"/>
  <c r="S25" i="35" s="1"/>
  <c r="I18" i="133"/>
  <c r="H27" i="35" s="1"/>
  <c r="J18" i="133"/>
  <c r="K18" i="133"/>
  <c r="I19" i="133"/>
  <c r="J19" i="133"/>
  <c r="K19" i="133"/>
  <c r="I20" i="133"/>
  <c r="H33" i="35" s="1"/>
  <c r="J20" i="133"/>
  <c r="K20" i="133"/>
  <c r="I21" i="133"/>
  <c r="H32" i="35" s="1"/>
  <c r="J21" i="133"/>
  <c r="K21" i="133"/>
  <c r="I22" i="133"/>
  <c r="H34" i="35" s="1"/>
  <c r="J22" i="133"/>
  <c r="K22" i="133"/>
  <c r="I23" i="133"/>
  <c r="H35" i="35" s="1"/>
  <c r="J23" i="133"/>
  <c r="K23" i="133"/>
  <c r="I24" i="133"/>
  <c r="H31" i="35" s="1"/>
  <c r="J24" i="133"/>
  <c r="K24" i="133"/>
  <c r="I25" i="133"/>
  <c r="H36" i="35" s="1"/>
  <c r="J25" i="133"/>
  <c r="K25" i="133"/>
  <c r="I26" i="133"/>
  <c r="J26" i="133"/>
  <c r="K26" i="133"/>
  <c r="I27" i="133"/>
  <c r="J27" i="133"/>
  <c r="K27" i="133"/>
  <c r="I28" i="133"/>
  <c r="J28" i="133"/>
  <c r="K28" i="133"/>
  <c r="S35" i="35" s="1"/>
  <c r="S30" i="35" s="1"/>
  <c r="I29" i="133"/>
  <c r="H43" i="35" s="1"/>
  <c r="H272" i="39" s="1"/>
  <c r="J29" i="133"/>
  <c r="K29" i="133"/>
  <c r="I30" i="133"/>
  <c r="H44" i="35" s="1"/>
  <c r="H273" i="39" s="1"/>
  <c r="J30" i="133"/>
  <c r="K30" i="133"/>
  <c r="I31" i="133"/>
  <c r="J31" i="133"/>
  <c r="K31" i="133"/>
  <c r="I32" i="133"/>
  <c r="H45" i="35" s="1"/>
  <c r="H274" i="39" s="1"/>
  <c r="J32" i="133"/>
  <c r="K32" i="133"/>
  <c r="I33" i="133"/>
  <c r="H46" i="35" s="1"/>
  <c r="H275" i="39" s="1"/>
  <c r="J33" i="133"/>
  <c r="K33" i="133"/>
  <c r="I34" i="133"/>
  <c r="H47" i="35" s="1"/>
  <c r="H276" i="39" s="1"/>
  <c r="J34" i="133"/>
  <c r="K34" i="133"/>
  <c r="I35" i="133"/>
  <c r="H49" i="35" s="1"/>
  <c r="H48" i="35" s="1"/>
  <c r="J35" i="133"/>
  <c r="K35" i="133"/>
  <c r="I36" i="133"/>
  <c r="J36" i="133"/>
  <c r="K36" i="133"/>
  <c r="S49" i="35" s="1"/>
  <c r="S48" i="35" s="1"/>
  <c r="J3" i="133"/>
  <c r="K3" i="133"/>
  <c r="I3" i="133"/>
  <c r="H12" i="35" s="1"/>
  <c r="R50" i="35"/>
  <c r="R20" i="35"/>
  <c r="R41" i="35"/>
  <c r="R30" i="35"/>
  <c r="R10" i="35"/>
  <c r="Q17" i="35"/>
  <c r="Q18" i="35"/>
  <c r="Q19" i="35"/>
  <c r="Q47" i="35"/>
  <c r="Q38" i="35"/>
  <c r="R38" i="35" s="1"/>
  <c r="Q34" i="35"/>
  <c r="Q32" i="35"/>
  <c r="Q29" i="35"/>
  <c r="I169" i="4" l="1"/>
  <c r="I168" i="4" s="1"/>
  <c r="T168" i="4"/>
  <c r="O146" i="4"/>
  <c r="H11" i="35"/>
  <c r="H174" i="39"/>
  <c r="M174" i="4"/>
  <c r="S24" i="4"/>
  <c r="S23" i="4"/>
  <c r="L16" i="4"/>
  <c r="T63" i="4"/>
  <c r="P56" i="4"/>
  <c r="P99" i="4"/>
  <c r="N142" i="4"/>
  <c r="P94" i="4"/>
  <c r="P98" i="4"/>
  <c r="I155" i="4"/>
  <c r="I146" i="4" s="1"/>
  <c r="N78" i="4"/>
  <c r="N127" i="4"/>
  <c r="N118" i="4"/>
  <c r="N33" i="4"/>
  <c r="P136" i="4"/>
  <c r="P55" i="4"/>
  <c r="P104" i="4"/>
  <c r="P100" i="4"/>
  <c r="P96" i="4"/>
  <c r="P92" i="4"/>
  <c r="P48" i="4"/>
  <c r="P40" i="4"/>
  <c r="P139" i="4"/>
  <c r="P125" i="4"/>
  <c r="N123" i="4"/>
  <c r="P121" i="4"/>
  <c r="N178" i="4"/>
  <c r="N131" i="4"/>
  <c r="P19" i="4"/>
  <c r="P60" i="4"/>
  <c r="P108" i="4"/>
  <c r="I115" i="4"/>
  <c r="P135" i="4"/>
  <c r="N151" i="4"/>
  <c r="N119" i="4"/>
  <c r="N115" i="4"/>
  <c r="P103" i="4"/>
  <c r="N48" i="4"/>
  <c r="N40" i="4"/>
  <c r="N36" i="4"/>
  <c r="N126" i="4"/>
  <c r="N107" i="4"/>
  <c r="P180" i="4"/>
  <c r="P137" i="4"/>
  <c r="P129" i="4"/>
  <c r="P76" i="4"/>
  <c r="N183" i="4"/>
  <c r="P144" i="4"/>
  <c r="P113" i="4"/>
  <c r="N90" i="4"/>
  <c r="P124" i="4"/>
  <c r="P101" i="4"/>
  <c r="P70" i="4"/>
  <c r="P61" i="4"/>
  <c r="N124" i="4"/>
  <c r="P116" i="4"/>
  <c r="N93" i="4"/>
  <c r="P164" i="4"/>
  <c r="N143" i="4"/>
  <c r="N136" i="4"/>
  <c r="N129" i="4"/>
  <c r="P119" i="4"/>
  <c r="N116" i="4"/>
  <c r="N113" i="4"/>
  <c r="P106" i="4"/>
  <c r="N96" i="4"/>
  <c r="P58" i="4"/>
  <c r="P51" i="4"/>
  <c r="P47" i="4"/>
  <c r="P43" i="4"/>
  <c r="P39" i="4"/>
  <c r="N32" i="4"/>
  <c r="N19" i="4"/>
  <c r="P15" i="4"/>
  <c r="P153" i="4"/>
  <c r="P142" i="4"/>
  <c r="P131" i="4"/>
  <c r="P128" i="4"/>
  <c r="N125" i="4"/>
  <c r="N74" i="4"/>
  <c r="P138" i="4"/>
  <c r="N128" i="4"/>
  <c r="N122" i="4"/>
  <c r="P105" i="4"/>
  <c r="N92" i="4"/>
  <c r="P73" i="4"/>
  <c r="N70" i="4"/>
  <c r="N66" i="4"/>
  <c r="P57" i="4"/>
  <c r="N138" i="4"/>
  <c r="P127" i="4"/>
  <c r="N109" i="4"/>
  <c r="P69" i="4"/>
  <c r="N61" i="4"/>
  <c r="N50" i="4"/>
  <c r="N46" i="4"/>
  <c r="N42" i="4"/>
  <c r="N38" i="4"/>
  <c r="N34" i="4"/>
  <c r="N28" i="4"/>
  <c r="P21" i="4"/>
  <c r="P17" i="4"/>
  <c r="T85" i="4"/>
  <c r="L14" i="4"/>
  <c r="P143" i="4"/>
  <c r="P165" i="4"/>
  <c r="P163" i="4"/>
  <c r="N98" i="4"/>
  <c r="P53" i="4"/>
  <c r="P49" i="4"/>
  <c r="P45" i="4"/>
  <c r="P41" i="4"/>
  <c r="P37" i="4"/>
  <c r="N21" i="4"/>
  <c r="N164" i="4"/>
  <c r="N162" i="4"/>
  <c r="N146" i="4" s="1"/>
  <c r="P140" i="4"/>
  <c r="P133" i="4"/>
  <c r="N130" i="4"/>
  <c r="P126" i="4"/>
  <c r="N121" i="4"/>
  <c r="P117" i="4"/>
  <c r="P97" i="4"/>
  <c r="P79" i="4"/>
  <c r="P75" i="4"/>
  <c r="L13" i="4"/>
  <c r="P167" i="4"/>
  <c r="N144" i="4"/>
  <c r="N140" i="4"/>
  <c r="P123" i="4"/>
  <c r="N117" i="4"/>
  <c r="P107" i="4"/>
  <c r="P71" i="4"/>
  <c r="P59" i="4"/>
  <c r="P36" i="4"/>
  <c r="P26" i="4"/>
  <c r="N54" i="4"/>
  <c r="M54" i="39" s="1"/>
  <c r="L54" i="39"/>
  <c r="P23" i="4"/>
  <c r="N23" i="39"/>
  <c r="O23" i="39" s="1"/>
  <c r="I12" i="4"/>
  <c r="T37" i="4"/>
  <c r="N72" i="4"/>
  <c r="J12" i="4"/>
  <c r="L15" i="4"/>
  <c r="T98" i="4"/>
  <c r="T182" i="4"/>
  <c r="N181" i="4"/>
  <c r="P145" i="4"/>
  <c r="N134" i="4"/>
  <c r="N75" i="4"/>
  <c r="N73" i="4"/>
  <c r="N71" i="4"/>
  <c r="N69" i="4"/>
  <c r="P66" i="4"/>
  <c r="N57" i="4"/>
  <c r="P29" i="4"/>
  <c r="N11" i="4"/>
  <c r="N26" i="4"/>
  <c r="N23" i="4"/>
  <c r="L23" i="39"/>
  <c r="M23" i="39" s="1"/>
  <c r="N52" i="4"/>
  <c r="N44" i="4"/>
  <c r="N29" i="4"/>
  <c r="N175" i="4"/>
  <c r="N59" i="4"/>
  <c r="N17" i="4"/>
  <c r="N15" i="4"/>
  <c r="T42" i="4"/>
  <c r="N168" i="4"/>
  <c r="N133" i="4"/>
  <c r="P115" i="4"/>
  <c r="P110" i="4"/>
  <c r="N81" i="4"/>
  <c r="P65" i="4"/>
  <c r="N56" i="4"/>
  <c r="P35" i="4"/>
  <c r="P33" i="4"/>
  <c r="P28" i="4"/>
  <c r="P25" i="4"/>
  <c r="N13" i="4"/>
  <c r="N25" i="4"/>
  <c r="P174" i="4"/>
  <c r="P151" i="4"/>
  <c r="P141" i="4"/>
  <c r="P118" i="4"/>
  <c r="P102" i="4"/>
  <c r="P86" i="4"/>
  <c r="P78" i="4"/>
  <c r="N58" i="4"/>
  <c r="N53" i="4"/>
  <c r="N51" i="4"/>
  <c r="N49" i="4"/>
  <c r="N47" i="4"/>
  <c r="N45" i="4"/>
  <c r="N43" i="4"/>
  <c r="N41" i="4"/>
  <c r="N39" i="4"/>
  <c r="N37" i="4"/>
  <c r="P30" i="4"/>
  <c r="P22" i="4"/>
  <c r="P20" i="4"/>
  <c r="P18" i="4"/>
  <c r="P16" i="4"/>
  <c r="P14" i="4"/>
  <c r="I63" i="4"/>
  <c r="N108" i="4"/>
  <c r="N76" i="4"/>
  <c r="N65" i="4"/>
  <c r="L17" i="4"/>
  <c r="N67" i="39"/>
  <c r="M67" i="39"/>
  <c r="T73" i="4"/>
  <c r="T72" i="4" s="1"/>
  <c r="P168" i="4"/>
  <c r="N165" i="4"/>
  <c r="N139" i="4"/>
  <c r="N137" i="4"/>
  <c r="N135" i="4"/>
  <c r="N55" i="4"/>
  <c r="N30" i="4"/>
  <c r="P27" i="4"/>
  <c r="P24" i="4"/>
  <c r="N22" i="4"/>
  <c r="N20" i="4"/>
  <c r="N18" i="4"/>
  <c r="N16" i="4"/>
  <c r="N14" i="4"/>
  <c r="N68" i="4"/>
  <c r="J155" i="4"/>
  <c r="I182" i="4"/>
  <c r="N169" i="4"/>
  <c r="M155" i="4"/>
  <c r="N153" i="4"/>
  <c r="P134" i="4"/>
  <c r="N120" i="4"/>
  <c r="P109" i="4"/>
  <c r="N82" i="4"/>
  <c r="N64" i="4"/>
  <c r="N60" i="4"/>
  <c r="P54" i="4"/>
  <c r="O54" i="39" s="1"/>
  <c r="P34" i="4"/>
  <c r="P32" i="4"/>
  <c r="N27" i="4"/>
  <c r="N24" i="4"/>
  <c r="P11" i="4"/>
  <c r="H271" i="39"/>
  <c r="I26" i="35"/>
  <c r="N26" i="35" s="1"/>
  <c r="H20" i="35"/>
  <c r="Q23" i="39"/>
  <c r="R23" i="39" s="1"/>
  <c r="N167" i="4"/>
  <c r="M63" i="4"/>
  <c r="O63" i="4"/>
  <c r="N86" i="4"/>
  <c r="P64" i="4"/>
  <c r="T115" i="4"/>
  <c r="T12" i="4"/>
  <c r="J63" i="4"/>
  <c r="I85" i="4"/>
  <c r="I133" i="4"/>
  <c r="I32" i="4"/>
  <c r="S20" i="35"/>
  <c r="S14" i="35"/>
  <c r="M146" i="4" l="1"/>
  <c r="J146" i="4"/>
  <c r="N163" i="4"/>
  <c r="T41" i="4"/>
  <c r="N63" i="4"/>
  <c r="N12" i="4"/>
  <c r="P166" i="4"/>
  <c r="P169" i="4"/>
  <c r="N174" i="4"/>
  <c r="T11" i="4"/>
  <c r="P12" i="4"/>
  <c r="N150" i="4"/>
  <c r="P150" i="4"/>
  <c r="N85" i="4"/>
  <c r="T78" i="4"/>
  <c r="S13" i="35"/>
  <c r="S10" i="35" s="1"/>
  <c r="S9" i="35" s="1"/>
  <c r="I11" i="4"/>
  <c r="P63" i="4"/>
  <c r="P85" i="4"/>
  <c r="R13" i="37"/>
  <c r="R56" i="37"/>
  <c r="O32" i="37"/>
  <c r="M13" i="37"/>
  <c r="M27" i="37"/>
  <c r="M29" i="37"/>
  <c r="M32" i="37"/>
  <c r="M36" i="37"/>
  <c r="M56" i="37"/>
  <c r="K32" i="37"/>
  <c r="K36" i="37"/>
  <c r="K56" i="37"/>
  <c r="J42" i="37"/>
  <c r="J45" i="37"/>
  <c r="J46" i="37"/>
  <c r="J47" i="37"/>
  <c r="J48" i="37"/>
  <c r="J50" i="37"/>
  <c r="J27" i="37"/>
  <c r="J24" i="37"/>
  <c r="N186" i="4" l="1"/>
  <c r="P146" i="4"/>
  <c r="I79" i="37"/>
  <c r="J240" i="39"/>
  <c r="K27" i="37"/>
  <c r="T10" i="4"/>
  <c r="T9" i="4" s="1"/>
  <c r="P162" i="4"/>
  <c r="M40" i="37"/>
  <c r="I10" i="4"/>
  <c r="M39" i="37"/>
  <c r="N13" i="37"/>
  <c r="O13" i="37" s="1"/>
  <c r="S34" i="37"/>
  <c r="S30" i="37"/>
  <c r="S28" i="37"/>
  <c r="S26" i="37"/>
  <c r="S23" i="37"/>
  <c r="R29" i="37"/>
  <c r="P210" i="39"/>
  <c r="Q42" i="37"/>
  <c r="R42" i="37" s="1"/>
  <c r="Q32" i="37"/>
  <c r="Q36" i="37"/>
  <c r="R36" i="37" s="1"/>
  <c r="Q35" i="37"/>
  <c r="R35" i="37" s="1"/>
  <c r="Q31" i="37"/>
  <c r="Q24" i="37"/>
  <c r="Q22" i="37"/>
  <c r="I4" i="132"/>
  <c r="J4" i="132"/>
  <c r="K4" i="132"/>
  <c r="I5" i="132"/>
  <c r="H17" i="37" s="1"/>
  <c r="J5" i="132"/>
  <c r="K5" i="132"/>
  <c r="S17" i="37" s="1"/>
  <c r="J17" i="37" s="1"/>
  <c r="I6" i="132"/>
  <c r="J6" i="132"/>
  <c r="K6" i="132"/>
  <c r="S22" i="37" s="1"/>
  <c r="J22" i="37" s="1"/>
  <c r="K22" i="37" s="1"/>
  <c r="I7" i="132"/>
  <c r="H21" i="37" s="1"/>
  <c r="J7" i="132"/>
  <c r="K7" i="132"/>
  <c r="S21" i="37" s="1"/>
  <c r="J21" i="37" s="1"/>
  <c r="I8" i="132"/>
  <c r="H18" i="37" s="1"/>
  <c r="J8" i="132"/>
  <c r="K8" i="132"/>
  <c r="I9" i="132"/>
  <c r="H19" i="37" s="1"/>
  <c r="J9" i="132"/>
  <c r="K9" i="132"/>
  <c r="I10" i="132"/>
  <c r="H20" i="37" s="1"/>
  <c r="J10" i="132"/>
  <c r="K10" i="132"/>
  <c r="S20" i="37" s="1"/>
  <c r="J20" i="37" s="1"/>
  <c r="I11" i="132"/>
  <c r="J11" i="132"/>
  <c r="K11" i="132"/>
  <c r="I12" i="132"/>
  <c r="J12" i="132"/>
  <c r="K12" i="132"/>
  <c r="S19" i="37" s="1"/>
  <c r="J19" i="37" s="1"/>
  <c r="I13" i="132"/>
  <c r="J13" i="132"/>
  <c r="K13" i="132"/>
  <c r="I14" i="132"/>
  <c r="J14" i="132"/>
  <c r="K14" i="132"/>
  <c r="S18" i="37" s="1"/>
  <c r="J18" i="37" s="1"/>
  <c r="I15" i="132"/>
  <c r="J15" i="132"/>
  <c r="K15" i="132"/>
  <c r="I16" i="132"/>
  <c r="M31" i="37" s="1"/>
  <c r="J16" i="132"/>
  <c r="K16" i="132"/>
  <c r="I17" i="132"/>
  <c r="J17" i="132"/>
  <c r="K17" i="132"/>
  <c r="I18" i="132"/>
  <c r="J18" i="132"/>
  <c r="K18" i="132"/>
  <c r="I19" i="132"/>
  <c r="J19" i="132"/>
  <c r="M42" i="37" s="1"/>
  <c r="K19" i="132"/>
  <c r="S40" i="37" s="1"/>
  <c r="I20" i="132"/>
  <c r="J20" i="132"/>
  <c r="K20" i="132"/>
  <c r="I21" i="132"/>
  <c r="J21" i="132"/>
  <c r="M41" i="37" s="1"/>
  <c r="K21" i="132"/>
  <c r="S41" i="37" s="1"/>
  <c r="J41" i="37" s="1"/>
  <c r="I22" i="132"/>
  <c r="J22" i="132"/>
  <c r="K22" i="132"/>
  <c r="I23" i="132"/>
  <c r="H82" i="37" s="1"/>
  <c r="J23" i="132"/>
  <c r="K23" i="132"/>
  <c r="I24" i="132"/>
  <c r="J24" i="132"/>
  <c r="L43" i="37" s="1"/>
  <c r="K24" i="132"/>
  <c r="S44" i="37" s="1"/>
  <c r="I25" i="132"/>
  <c r="J25" i="132"/>
  <c r="K25" i="132"/>
  <c r="I26" i="132"/>
  <c r="J26" i="132"/>
  <c r="M35" i="37" s="1"/>
  <c r="K26" i="132"/>
  <c r="I27" i="132"/>
  <c r="J27" i="132"/>
  <c r="K27" i="132"/>
  <c r="I28" i="132"/>
  <c r="J28" i="132"/>
  <c r="K28" i="132"/>
  <c r="I29" i="132"/>
  <c r="J29" i="132"/>
  <c r="K29" i="132"/>
  <c r="I30" i="132"/>
  <c r="J30" i="132"/>
  <c r="K30" i="132"/>
  <c r="S49" i="37" s="1"/>
  <c r="J49" i="37" s="1"/>
  <c r="I31" i="132"/>
  <c r="J31" i="132"/>
  <c r="K31" i="132"/>
  <c r="I32" i="132"/>
  <c r="J32" i="132"/>
  <c r="K32" i="132"/>
  <c r="I33" i="132"/>
  <c r="J33" i="132"/>
  <c r="K33" i="132"/>
  <c r="I34" i="132"/>
  <c r="J34" i="132"/>
  <c r="K34" i="132"/>
  <c r="I35" i="132"/>
  <c r="J35" i="132"/>
  <c r="L281" i="39" s="1"/>
  <c r="K35" i="132"/>
  <c r="S55" i="37" s="1"/>
  <c r="J55" i="37" s="1"/>
  <c r="J3" i="132"/>
  <c r="K3" i="132"/>
  <c r="I3" i="132"/>
  <c r="H15" i="37" s="1"/>
  <c r="D3" i="114"/>
  <c r="Q30" i="54"/>
  <c r="Q173" i="39" s="1"/>
  <c r="Q12" i="54"/>
  <c r="Q60" i="54"/>
  <c r="Q59" i="54"/>
  <c r="Q37" i="54"/>
  <c r="Q215" i="39" s="1"/>
  <c r="Q38" i="54"/>
  <c r="Q216" i="39" s="1"/>
  <c r="Q39" i="54"/>
  <c r="Q217" i="39" s="1"/>
  <c r="Q40" i="54"/>
  <c r="Q218" i="39" s="1"/>
  <c r="Q41" i="54"/>
  <c r="Q219" i="39" s="1"/>
  <c r="Q36" i="54"/>
  <c r="Q214" i="39" s="1"/>
  <c r="Q31" i="54"/>
  <c r="Q29" i="54"/>
  <c r="Q172" i="39" s="1"/>
  <c r="Q28" i="54"/>
  <c r="Q171" i="39" s="1"/>
  <c r="Q27" i="54"/>
  <c r="Q26" i="54"/>
  <c r="Q169" i="39" s="1"/>
  <c r="Q25" i="54"/>
  <c r="Q168" i="39" s="1"/>
  <c r="Q24" i="54"/>
  <c r="Q167" i="39" s="1"/>
  <c r="Q23" i="54"/>
  <c r="Q166" i="39" s="1"/>
  <c r="Q22" i="54"/>
  <c r="Q165" i="39" s="1"/>
  <c r="Q21" i="54"/>
  <c r="Q164" i="39" s="1"/>
  <c r="Q20" i="54"/>
  <c r="Q163" i="39" s="1"/>
  <c r="Q19" i="54"/>
  <c r="Q162" i="39" s="1"/>
  <c r="Q18" i="54"/>
  <c r="Q161" i="39" s="1"/>
  <c r="Q17" i="54"/>
  <c r="Q160" i="39" s="1"/>
  <c r="Q16" i="54"/>
  <c r="Q15" i="54"/>
  <c r="Q158" i="39" s="1"/>
  <c r="Q14" i="54"/>
  <c r="Q13" i="54"/>
  <c r="P282" i="39"/>
  <c r="P230" i="39"/>
  <c r="P229" i="39"/>
  <c r="P228" i="39"/>
  <c r="P227" i="39"/>
  <c r="P226" i="39"/>
  <c r="P225" i="39"/>
  <c r="P224" i="39"/>
  <c r="P223" i="39"/>
  <c r="P222" i="39"/>
  <c r="P221" i="39"/>
  <c r="P220" i="39"/>
  <c r="P219" i="39"/>
  <c r="P218" i="39"/>
  <c r="P217" i="39"/>
  <c r="P216" i="39"/>
  <c r="P215" i="39"/>
  <c r="P214" i="39"/>
  <c r="P173" i="39"/>
  <c r="P172" i="39"/>
  <c r="P171" i="39"/>
  <c r="P169" i="39"/>
  <c r="P168" i="39"/>
  <c r="P167" i="39"/>
  <c r="P166" i="39"/>
  <c r="P165" i="39"/>
  <c r="P164" i="39"/>
  <c r="P163" i="39"/>
  <c r="P162" i="39"/>
  <c r="P161" i="39"/>
  <c r="P160" i="39"/>
  <c r="P158" i="39"/>
  <c r="H3" i="131"/>
  <c r="I3" i="131"/>
  <c r="H4" i="131"/>
  <c r="I4" i="131"/>
  <c r="G4" i="131"/>
  <c r="H60" i="54" s="1"/>
  <c r="G3" i="131"/>
  <c r="H59" i="54" s="1"/>
  <c r="S15" i="37" l="1"/>
  <c r="K18" i="37"/>
  <c r="H39" i="37"/>
  <c r="H31" i="37"/>
  <c r="M51" i="37"/>
  <c r="J36" i="132"/>
  <c r="H52" i="37"/>
  <c r="M52" i="37"/>
  <c r="H45" i="37"/>
  <c r="H22" i="37"/>
  <c r="H16" i="37" s="1"/>
  <c r="M44" i="37"/>
  <c r="H51" i="37"/>
  <c r="H40" i="37"/>
  <c r="K39" i="37"/>
  <c r="H87" i="37"/>
  <c r="H49" i="37"/>
  <c r="H41" i="37"/>
  <c r="H47" i="37"/>
  <c r="I36" i="132"/>
  <c r="H55" i="37"/>
  <c r="H54" i="37" s="1"/>
  <c r="I281" i="39"/>
  <c r="H46" i="37"/>
  <c r="H42" i="37"/>
  <c r="L38" i="37"/>
  <c r="L37" i="37" s="1"/>
  <c r="K36" i="132"/>
  <c r="H50" i="37"/>
  <c r="M24" i="37"/>
  <c r="H24" i="37"/>
  <c r="H44" i="37"/>
  <c r="K42" i="37"/>
  <c r="H48" i="37"/>
  <c r="R32" i="37"/>
  <c r="Q210" i="39"/>
  <c r="K21" i="37"/>
  <c r="K17" i="37"/>
  <c r="K20" i="37"/>
  <c r="M15" i="37"/>
  <c r="M18" i="37"/>
  <c r="N20" i="37"/>
  <c r="O20" i="37" s="1"/>
  <c r="M20" i="37"/>
  <c r="J44" i="37"/>
  <c r="S43" i="37"/>
  <c r="J43" i="37" s="1"/>
  <c r="O17" i="37"/>
  <c r="M17" i="37"/>
  <c r="N22" i="37"/>
  <c r="O22" i="37" s="1"/>
  <c r="M22" i="37"/>
  <c r="S38" i="37"/>
  <c r="M19" i="37"/>
  <c r="K19" i="37"/>
  <c r="M21" i="37"/>
  <c r="Q23" i="37"/>
  <c r="I78" i="37"/>
  <c r="K41" i="37"/>
  <c r="J40" i="37"/>
  <c r="N19" i="37"/>
  <c r="O19" i="37" s="1"/>
  <c r="N21" i="37"/>
  <c r="O21" i="37" s="1"/>
  <c r="N18" i="37"/>
  <c r="O18" i="37" s="1"/>
  <c r="N15" i="37"/>
  <c r="S16" i="37"/>
  <c r="J16" i="37" s="1"/>
  <c r="S54" i="37"/>
  <c r="J54" i="37" s="1"/>
  <c r="Q11" i="54"/>
  <c r="Q10" i="54" s="1"/>
  <c r="K44" i="37" l="1"/>
  <c r="K40" i="37"/>
  <c r="H38" i="37"/>
  <c r="H63" i="37" s="1"/>
  <c r="H64" i="37" s="1"/>
  <c r="O15" i="37"/>
  <c r="N183" i="39"/>
  <c r="H86" i="37"/>
  <c r="M48" i="37"/>
  <c r="K48" i="37"/>
  <c r="H85" i="37"/>
  <c r="K47" i="37"/>
  <c r="M47" i="37"/>
  <c r="H43" i="37"/>
  <c r="H69" i="37" s="1"/>
  <c r="H70" i="37" s="1"/>
  <c r="H84" i="37"/>
  <c r="M46" i="37"/>
  <c r="K46" i="37"/>
  <c r="I197" i="39"/>
  <c r="I196" i="39" s="1"/>
  <c r="K24" i="37"/>
  <c r="M49" i="37"/>
  <c r="M50" i="37"/>
  <c r="K50" i="37"/>
  <c r="M55" i="37"/>
  <c r="H83" i="37"/>
  <c r="K45" i="37"/>
  <c r="M45" i="37"/>
  <c r="K49" i="37"/>
  <c r="M38" i="37"/>
  <c r="M37" i="37"/>
  <c r="K55" i="37"/>
  <c r="S37" i="37"/>
  <c r="I77" i="37"/>
  <c r="J38" i="37"/>
  <c r="S14" i="37"/>
  <c r="S12" i="37" s="1"/>
  <c r="O29" i="54"/>
  <c r="O30" i="54"/>
  <c r="O31" i="54"/>
  <c r="O28" i="54"/>
  <c r="K38" i="37" l="1"/>
  <c r="K43" i="37"/>
  <c r="H37" i="37"/>
  <c r="H33" i="37" s="1"/>
  <c r="H88" i="37"/>
  <c r="M43" i="37"/>
  <c r="I193" i="39"/>
  <c r="F179" i="39"/>
  <c r="K193" i="39" l="1"/>
  <c r="G62" i="4"/>
  <c r="F62" i="39"/>
  <c r="P55" i="39"/>
  <c r="G55" i="4"/>
  <c r="F55" i="39"/>
  <c r="P31" i="39"/>
  <c r="G31" i="4"/>
  <c r="F31" i="39"/>
  <c r="P24" i="39"/>
  <c r="F24" i="39"/>
  <c r="G24" i="4"/>
  <c r="G157" i="4" l="1"/>
  <c r="G200" i="39"/>
  <c r="G199" i="39"/>
  <c r="F186" i="39"/>
  <c r="N191" i="39" l="1"/>
  <c r="N204" i="39"/>
  <c r="I278" i="39"/>
  <c r="I279" i="39"/>
  <c r="L278" i="39"/>
  <c r="L279" i="39"/>
  <c r="L179" i="39"/>
  <c r="I132" i="39"/>
  <c r="N55" i="39"/>
  <c r="HH4" i="117"/>
  <c r="HH5" i="117"/>
  <c r="HH6" i="117"/>
  <c r="HH7" i="117"/>
  <c r="HH8" i="117"/>
  <c r="HH9" i="117"/>
  <c r="HH10" i="117"/>
  <c r="HH11" i="117"/>
  <c r="HH12" i="117"/>
  <c r="HH13" i="117"/>
  <c r="HH14" i="117"/>
  <c r="HH15" i="117"/>
  <c r="HH16" i="117"/>
  <c r="HH17" i="117"/>
  <c r="HH18" i="117"/>
  <c r="HH19" i="117"/>
  <c r="HH20" i="117"/>
  <c r="HH21" i="117"/>
  <c r="HH22" i="117"/>
  <c r="HH23" i="117"/>
  <c r="HH24" i="117"/>
  <c r="HH25" i="117"/>
  <c r="HH26" i="117"/>
  <c r="HH27" i="117"/>
  <c r="HH28" i="117"/>
  <c r="HH29" i="117"/>
  <c r="HH30" i="117"/>
  <c r="HH31" i="117"/>
  <c r="HH32" i="117"/>
  <c r="HH33" i="117"/>
  <c r="HH34" i="117"/>
  <c r="HH35" i="117"/>
  <c r="HH36" i="117"/>
  <c r="HH37" i="117"/>
  <c r="HH38" i="117"/>
  <c r="HH39" i="117"/>
  <c r="HH40" i="117"/>
  <c r="HH41" i="117"/>
  <c r="HH42" i="117"/>
  <c r="HH43" i="117"/>
  <c r="HH44" i="117"/>
  <c r="HH45" i="117"/>
  <c r="HH46" i="117"/>
  <c r="HH47" i="117"/>
  <c r="HH48" i="117"/>
  <c r="HH49" i="117"/>
  <c r="HH50" i="117"/>
  <c r="HH51" i="117"/>
  <c r="HH52" i="117"/>
  <c r="HH53" i="117"/>
  <c r="HH54" i="117"/>
  <c r="HH55" i="117"/>
  <c r="HH56" i="117"/>
  <c r="HH57" i="117"/>
  <c r="HH58" i="117"/>
  <c r="HH59" i="117"/>
  <c r="HH60" i="117"/>
  <c r="HH61" i="117"/>
  <c r="HH62" i="117"/>
  <c r="HH63" i="117"/>
  <c r="HH64" i="117"/>
  <c r="HH65" i="117"/>
  <c r="HH66" i="117"/>
  <c r="HH67" i="117"/>
  <c r="HH68" i="117"/>
  <c r="HH69" i="117"/>
  <c r="HH70" i="117"/>
  <c r="HH71" i="117"/>
  <c r="HH72" i="117"/>
  <c r="HH73" i="117"/>
  <c r="HH74" i="117"/>
  <c r="HH75" i="117"/>
  <c r="HH76" i="117"/>
  <c r="HH77" i="117"/>
  <c r="HH78" i="117"/>
  <c r="HH79" i="117"/>
  <c r="HH80" i="117"/>
  <c r="HH81" i="117"/>
  <c r="HH82" i="117"/>
  <c r="HH83" i="117"/>
  <c r="HH84" i="117"/>
  <c r="HH85" i="117"/>
  <c r="HH86" i="117"/>
  <c r="HH87" i="117"/>
  <c r="HH88" i="117"/>
  <c r="HH89" i="117"/>
  <c r="HH90" i="117"/>
  <c r="HH91" i="117"/>
  <c r="HH92" i="117"/>
  <c r="HH93" i="117"/>
  <c r="HH94" i="117"/>
  <c r="HH95" i="117"/>
  <c r="HH96" i="117"/>
  <c r="HH97" i="117"/>
  <c r="HH98" i="117"/>
  <c r="HH99" i="117"/>
  <c r="HH100" i="117"/>
  <c r="HH101" i="117"/>
  <c r="HH102" i="117"/>
  <c r="HH103" i="117"/>
  <c r="HH104" i="117"/>
  <c r="HH105" i="117"/>
  <c r="HH106" i="117"/>
  <c r="HH107" i="117"/>
  <c r="HH108" i="117"/>
  <c r="HH109" i="117"/>
  <c r="HH110" i="117"/>
  <c r="HH111" i="117"/>
  <c r="HH112" i="117"/>
  <c r="HH113" i="117"/>
  <c r="HH114" i="117"/>
  <c r="HH115" i="117"/>
  <c r="HH116" i="117"/>
  <c r="HH117" i="117"/>
  <c r="HH118" i="117"/>
  <c r="HH119" i="117"/>
  <c r="HH120" i="117"/>
  <c r="HH121" i="117"/>
  <c r="HH122" i="117"/>
  <c r="HH123" i="117"/>
  <c r="HH124" i="117"/>
  <c r="HH125" i="117"/>
  <c r="HH126" i="117"/>
  <c r="HH127" i="117"/>
  <c r="HH128" i="117"/>
  <c r="HH129" i="117"/>
  <c r="HH130" i="117"/>
  <c r="HH131" i="117"/>
  <c r="HH132" i="117"/>
  <c r="HH133" i="117"/>
  <c r="HH134" i="117"/>
  <c r="HH135" i="117"/>
  <c r="HH136" i="117"/>
  <c r="N150" i="39" s="1"/>
  <c r="N146" i="39" s="1"/>
  <c r="HH137" i="117"/>
  <c r="HH138" i="117"/>
  <c r="HH139" i="117"/>
  <c r="N179" i="39" s="1"/>
  <c r="HH140" i="117"/>
  <c r="HH141" i="117"/>
  <c r="HH142" i="117"/>
  <c r="HH143" i="117"/>
  <c r="HH144" i="117"/>
  <c r="N192" i="39" s="1"/>
  <c r="HH145" i="117"/>
  <c r="N194" i="39" s="1"/>
  <c r="HH146" i="117"/>
  <c r="N195" i="39" s="1"/>
  <c r="HH147" i="117"/>
  <c r="HH148" i="117"/>
  <c r="HH149" i="117"/>
  <c r="HH150" i="117"/>
  <c r="N202" i="39" s="1"/>
  <c r="O202" i="39" s="1"/>
  <c r="HH151" i="117"/>
  <c r="HH152" i="117"/>
  <c r="HH153" i="117"/>
  <c r="N205" i="39" s="1"/>
  <c r="HH154" i="117"/>
  <c r="HH155" i="117"/>
  <c r="HH156" i="117"/>
  <c r="HH157" i="117"/>
  <c r="HH158" i="117"/>
  <c r="HH159" i="117"/>
  <c r="HH160" i="117"/>
  <c r="HH161" i="117"/>
  <c r="HH162" i="117"/>
  <c r="HH163" i="117"/>
  <c r="HH164" i="117"/>
  <c r="HH165" i="117"/>
  <c r="N282" i="39" s="1"/>
  <c r="HH3" i="117"/>
  <c r="HH2" i="117"/>
  <c r="N24" i="39"/>
  <c r="HG4" i="117"/>
  <c r="HI4" i="117"/>
  <c r="HJ4" i="117"/>
  <c r="HK4" i="117"/>
  <c r="HG5" i="117"/>
  <c r="HI5" i="117"/>
  <c r="HJ5" i="117"/>
  <c r="HK5" i="117"/>
  <c r="HG6" i="117"/>
  <c r="HI6" i="117"/>
  <c r="HJ6" i="117"/>
  <c r="HK6" i="117"/>
  <c r="HG7" i="117"/>
  <c r="HI7" i="117"/>
  <c r="HJ7" i="117"/>
  <c r="HK7" i="117"/>
  <c r="HG8" i="117"/>
  <c r="HI8" i="117"/>
  <c r="HJ8" i="117"/>
  <c r="HK8" i="117"/>
  <c r="HG9" i="117"/>
  <c r="HI9" i="117"/>
  <c r="HJ9" i="117"/>
  <c r="HK9" i="117"/>
  <c r="HG10" i="117"/>
  <c r="HI10" i="117"/>
  <c r="HJ10" i="117"/>
  <c r="HK10" i="117"/>
  <c r="HG11" i="117"/>
  <c r="HI11" i="117"/>
  <c r="HJ11" i="117"/>
  <c r="HK11" i="117"/>
  <c r="HG12" i="117"/>
  <c r="HI12" i="117"/>
  <c r="HJ12" i="117"/>
  <c r="HK12" i="117"/>
  <c r="HG13" i="117"/>
  <c r="HI13" i="117"/>
  <c r="HJ13" i="117"/>
  <c r="HK13" i="117"/>
  <c r="HG14" i="117"/>
  <c r="HI14" i="117"/>
  <c r="HJ14" i="117"/>
  <c r="HK14" i="117"/>
  <c r="HG15" i="117"/>
  <c r="HI15" i="117"/>
  <c r="HJ15" i="117"/>
  <c r="HK15" i="117"/>
  <c r="HG16" i="117"/>
  <c r="I24" i="39" s="1"/>
  <c r="HI16" i="117"/>
  <c r="HJ16" i="117"/>
  <c r="HK16" i="117"/>
  <c r="HG17" i="117"/>
  <c r="HI17" i="117"/>
  <c r="HJ17" i="117"/>
  <c r="HK17" i="117"/>
  <c r="HG18" i="117"/>
  <c r="HI18" i="117"/>
  <c r="HJ18" i="117"/>
  <c r="HK18" i="117"/>
  <c r="HG19" i="117"/>
  <c r="HI19" i="117"/>
  <c r="HJ19" i="117"/>
  <c r="HK19" i="117"/>
  <c r="HG20" i="117"/>
  <c r="HI20" i="117"/>
  <c r="HJ20" i="117"/>
  <c r="HK20" i="117"/>
  <c r="HG21" i="117"/>
  <c r="HI21" i="117"/>
  <c r="HJ21" i="117"/>
  <c r="HK21" i="117"/>
  <c r="HG22" i="117"/>
  <c r="HI22" i="117"/>
  <c r="HJ22" i="117"/>
  <c r="HK22" i="117"/>
  <c r="HG23" i="117"/>
  <c r="I31" i="39" s="1"/>
  <c r="HI23" i="117"/>
  <c r="HJ23" i="117"/>
  <c r="HK23" i="117"/>
  <c r="HG24" i="117"/>
  <c r="HI24" i="117"/>
  <c r="HJ24" i="117"/>
  <c r="HK24" i="117"/>
  <c r="HG25" i="117"/>
  <c r="HI25" i="117"/>
  <c r="HJ25" i="117"/>
  <c r="HK25" i="117"/>
  <c r="HG26" i="117"/>
  <c r="HI26" i="117"/>
  <c r="HJ26" i="117"/>
  <c r="HK26" i="117"/>
  <c r="HG27" i="117"/>
  <c r="HI27" i="117"/>
  <c r="HJ27" i="117"/>
  <c r="HK27" i="117"/>
  <c r="HG28" i="117"/>
  <c r="HI28" i="117"/>
  <c r="HJ28" i="117"/>
  <c r="HK28" i="117"/>
  <c r="HG29" i="117"/>
  <c r="HI29" i="117"/>
  <c r="HJ29" i="117"/>
  <c r="HK29" i="117"/>
  <c r="HG30" i="117"/>
  <c r="HI30" i="117"/>
  <c r="HJ30" i="117"/>
  <c r="HK30" i="117"/>
  <c r="HG31" i="117"/>
  <c r="HI31" i="117"/>
  <c r="HJ31" i="117"/>
  <c r="HK31" i="117"/>
  <c r="HG32" i="117"/>
  <c r="HI32" i="117"/>
  <c r="HJ32" i="117"/>
  <c r="HK32" i="117"/>
  <c r="HG33" i="117"/>
  <c r="HI33" i="117"/>
  <c r="HJ33" i="117"/>
  <c r="HK33" i="117"/>
  <c r="HG34" i="117"/>
  <c r="HI34" i="117"/>
  <c r="HJ34" i="117"/>
  <c r="HK34" i="117"/>
  <c r="HG35" i="117"/>
  <c r="HI35" i="117"/>
  <c r="HJ35" i="117"/>
  <c r="HK35" i="117"/>
  <c r="HG36" i="117"/>
  <c r="HI36" i="117"/>
  <c r="HJ36" i="117"/>
  <c r="HK36" i="117"/>
  <c r="HG37" i="117"/>
  <c r="HI37" i="117"/>
  <c r="HJ37" i="117"/>
  <c r="HK37" i="117"/>
  <c r="HG38" i="117"/>
  <c r="HI38" i="117"/>
  <c r="HJ38" i="117"/>
  <c r="HK38" i="117"/>
  <c r="HG39" i="117"/>
  <c r="HI39" i="117"/>
  <c r="HJ39" i="117"/>
  <c r="HK39" i="117"/>
  <c r="HG40" i="117"/>
  <c r="HI40" i="117"/>
  <c r="HJ40" i="117"/>
  <c r="HK40" i="117"/>
  <c r="HG41" i="117"/>
  <c r="HI41" i="117"/>
  <c r="HJ41" i="117"/>
  <c r="HK41" i="117"/>
  <c r="HG42" i="117"/>
  <c r="HI42" i="117"/>
  <c r="HJ42" i="117"/>
  <c r="HK42" i="117"/>
  <c r="HG43" i="117"/>
  <c r="HI43" i="117"/>
  <c r="HJ43" i="117"/>
  <c r="HK43" i="117"/>
  <c r="HG44" i="117"/>
  <c r="HI44" i="117"/>
  <c r="HJ44" i="117"/>
  <c r="HK44" i="117"/>
  <c r="HG45" i="117"/>
  <c r="HI45" i="117"/>
  <c r="HJ45" i="117"/>
  <c r="HK45" i="117"/>
  <c r="HG46" i="117"/>
  <c r="I55" i="39" s="1"/>
  <c r="HI46" i="117"/>
  <c r="HJ46" i="117"/>
  <c r="HK46" i="117"/>
  <c r="HG47" i="117"/>
  <c r="HI47" i="117"/>
  <c r="HJ47" i="117"/>
  <c r="HK47" i="117"/>
  <c r="HG48" i="117"/>
  <c r="HI48" i="117"/>
  <c r="HJ48" i="117"/>
  <c r="HK48" i="117"/>
  <c r="HG49" i="117"/>
  <c r="HI49" i="117"/>
  <c r="HJ49" i="117"/>
  <c r="HK49" i="117"/>
  <c r="HG50" i="117"/>
  <c r="HI50" i="117"/>
  <c r="HJ50" i="117"/>
  <c r="HK50" i="117"/>
  <c r="HG51" i="117"/>
  <c r="HI51" i="117"/>
  <c r="HJ51" i="117"/>
  <c r="HK51" i="117"/>
  <c r="HG52" i="117"/>
  <c r="HI52" i="117"/>
  <c r="HJ52" i="117"/>
  <c r="HK52" i="117"/>
  <c r="HG53" i="117"/>
  <c r="I62" i="39" s="1"/>
  <c r="HI53" i="117"/>
  <c r="HJ53" i="117"/>
  <c r="HK53" i="117"/>
  <c r="HG54" i="117"/>
  <c r="HI54" i="117"/>
  <c r="HJ54" i="117"/>
  <c r="HK54" i="117"/>
  <c r="HG55" i="117"/>
  <c r="HI55" i="117"/>
  <c r="HJ55" i="117"/>
  <c r="HK55" i="117"/>
  <c r="HG56" i="117"/>
  <c r="HI56" i="117"/>
  <c r="HJ56" i="117"/>
  <c r="HK56" i="117"/>
  <c r="HG57" i="117"/>
  <c r="HI57" i="117"/>
  <c r="HJ57" i="117"/>
  <c r="HK57" i="117"/>
  <c r="HG58" i="117"/>
  <c r="HI58" i="117"/>
  <c r="HJ58" i="117"/>
  <c r="HK58" i="117"/>
  <c r="HG59" i="117"/>
  <c r="HI59" i="117"/>
  <c r="HJ59" i="117"/>
  <c r="HK59" i="117"/>
  <c r="HG60" i="117"/>
  <c r="HI60" i="117"/>
  <c r="HJ60" i="117"/>
  <c r="HK60" i="117"/>
  <c r="HG61" i="117"/>
  <c r="HI61" i="117"/>
  <c r="HJ61" i="117"/>
  <c r="HK61" i="117"/>
  <c r="HG62" i="117"/>
  <c r="HI62" i="117"/>
  <c r="HJ62" i="117"/>
  <c r="HK62" i="117"/>
  <c r="HG63" i="117"/>
  <c r="HI63" i="117"/>
  <c r="HJ63" i="117"/>
  <c r="HK63" i="117"/>
  <c r="HG64" i="117"/>
  <c r="HI64" i="117"/>
  <c r="HJ64" i="117"/>
  <c r="HK64" i="117"/>
  <c r="HG65" i="117"/>
  <c r="HI65" i="117"/>
  <c r="HJ65" i="117"/>
  <c r="HK65" i="117"/>
  <c r="HG66" i="117"/>
  <c r="HI66" i="117"/>
  <c r="HJ66" i="117"/>
  <c r="HK66" i="117"/>
  <c r="HG67" i="117"/>
  <c r="HI67" i="117"/>
  <c r="HJ67" i="117"/>
  <c r="HK67" i="117"/>
  <c r="HG68" i="117"/>
  <c r="HI68" i="117"/>
  <c r="HJ68" i="117"/>
  <c r="HK68" i="117"/>
  <c r="HG69" i="117"/>
  <c r="HI69" i="117"/>
  <c r="HJ69" i="117"/>
  <c r="HK69" i="117"/>
  <c r="HG70" i="117"/>
  <c r="HI70" i="117"/>
  <c r="HJ70" i="117"/>
  <c r="HK70" i="117"/>
  <c r="HG71" i="117"/>
  <c r="HI71" i="117"/>
  <c r="HJ71" i="117"/>
  <c r="HK71" i="117"/>
  <c r="HG72" i="117"/>
  <c r="HI72" i="117"/>
  <c r="HJ72" i="117"/>
  <c r="HK72" i="117"/>
  <c r="HG73" i="117"/>
  <c r="HI73" i="117"/>
  <c r="HJ73" i="117"/>
  <c r="HK73" i="117"/>
  <c r="HG74" i="117"/>
  <c r="HI74" i="117"/>
  <c r="HJ74" i="117"/>
  <c r="HK74" i="117"/>
  <c r="HG75" i="117"/>
  <c r="HI75" i="117"/>
  <c r="HJ75" i="117"/>
  <c r="HK75" i="117"/>
  <c r="HG76" i="117"/>
  <c r="HI76" i="117"/>
  <c r="HJ76" i="117"/>
  <c r="HK76" i="117"/>
  <c r="HG77" i="117"/>
  <c r="HI77" i="117"/>
  <c r="HJ77" i="117"/>
  <c r="HK77" i="117"/>
  <c r="HG78" i="117"/>
  <c r="HI78" i="117"/>
  <c r="HJ78" i="117"/>
  <c r="HK78" i="117"/>
  <c r="HG79" i="117"/>
  <c r="HI79" i="117"/>
  <c r="HJ79" i="117"/>
  <c r="HK79" i="117"/>
  <c r="HG80" i="117"/>
  <c r="HI80" i="117"/>
  <c r="HJ80" i="117"/>
  <c r="HK80" i="117"/>
  <c r="HG81" i="117"/>
  <c r="HI81" i="117"/>
  <c r="HJ81" i="117"/>
  <c r="HK81" i="117"/>
  <c r="HG82" i="117"/>
  <c r="HI82" i="117"/>
  <c r="HJ82" i="117"/>
  <c r="HK82" i="117"/>
  <c r="HG83" i="117"/>
  <c r="HI83" i="117"/>
  <c r="HJ83" i="117"/>
  <c r="HK83" i="117"/>
  <c r="HG84" i="117"/>
  <c r="HI84" i="117"/>
  <c r="HJ84" i="117"/>
  <c r="HK84" i="117"/>
  <c r="HG85" i="117"/>
  <c r="HI85" i="117"/>
  <c r="HJ85" i="117"/>
  <c r="HK85" i="117"/>
  <c r="HG86" i="117"/>
  <c r="HI86" i="117"/>
  <c r="HJ86" i="117"/>
  <c r="HK86" i="117"/>
  <c r="HG87" i="117"/>
  <c r="HI87" i="117"/>
  <c r="HJ87" i="117"/>
  <c r="HK87" i="117"/>
  <c r="HG88" i="117"/>
  <c r="HI88" i="117"/>
  <c r="HJ88" i="117"/>
  <c r="HK88" i="117"/>
  <c r="HG89" i="117"/>
  <c r="HI89" i="117"/>
  <c r="HJ89" i="117"/>
  <c r="HK89" i="117"/>
  <c r="HG90" i="117"/>
  <c r="HI90" i="117"/>
  <c r="HJ90" i="117"/>
  <c r="HK90" i="117"/>
  <c r="HG91" i="117"/>
  <c r="HI91" i="117"/>
  <c r="HJ91" i="117"/>
  <c r="HK91" i="117"/>
  <c r="HG92" i="117"/>
  <c r="HI92" i="117"/>
  <c r="HJ92" i="117"/>
  <c r="HK92" i="117"/>
  <c r="HG93" i="117"/>
  <c r="HI93" i="117"/>
  <c r="HJ93" i="117"/>
  <c r="HK93" i="117"/>
  <c r="HG94" i="117"/>
  <c r="HI94" i="117"/>
  <c r="HJ94" i="117"/>
  <c r="HK94" i="117"/>
  <c r="HG95" i="117"/>
  <c r="HI95" i="117"/>
  <c r="HJ95" i="117"/>
  <c r="HK95" i="117"/>
  <c r="HG96" i="117"/>
  <c r="HI96" i="117"/>
  <c r="HJ96" i="117"/>
  <c r="HK96" i="117"/>
  <c r="HG97" i="117"/>
  <c r="HI97" i="117"/>
  <c r="HJ97" i="117"/>
  <c r="HK97" i="117"/>
  <c r="HG98" i="117"/>
  <c r="HI98" i="117"/>
  <c r="HJ98" i="117"/>
  <c r="HK98" i="117"/>
  <c r="HG99" i="117"/>
  <c r="HI99" i="117"/>
  <c r="HJ99" i="117"/>
  <c r="HK99" i="117"/>
  <c r="HG100" i="117"/>
  <c r="HI100" i="117"/>
  <c r="HJ100" i="117"/>
  <c r="HK100" i="117"/>
  <c r="HG101" i="117"/>
  <c r="HI101" i="117"/>
  <c r="L110" i="39" s="1"/>
  <c r="HJ101" i="117"/>
  <c r="HK101" i="117"/>
  <c r="HG102" i="117"/>
  <c r="HI102" i="117"/>
  <c r="HJ102" i="117"/>
  <c r="HK102" i="117"/>
  <c r="HG103" i="117"/>
  <c r="HI103" i="117"/>
  <c r="HJ103" i="117"/>
  <c r="HK103" i="117"/>
  <c r="HG104" i="117"/>
  <c r="HI104" i="117"/>
  <c r="HJ104" i="117"/>
  <c r="HK104" i="117"/>
  <c r="HG105" i="117"/>
  <c r="HI105" i="117"/>
  <c r="HJ105" i="117"/>
  <c r="HK105" i="117"/>
  <c r="HG106" i="117"/>
  <c r="HI106" i="117"/>
  <c r="HJ106" i="117"/>
  <c r="HK106" i="117"/>
  <c r="HG107" i="117"/>
  <c r="HI107" i="117"/>
  <c r="HJ107" i="117"/>
  <c r="HK107" i="117"/>
  <c r="HG108" i="117"/>
  <c r="HI108" i="117"/>
  <c r="HJ108" i="117"/>
  <c r="HK108" i="117"/>
  <c r="HG109" i="117"/>
  <c r="HI109" i="117"/>
  <c r="HJ109" i="117"/>
  <c r="HK109" i="117"/>
  <c r="HG110" i="117"/>
  <c r="HI110" i="117"/>
  <c r="HJ110" i="117"/>
  <c r="HK110" i="117"/>
  <c r="HG111" i="117"/>
  <c r="HI111" i="117"/>
  <c r="HJ111" i="117"/>
  <c r="HK111" i="117"/>
  <c r="HG112" i="117"/>
  <c r="HI112" i="117"/>
  <c r="HJ112" i="117"/>
  <c r="HK112" i="117"/>
  <c r="HG113" i="117"/>
  <c r="HI113" i="117"/>
  <c r="HJ113" i="117"/>
  <c r="HK113" i="117"/>
  <c r="HG114" i="117"/>
  <c r="HI114" i="117"/>
  <c r="HJ114" i="117"/>
  <c r="HK114" i="117"/>
  <c r="HG115" i="117"/>
  <c r="HI115" i="117"/>
  <c r="HJ115" i="117"/>
  <c r="HK115" i="117"/>
  <c r="HG116" i="117"/>
  <c r="HI116" i="117"/>
  <c r="HJ116" i="117"/>
  <c r="HK116" i="117"/>
  <c r="HG117" i="117"/>
  <c r="HI117" i="117"/>
  <c r="HJ117" i="117"/>
  <c r="HK117" i="117"/>
  <c r="HG118" i="117"/>
  <c r="HI118" i="117"/>
  <c r="HJ118" i="117"/>
  <c r="HK118" i="117"/>
  <c r="HG119" i="117"/>
  <c r="HI119" i="117"/>
  <c r="HJ119" i="117"/>
  <c r="HK119" i="117"/>
  <c r="HG120" i="117"/>
  <c r="HI120" i="117"/>
  <c r="HJ120" i="117"/>
  <c r="HK120" i="117"/>
  <c r="HG121" i="117"/>
  <c r="HI121" i="117"/>
  <c r="HJ121" i="117"/>
  <c r="HK121" i="117"/>
  <c r="HG122" i="117"/>
  <c r="HI122" i="117"/>
  <c r="HJ122" i="117"/>
  <c r="HK122" i="117"/>
  <c r="HG123" i="117"/>
  <c r="HI123" i="117"/>
  <c r="HJ123" i="117"/>
  <c r="HK123" i="117"/>
  <c r="HG124" i="117"/>
  <c r="HI124" i="117"/>
  <c r="HJ124" i="117"/>
  <c r="HK124" i="117"/>
  <c r="HG125" i="117"/>
  <c r="HI125" i="117"/>
  <c r="HJ125" i="117"/>
  <c r="HK125" i="117"/>
  <c r="HG126" i="117"/>
  <c r="HI126" i="117"/>
  <c r="HJ126" i="117"/>
  <c r="HK126" i="117"/>
  <c r="HG127" i="117"/>
  <c r="HI127" i="117"/>
  <c r="HJ127" i="117"/>
  <c r="HK127" i="117"/>
  <c r="HG128" i="117"/>
  <c r="HI128" i="117"/>
  <c r="HJ128" i="117"/>
  <c r="HK128" i="117"/>
  <c r="HG129" i="117"/>
  <c r="HI129" i="117"/>
  <c r="HJ129" i="117"/>
  <c r="HK129" i="117"/>
  <c r="HG130" i="117"/>
  <c r="HI130" i="117"/>
  <c r="HJ130" i="117"/>
  <c r="HK130" i="117"/>
  <c r="HG131" i="117"/>
  <c r="HI131" i="117"/>
  <c r="HJ131" i="117"/>
  <c r="HK131" i="117"/>
  <c r="HG132" i="117"/>
  <c r="HI132" i="117"/>
  <c r="HJ132" i="117"/>
  <c r="HK132" i="117"/>
  <c r="HG133" i="117"/>
  <c r="HI133" i="117"/>
  <c r="HJ133" i="117"/>
  <c r="HK133" i="117"/>
  <c r="HG134" i="117"/>
  <c r="HI134" i="117"/>
  <c r="HJ134" i="117"/>
  <c r="HK134" i="117"/>
  <c r="HG135" i="117"/>
  <c r="HI135" i="117"/>
  <c r="HJ135" i="117"/>
  <c r="HK135" i="117"/>
  <c r="HG136" i="117"/>
  <c r="I150" i="39" s="1"/>
  <c r="HI136" i="117"/>
  <c r="L150" i="39" s="1"/>
  <c r="HJ136" i="117"/>
  <c r="HK136" i="117"/>
  <c r="HG137" i="117"/>
  <c r="HI137" i="117"/>
  <c r="HJ137" i="117"/>
  <c r="HK137" i="117"/>
  <c r="HG138" i="117"/>
  <c r="HI138" i="117"/>
  <c r="HJ138" i="117"/>
  <c r="HK138" i="117"/>
  <c r="HG139" i="117"/>
  <c r="I179" i="39" s="1"/>
  <c r="HI139" i="117"/>
  <c r="HJ139" i="117"/>
  <c r="HK139" i="117"/>
  <c r="HG140" i="117"/>
  <c r="HI140" i="117"/>
  <c r="HJ140" i="117"/>
  <c r="HK140" i="117"/>
  <c r="HG141" i="117"/>
  <c r="HI141" i="117"/>
  <c r="HJ141" i="117"/>
  <c r="HK141" i="117"/>
  <c r="HG142" i="117"/>
  <c r="HI142" i="117"/>
  <c r="HJ142" i="117"/>
  <c r="HK142" i="117"/>
  <c r="HG143" i="117"/>
  <c r="I191" i="39" s="1"/>
  <c r="HI143" i="117"/>
  <c r="L191" i="39" s="1"/>
  <c r="HJ143" i="117"/>
  <c r="HK143" i="117"/>
  <c r="HG144" i="117"/>
  <c r="I192" i="39" s="1"/>
  <c r="HI144" i="117"/>
  <c r="L192" i="39" s="1"/>
  <c r="HJ144" i="117"/>
  <c r="HK144" i="117"/>
  <c r="HG145" i="117"/>
  <c r="HI145" i="117"/>
  <c r="HJ145" i="117"/>
  <c r="HK145" i="117"/>
  <c r="HG146" i="117"/>
  <c r="I195" i="39" s="1"/>
  <c r="HI146" i="117"/>
  <c r="L195" i="39" s="1"/>
  <c r="HJ146" i="117"/>
  <c r="HK146" i="117"/>
  <c r="HG147" i="117"/>
  <c r="HI147" i="117"/>
  <c r="HJ147" i="117"/>
  <c r="HK147" i="117"/>
  <c r="HG148" i="117"/>
  <c r="HI148" i="117"/>
  <c r="HJ148" i="117"/>
  <c r="HK148" i="117"/>
  <c r="HG149" i="117"/>
  <c r="HI149" i="117"/>
  <c r="HJ149" i="117"/>
  <c r="HK149" i="117"/>
  <c r="HG150" i="117"/>
  <c r="HI150" i="117"/>
  <c r="L202" i="39" s="1"/>
  <c r="M202" i="39" s="1"/>
  <c r="HJ150" i="117"/>
  <c r="HK150" i="117"/>
  <c r="HG151" i="117"/>
  <c r="I204" i="39" s="1"/>
  <c r="HI151" i="117"/>
  <c r="HJ151" i="117"/>
  <c r="HK151" i="117"/>
  <c r="HG152" i="117"/>
  <c r="HI152" i="117"/>
  <c r="L204" i="39" s="1"/>
  <c r="HJ152" i="117"/>
  <c r="HK152" i="117"/>
  <c r="HG153" i="117"/>
  <c r="I205" i="39" s="1"/>
  <c r="HI153" i="117"/>
  <c r="HJ153" i="117"/>
  <c r="HK153" i="117"/>
  <c r="HG154" i="117"/>
  <c r="HI154" i="117"/>
  <c r="HJ154" i="117"/>
  <c r="HK154" i="117"/>
  <c r="HG155" i="117"/>
  <c r="HI155" i="117"/>
  <c r="HJ155" i="117"/>
  <c r="HK155" i="117"/>
  <c r="HG156" i="117"/>
  <c r="HI156" i="117"/>
  <c r="HJ156" i="117"/>
  <c r="HK156" i="117"/>
  <c r="HG157" i="117"/>
  <c r="HI157" i="117"/>
  <c r="HJ157" i="117"/>
  <c r="HK157" i="117"/>
  <c r="HG158" i="117"/>
  <c r="HI158" i="117"/>
  <c r="HJ158" i="117"/>
  <c r="HK158" i="117"/>
  <c r="HG159" i="117"/>
  <c r="HI159" i="117"/>
  <c r="HJ159" i="117"/>
  <c r="HK159" i="117"/>
  <c r="HG160" i="117"/>
  <c r="HI160" i="117"/>
  <c r="HJ160" i="117"/>
  <c r="HK160" i="117"/>
  <c r="HG161" i="117"/>
  <c r="HI161" i="117"/>
  <c r="HJ161" i="117"/>
  <c r="HK161" i="117"/>
  <c r="HG162" i="117"/>
  <c r="I280" i="39" s="1"/>
  <c r="HI162" i="117"/>
  <c r="L280" i="39" s="1"/>
  <c r="HJ162" i="117"/>
  <c r="HK162" i="117"/>
  <c r="HG163" i="117"/>
  <c r="HI163" i="117"/>
  <c r="HJ163" i="117"/>
  <c r="HK163" i="117"/>
  <c r="HG164" i="117"/>
  <c r="HI164" i="117"/>
  <c r="HJ164" i="117"/>
  <c r="HK164" i="117"/>
  <c r="HG165" i="117"/>
  <c r="HI165" i="117"/>
  <c r="HJ165" i="117"/>
  <c r="HK165" i="117"/>
  <c r="HI3" i="117"/>
  <c r="HJ3" i="117"/>
  <c r="HK3" i="117"/>
  <c r="HG3" i="117"/>
  <c r="GX4" i="117"/>
  <c r="AN11" i="4" s="1"/>
  <c r="GX5" i="117"/>
  <c r="GX6" i="117"/>
  <c r="AN13" i="4" s="1"/>
  <c r="GX7" i="117"/>
  <c r="AN14" i="4" s="1"/>
  <c r="GX8" i="117"/>
  <c r="AN15" i="4" s="1"/>
  <c r="GX9" i="117"/>
  <c r="GX10" i="117"/>
  <c r="AN17" i="4" s="1"/>
  <c r="GX11" i="117"/>
  <c r="AN18" i="4" s="1"/>
  <c r="GX12" i="117"/>
  <c r="AN19" i="4" s="1"/>
  <c r="GX13" i="117"/>
  <c r="GX14" i="117"/>
  <c r="AN21" i="4" s="1"/>
  <c r="GX15" i="117"/>
  <c r="AN22" i="4" s="1"/>
  <c r="GX16" i="117"/>
  <c r="AN24" i="4" s="1"/>
  <c r="GX17" i="117"/>
  <c r="AN25" i="4" s="1"/>
  <c r="GX18" i="117"/>
  <c r="AN26" i="4" s="1"/>
  <c r="GX19" i="117"/>
  <c r="AN27" i="4" s="1"/>
  <c r="GX20" i="117"/>
  <c r="AN28" i="4" s="1"/>
  <c r="GX21" i="117"/>
  <c r="GX22" i="117"/>
  <c r="AN30" i="4" s="1"/>
  <c r="GX23" i="117"/>
  <c r="AN31" i="4" s="1"/>
  <c r="GX24" i="117"/>
  <c r="GX25" i="117"/>
  <c r="AN33" i="4" s="1"/>
  <c r="GX26" i="117"/>
  <c r="AN35" i="4" s="1"/>
  <c r="GX27" i="117"/>
  <c r="AN37" i="4" s="1"/>
  <c r="GX28" i="117"/>
  <c r="AN38" i="4" s="1"/>
  <c r="GX29" i="117"/>
  <c r="GX30" i="117"/>
  <c r="GX31" i="117"/>
  <c r="AN42" i="4" s="1"/>
  <c r="GX32" i="117"/>
  <c r="AN43" i="4" s="1"/>
  <c r="GX33" i="117"/>
  <c r="AN44" i="4" s="1"/>
  <c r="GX34" i="117"/>
  <c r="AN45" i="4" s="1"/>
  <c r="GX35" i="117"/>
  <c r="AN46" i="4" s="1"/>
  <c r="GX36" i="117"/>
  <c r="AN48" i="4" s="1"/>
  <c r="GX37" i="117"/>
  <c r="GX38" i="117"/>
  <c r="GX39" i="117"/>
  <c r="GX40" i="117"/>
  <c r="GX41" i="117"/>
  <c r="AN55" i="4" s="1"/>
  <c r="GX42" i="117"/>
  <c r="AN56" i="4" s="1"/>
  <c r="GX43" i="117"/>
  <c r="AN57" i="4" s="1"/>
  <c r="GX44" i="117"/>
  <c r="AN58" i="4" s="1"/>
  <c r="GX45" i="117"/>
  <c r="GX46" i="117"/>
  <c r="GX47" i="117"/>
  <c r="GX48" i="117"/>
  <c r="AN62" i="4" s="1"/>
  <c r="GX49" i="117"/>
  <c r="GX50" i="117"/>
  <c r="AN64" i="4" s="1"/>
  <c r="GX51" i="117"/>
  <c r="AN65" i="4" s="1"/>
  <c r="GX52" i="117"/>
  <c r="AN66" i="4" s="1"/>
  <c r="GX53" i="117"/>
  <c r="GX54" i="117"/>
  <c r="GX55" i="117"/>
  <c r="AN71" i="4" s="1"/>
  <c r="GX56" i="117"/>
  <c r="AN72" i="4" s="1"/>
  <c r="GX57" i="117"/>
  <c r="GX58" i="117"/>
  <c r="GX59" i="117"/>
  <c r="AN75" i="4" s="1"/>
  <c r="GX60" i="117"/>
  <c r="AN76" i="4" s="1"/>
  <c r="GX61" i="117"/>
  <c r="GX62" i="117"/>
  <c r="GX63" i="117"/>
  <c r="GX64" i="117"/>
  <c r="AN85" i="4" s="1"/>
  <c r="GX65" i="117"/>
  <c r="AN86" i="4" s="1"/>
  <c r="GX66" i="117"/>
  <c r="GX67" i="117"/>
  <c r="AN89" i="4" s="1"/>
  <c r="GX68" i="117"/>
  <c r="AN90" i="4" s="1"/>
  <c r="GX69" i="117"/>
  <c r="GX70" i="117"/>
  <c r="GX71" i="117"/>
  <c r="AN94" i="4" s="1"/>
  <c r="GX72" i="117"/>
  <c r="AN95" i="4" s="1"/>
  <c r="GX73" i="117"/>
  <c r="GX74" i="117"/>
  <c r="GX75" i="117"/>
  <c r="AN98" i="4" s="1"/>
  <c r="GX76" i="117"/>
  <c r="AN99" i="4" s="1"/>
  <c r="GX77" i="117"/>
  <c r="GX78" i="117"/>
  <c r="GX79" i="117"/>
  <c r="AN102" i="4" s="1"/>
  <c r="GX80" i="117"/>
  <c r="AN103" i="4" s="1"/>
  <c r="GX81" i="117"/>
  <c r="GX82" i="117"/>
  <c r="GX83" i="117"/>
  <c r="AN108" i="4" s="1"/>
  <c r="GX84" i="117"/>
  <c r="AN109" i="4" s="1"/>
  <c r="GX85" i="117"/>
  <c r="GX86" i="117"/>
  <c r="GX87" i="117"/>
  <c r="AN118" i="4" s="1"/>
  <c r="GX88" i="117"/>
  <c r="AN119" i="4" s="1"/>
  <c r="GX89" i="117"/>
  <c r="GX90" i="117"/>
  <c r="GX91" i="117"/>
  <c r="AN124" i="4" s="1"/>
  <c r="GX92" i="117"/>
  <c r="AN125" i="4" s="1"/>
  <c r="GX93" i="117"/>
  <c r="GX94" i="117"/>
  <c r="GX95" i="117"/>
  <c r="AN128" i="4" s="1"/>
  <c r="GX96" i="117"/>
  <c r="AN129" i="4" s="1"/>
  <c r="GX97" i="117"/>
  <c r="GX98" i="117"/>
  <c r="GX99" i="117"/>
  <c r="AN132" i="4" s="1"/>
  <c r="GX100" i="117"/>
  <c r="AN133" i="4" s="1"/>
  <c r="GX101" i="117"/>
  <c r="GX102" i="117"/>
  <c r="GX103" i="117"/>
  <c r="GX104" i="117"/>
  <c r="AN137" i="4" s="1"/>
  <c r="GX105" i="117"/>
  <c r="GX106" i="117"/>
  <c r="AN139" i="4" s="1"/>
  <c r="GX107" i="117"/>
  <c r="AN140" i="4" s="1"/>
  <c r="GX108" i="117"/>
  <c r="AN142" i="4" s="1"/>
  <c r="GX109" i="117"/>
  <c r="AN143" i="4" s="1"/>
  <c r="GX110" i="117"/>
  <c r="GX111" i="117"/>
  <c r="AN145" i="4" s="1"/>
  <c r="GX112" i="117"/>
  <c r="GX113" i="117"/>
  <c r="AN147" i="4" s="1"/>
  <c r="GX114" i="117"/>
  <c r="GX115" i="117"/>
  <c r="AN155" i="4" s="1"/>
  <c r="GX116" i="117"/>
  <c r="GX117" i="117"/>
  <c r="GX118" i="117"/>
  <c r="GX119" i="117"/>
  <c r="AN162" i="4" s="1"/>
  <c r="GX120" i="117"/>
  <c r="AN163" i="4" s="1"/>
  <c r="GX121" i="117"/>
  <c r="GX122" i="117"/>
  <c r="GX123" i="117"/>
  <c r="AN169" i="4" s="1"/>
  <c r="GX124" i="117"/>
  <c r="AN174" i="4" s="1"/>
  <c r="GX125" i="117"/>
  <c r="GX126" i="117"/>
  <c r="GX127" i="117"/>
  <c r="GX128" i="117"/>
  <c r="AN181" i="4" s="1"/>
  <c r="GX129" i="117"/>
  <c r="GX130" i="117"/>
  <c r="GX131" i="117"/>
  <c r="GX132" i="117"/>
  <c r="AN184" i="4" s="1"/>
  <c r="GX133" i="117"/>
  <c r="GX134" i="117"/>
  <c r="GX3" i="117"/>
  <c r="AN10" i="4" s="1"/>
  <c r="JO58" i="116"/>
  <c r="JP58" i="116"/>
  <c r="JQ58" i="116"/>
  <c r="JO4" i="116"/>
  <c r="JP4" i="116"/>
  <c r="JQ4" i="116"/>
  <c r="JO5" i="116"/>
  <c r="JP5" i="116"/>
  <c r="JQ5" i="116"/>
  <c r="JO6" i="116"/>
  <c r="JP6" i="116"/>
  <c r="JQ6" i="116"/>
  <c r="JO7" i="116"/>
  <c r="JP7" i="116"/>
  <c r="JQ7" i="116"/>
  <c r="JO8" i="116"/>
  <c r="JP8" i="116"/>
  <c r="JQ8" i="116"/>
  <c r="JO9" i="116"/>
  <c r="JP9" i="116"/>
  <c r="M16" i="35" s="1"/>
  <c r="JQ9" i="116"/>
  <c r="JO10" i="116"/>
  <c r="JP10" i="116"/>
  <c r="M18" i="35" s="1"/>
  <c r="JQ10" i="116"/>
  <c r="JO11" i="116"/>
  <c r="JP11" i="116"/>
  <c r="JQ11" i="116"/>
  <c r="JO12" i="116"/>
  <c r="JP12" i="116"/>
  <c r="JQ12" i="116"/>
  <c r="JO13" i="116"/>
  <c r="JP13" i="116"/>
  <c r="M19" i="35" s="1"/>
  <c r="JQ13" i="116"/>
  <c r="JO14" i="116"/>
  <c r="JP14" i="116"/>
  <c r="JQ14" i="116"/>
  <c r="JO15" i="116"/>
  <c r="JP15" i="116"/>
  <c r="JQ15" i="116"/>
  <c r="JO16" i="116"/>
  <c r="JP16" i="116"/>
  <c r="JQ16" i="116"/>
  <c r="JO17" i="116"/>
  <c r="JP17" i="116"/>
  <c r="JQ17" i="116"/>
  <c r="JO18" i="116"/>
  <c r="JP18" i="116"/>
  <c r="JQ18" i="116"/>
  <c r="JO19" i="116"/>
  <c r="JP19" i="116"/>
  <c r="JQ19" i="116"/>
  <c r="JO20" i="116"/>
  <c r="JP20" i="116"/>
  <c r="JQ20" i="116"/>
  <c r="JO21" i="116"/>
  <c r="JP21" i="116"/>
  <c r="JQ21" i="116"/>
  <c r="JO22" i="116"/>
  <c r="JP22" i="116"/>
  <c r="JQ22" i="116"/>
  <c r="JO23" i="116"/>
  <c r="JP23" i="116"/>
  <c r="JQ23" i="116"/>
  <c r="JO24" i="116"/>
  <c r="JP24" i="116"/>
  <c r="JQ24" i="116"/>
  <c r="JO25" i="116"/>
  <c r="JP25" i="116"/>
  <c r="JQ25" i="116"/>
  <c r="JO26" i="116"/>
  <c r="JP26" i="116"/>
  <c r="JQ26" i="116"/>
  <c r="JO27" i="116"/>
  <c r="JP27" i="116"/>
  <c r="JQ27" i="116"/>
  <c r="JO28" i="116"/>
  <c r="JP28" i="116"/>
  <c r="JQ28" i="116"/>
  <c r="JO29" i="116"/>
  <c r="JP29" i="116"/>
  <c r="JQ29" i="116"/>
  <c r="JO30" i="116"/>
  <c r="JP30" i="116"/>
  <c r="JQ30" i="116"/>
  <c r="JO31" i="116"/>
  <c r="JP31" i="116"/>
  <c r="JQ31" i="116"/>
  <c r="JO32" i="116"/>
  <c r="JP32" i="116"/>
  <c r="JQ32" i="116"/>
  <c r="JO33" i="116"/>
  <c r="JP33" i="116"/>
  <c r="JQ33" i="116"/>
  <c r="JO34" i="116"/>
  <c r="JP34" i="116"/>
  <c r="JQ34" i="116"/>
  <c r="JO35" i="116"/>
  <c r="JP35" i="116"/>
  <c r="JQ35" i="116"/>
  <c r="JO36" i="116"/>
  <c r="JP36" i="116"/>
  <c r="JQ36" i="116"/>
  <c r="JO37" i="116"/>
  <c r="JP37" i="116"/>
  <c r="JQ37" i="116"/>
  <c r="JO38" i="116"/>
  <c r="JP38" i="116"/>
  <c r="JQ38" i="116"/>
  <c r="JO39" i="116"/>
  <c r="JP39" i="116"/>
  <c r="JQ39" i="116"/>
  <c r="JO40" i="116"/>
  <c r="JP40" i="116"/>
  <c r="JQ40" i="116"/>
  <c r="JO41" i="116"/>
  <c r="JP41" i="116"/>
  <c r="JQ41" i="116"/>
  <c r="JO42" i="116"/>
  <c r="JP42" i="116"/>
  <c r="JQ42" i="116"/>
  <c r="JO43" i="116"/>
  <c r="JP43" i="116"/>
  <c r="JQ43" i="116"/>
  <c r="JO44" i="116"/>
  <c r="JP44" i="116"/>
  <c r="JQ44" i="116"/>
  <c r="JO45" i="116"/>
  <c r="JP45" i="116"/>
  <c r="JQ45" i="116"/>
  <c r="JO46" i="116"/>
  <c r="JP46" i="116"/>
  <c r="JQ46" i="116"/>
  <c r="JO47" i="116"/>
  <c r="JP47" i="116"/>
  <c r="JQ47" i="116"/>
  <c r="JO48" i="116"/>
  <c r="JP48" i="116"/>
  <c r="JQ48" i="116"/>
  <c r="JO49" i="116"/>
  <c r="JP49" i="116"/>
  <c r="JQ49" i="116"/>
  <c r="JO50" i="116"/>
  <c r="JP50" i="116"/>
  <c r="JQ50" i="116"/>
  <c r="JO51" i="116"/>
  <c r="JP51" i="116"/>
  <c r="JQ51" i="116"/>
  <c r="JO52" i="116"/>
  <c r="JP52" i="116"/>
  <c r="JQ52" i="116"/>
  <c r="JO53" i="116"/>
  <c r="JP53" i="116"/>
  <c r="JQ53" i="116"/>
  <c r="JO54" i="116"/>
  <c r="JP54" i="116"/>
  <c r="JQ54" i="116"/>
  <c r="JO55" i="116"/>
  <c r="JP55" i="116"/>
  <c r="JQ55" i="116"/>
  <c r="JO56" i="116"/>
  <c r="JP56" i="116"/>
  <c r="JQ56" i="116"/>
  <c r="JO57" i="116"/>
  <c r="JP57" i="116"/>
  <c r="JQ57" i="116"/>
  <c r="JP3" i="116"/>
  <c r="JQ3" i="116"/>
  <c r="JO3" i="116"/>
  <c r="JC4" i="116"/>
  <c r="AM16" i="35" s="1"/>
  <c r="JC5" i="116"/>
  <c r="AM15" i="35" s="1"/>
  <c r="JC6" i="116"/>
  <c r="AM17" i="35" s="1"/>
  <c r="JC7" i="116"/>
  <c r="AM25" i="35" s="1"/>
  <c r="JC8" i="116"/>
  <c r="AM22" i="35" s="1"/>
  <c r="JC9" i="116"/>
  <c r="AM23" i="35" s="1"/>
  <c r="JC10" i="116"/>
  <c r="AM21" i="35" s="1"/>
  <c r="JC11" i="116"/>
  <c r="AM27" i="35" s="1"/>
  <c r="AM26" i="35" s="1"/>
  <c r="JC12" i="116"/>
  <c r="AM29" i="35" s="1"/>
  <c r="AM28" i="35" s="1"/>
  <c r="JC13" i="116"/>
  <c r="AM31" i="35" s="1"/>
  <c r="JC14" i="116"/>
  <c r="AM33" i="35" s="1"/>
  <c r="JC15" i="116"/>
  <c r="AM35" i="35" s="1"/>
  <c r="JC16" i="116"/>
  <c r="AM43" i="35" s="1"/>
  <c r="JC17" i="116"/>
  <c r="AM44" i="35" s="1"/>
  <c r="JC18" i="116"/>
  <c r="AM45" i="35" s="1"/>
  <c r="JC19" i="116"/>
  <c r="AM47" i="35" s="1"/>
  <c r="JC3" i="116"/>
  <c r="JW4" i="115"/>
  <c r="JX4" i="115"/>
  <c r="JY4" i="115"/>
  <c r="JW5" i="115"/>
  <c r="JX5" i="115"/>
  <c r="JY5" i="115"/>
  <c r="JW6" i="115"/>
  <c r="JX6" i="115"/>
  <c r="JY6" i="115"/>
  <c r="JW7" i="115"/>
  <c r="JX7" i="115"/>
  <c r="JY7" i="115"/>
  <c r="JW8" i="115"/>
  <c r="JX8" i="115"/>
  <c r="JY8" i="115"/>
  <c r="JW9" i="115"/>
  <c r="JX9" i="115"/>
  <c r="JY9" i="115"/>
  <c r="JW10" i="115"/>
  <c r="JX10" i="115"/>
  <c r="JY10" i="115"/>
  <c r="JW11" i="115"/>
  <c r="JX11" i="115"/>
  <c r="JY11" i="115"/>
  <c r="JW12" i="115"/>
  <c r="JX12" i="115"/>
  <c r="JY12" i="115"/>
  <c r="JW13" i="115"/>
  <c r="JX13" i="115"/>
  <c r="JY13" i="115"/>
  <c r="JW14" i="115"/>
  <c r="JX14" i="115"/>
  <c r="JY14" i="115"/>
  <c r="JW15" i="115"/>
  <c r="JX15" i="115"/>
  <c r="JY15" i="115"/>
  <c r="JW16" i="115"/>
  <c r="JX16" i="115"/>
  <c r="JY16" i="115"/>
  <c r="JW17" i="115"/>
  <c r="JX17" i="115"/>
  <c r="JY17" i="115"/>
  <c r="JW18" i="115"/>
  <c r="JX18" i="115"/>
  <c r="JY18" i="115"/>
  <c r="JW19" i="115"/>
  <c r="JX19" i="115"/>
  <c r="JY19" i="115"/>
  <c r="JW20" i="115"/>
  <c r="JX20" i="115"/>
  <c r="JY20" i="115"/>
  <c r="JW21" i="115"/>
  <c r="JX21" i="115"/>
  <c r="JY21" i="115"/>
  <c r="JW22" i="115"/>
  <c r="JX22" i="115"/>
  <c r="JY22" i="115"/>
  <c r="JW23" i="115"/>
  <c r="JX23" i="115"/>
  <c r="JY23" i="115"/>
  <c r="JW24" i="115"/>
  <c r="JX24" i="115"/>
  <c r="JY24" i="115"/>
  <c r="JW25" i="115"/>
  <c r="JX25" i="115"/>
  <c r="JY25" i="115"/>
  <c r="JW26" i="115"/>
  <c r="JX26" i="115"/>
  <c r="JY26" i="115"/>
  <c r="JW27" i="115"/>
  <c r="I257" i="39" s="1"/>
  <c r="JX27" i="115"/>
  <c r="JY27" i="115"/>
  <c r="JW28" i="115"/>
  <c r="JX28" i="115"/>
  <c r="L257" i="39" s="1"/>
  <c r="JY28" i="115"/>
  <c r="JW29" i="115"/>
  <c r="JX29" i="115"/>
  <c r="JY29" i="115"/>
  <c r="JW30" i="115"/>
  <c r="JX30" i="115"/>
  <c r="JY30" i="115"/>
  <c r="JW31" i="115"/>
  <c r="JX31" i="115"/>
  <c r="JY31" i="115"/>
  <c r="JW32" i="115"/>
  <c r="JX32" i="115"/>
  <c r="JY32" i="115"/>
  <c r="JW33" i="115"/>
  <c r="JX33" i="115"/>
  <c r="JY33" i="115"/>
  <c r="JW34" i="115"/>
  <c r="JX34" i="115"/>
  <c r="JY34" i="115"/>
  <c r="JW35" i="115"/>
  <c r="JX35" i="115"/>
  <c r="JY35" i="115"/>
  <c r="JW36" i="115"/>
  <c r="JX36" i="115"/>
  <c r="JY36" i="115"/>
  <c r="JW37" i="115"/>
  <c r="JX37" i="115"/>
  <c r="JY37" i="115"/>
  <c r="JW38" i="115"/>
  <c r="JX38" i="115"/>
  <c r="JY38" i="115"/>
  <c r="JW39" i="115"/>
  <c r="JX39" i="115"/>
  <c r="JY39" i="115"/>
  <c r="JW40" i="115"/>
  <c r="JX40" i="115"/>
  <c r="JY40" i="115"/>
  <c r="JW41" i="115"/>
  <c r="JX41" i="115"/>
  <c r="JY41" i="115"/>
  <c r="JW42" i="115"/>
  <c r="JX42" i="115"/>
  <c r="JY42" i="115"/>
  <c r="JW43" i="115"/>
  <c r="JX43" i="115"/>
  <c r="JY43" i="115"/>
  <c r="JW44" i="115"/>
  <c r="JX44" i="115"/>
  <c r="JY44" i="115"/>
  <c r="JW45" i="115"/>
  <c r="JX45" i="115"/>
  <c r="JY45" i="115"/>
  <c r="JW46" i="115"/>
  <c r="JX46" i="115"/>
  <c r="JY46" i="115"/>
  <c r="JW47" i="115"/>
  <c r="JX47" i="115"/>
  <c r="JY47" i="115"/>
  <c r="JW48" i="115"/>
  <c r="JX48" i="115"/>
  <c r="JY48" i="115"/>
  <c r="JW49" i="115"/>
  <c r="JX49" i="115"/>
  <c r="JY49" i="115"/>
  <c r="JW50" i="115"/>
  <c r="JX50" i="115"/>
  <c r="JY50" i="115"/>
  <c r="JW51" i="115"/>
  <c r="JX51" i="115"/>
  <c r="JY51" i="115"/>
  <c r="JW52" i="115"/>
  <c r="JX52" i="115"/>
  <c r="JY52" i="115"/>
  <c r="JW53" i="115"/>
  <c r="JX53" i="115"/>
  <c r="JY53" i="115"/>
  <c r="JW54" i="115"/>
  <c r="JX54" i="115"/>
  <c r="JY54" i="115"/>
  <c r="JW55" i="115"/>
  <c r="JX55" i="115"/>
  <c r="JY55" i="115"/>
  <c r="JW56" i="115"/>
  <c r="JX56" i="115"/>
  <c r="JY56" i="115"/>
  <c r="JX3" i="115"/>
  <c r="JY3" i="115"/>
  <c r="JW3" i="115"/>
  <c r="JK4" i="115"/>
  <c r="AM17" i="37" s="1"/>
  <c r="JK5" i="115"/>
  <c r="AM19" i="37" s="1"/>
  <c r="JK6" i="115"/>
  <c r="AM22" i="37" s="1"/>
  <c r="JK7" i="115"/>
  <c r="AM21" i="37" s="1"/>
  <c r="JK8" i="115"/>
  <c r="AM24" i="37" s="1"/>
  <c r="AM23" i="37" s="1"/>
  <c r="JK9" i="115"/>
  <c r="AM35" i="37" s="1"/>
  <c r="AM34" i="37" s="1"/>
  <c r="JK10" i="115"/>
  <c r="AM51" i="37" s="1"/>
  <c r="JK11" i="115"/>
  <c r="JK12" i="115"/>
  <c r="JK13" i="115"/>
  <c r="AM39" i="37" s="1"/>
  <c r="JK14" i="115"/>
  <c r="AM40" i="37" s="1"/>
  <c r="JK15" i="115"/>
  <c r="AM41" i="37" s="1"/>
  <c r="JK16" i="115"/>
  <c r="AM42" i="37" s="1"/>
  <c r="JK17" i="115"/>
  <c r="AM44" i="37" s="1"/>
  <c r="JK18" i="115"/>
  <c r="AM45" i="37" s="1"/>
  <c r="JK19" i="115"/>
  <c r="AM46" i="37" s="1"/>
  <c r="JK20" i="115"/>
  <c r="AM47" i="37" s="1"/>
  <c r="JK21" i="115"/>
  <c r="AM48" i="37" s="1"/>
  <c r="JK22" i="115"/>
  <c r="AM49" i="37" s="1"/>
  <c r="JK23" i="115"/>
  <c r="AM50" i="37" s="1"/>
  <c r="JK3" i="115"/>
  <c r="AM18" i="37" s="1"/>
  <c r="H32" i="54"/>
  <c r="GZ4" i="114"/>
  <c r="HA4" i="114"/>
  <c r="HB4" i="114"/>
  <c r="GZ5" i="114"/>
  <c r="HA5" i="114"/>
  <c r="HB5" i="114"/>
  <c r="GZ6" i="114"/>
  <c r="HA6" i="114"/>
  <c r="HB6" i="114"/>
  <c r="GZ7" i="114"/>
  <c r="HA7" i="114"/>
  <c r="HB7" i="114"/>
  <c r="GZ8" i="114"/>
  <c r="HA8" i="114"/>
  <c r="HB8" i="114"/>
  <c r="HA3" i="114"/>
  <c r="HB3" i="114"/>
  <c r="GZ3" i="114"/>
  <c r="GQ4" i="114"/>
  <c r="AM57" i="54" s="1"/>
  <c r="AM35" i="54" s="1"/>
  <c r="AM9" i="54" s="1"/>
  <c r="GQ5" i="114"/>
  <c r="GQ6" i="114"/>
  <c r="GQ7" i="114"/>
  <c r="GQ3" i="114"/>
  <c r="JP59" i="116" l="1"/>
  <c r="JQ59" i="116"/>
  <c r="JL11" i="115"/>
  <c r="I201" i="39"/>
  <c r="N201" i="39"/>
  <c r="M279" i="39"/>
  <c r="M204" i="39"/>
  <c r="M179" i="39"/>
  <c r="M191" i="39"/>
  <c r="O205" i="39"/>
  <c r="M278" i="39"/>
  <c r="O24" i="39"/>
  <c r="M257" i="39"/>
  <c r="O192" i="39"/>
  <c r="O150" i="39"/>
  <c r="O179" i="39"/>
  <c r="O55" i="39"/>
  <c r="O204" i="39"/>
  <c r="M280" i="39"/>
  <c r="M195" i="39"/>
  <c r="M192" i="39"/>
  <c r="M150" i="39"/>
  <c r="O195" i="39"/>
  <c r="O191" i="39"/>
  <c r="M17" i="35"/>
  <c r="AM43" i="37"/>
  <c r="AM38" i="37"/>
  <c r="N62" i="39"/>
  <c r="O62" i="39" s="1"/>
  <c r="L62" i="39"/>
  <c r="M62" i="39" s="1"/>
  <c r="JO59" i="116"/>
  <c r="M15" i="35"/>
  <c r="I194" i="39"/>
  <c r="I110" i="39"/>
  <c r="JC20" i="116"/>
  <c r="AM19" i="35"/>
  <c r="AM14" i="35" s="1"/>
  <c r="N57" i="54"/>
  <c r="N236" i="39" s="1"/>
  <c r="L34" i="37"/>
  <c r="L232" i="39"/>
  <c r="L31" i="39"/>
  <c r="M31" i="39" s="1"/>
  <c r="I32" i="54"/>
  <c r="JW57" i="115"/>
  <c r="AM30" i="35"/>
  <c r="M9" i="4"/>
  <c r="JY57" i="115"/>
  <c r="N31" i="39"/>
  <c r="O31" i="39" s="1"/>
  <c r="JX57" i="115"/>
  <c r="O9" i="4"/>
  <c r="L55" i="39"/>
  <c r="M55" i="39" s="1"/>
  <c r="AM52" i="37"/>
  <c r="AN32" i="4"/>
  <c r="AN151" i="4"/>
  <c r="AN121" i="4"/>
  <c r="AN88" i="4"/>
  <c r="AN146" i="4"/>
  <c r="AN183" i="4"/>
  <c r="AN138" i="4"/>
  <c r="AN107" i="4"/>
  <c r="AN81" i="4"/>
  <c r="AN61" i="4"/>
  <c r="AN182" i="4"/>
  <c r="AN136" i="4"/>
  <c r="AN104" i="4"/>
  <c r="AN74" i="4"/>
  <c r="AN52" i="4"/>
  <c r="AN180" i="4"/>
  <c r="AN131" i="4"/>
  <c r="AN73" i="4"/>
  <c r="AN144" i="4"/>
  <c r="AN51" i="4"/>
  <c r="AN168" i="4"/>
  <c r="AN130" i="4"/>
  <c r="AN97" i="4"/>
  <c r="AN164" i="4"/>
  <c r="AN96" i="4"/>
  <c r="AN122" i="4"/>
  <c r="AN157" i="4"/>
  <c r="AN40" i="4"/>
  <c r="AN126" i="4"/>
  <c r="AN92" i="4"/>
  <c r="AN68" i="4"/>
  <c r="AN49" i="4"/>
  <c r="AN12" i="4"/>
  <c r="AN20" i="4"/>
  <c r="AN175" i="4"/>
  <c r="AN134" i="4"/>
  <c r="AN115" i="4"/>
  <c r="AN78" i="4"/>
  <c r="AN59" i="4"/>
  <c r="AN29" i="4"/>
  <c r="AN100" i="4"/>
  <c r="AN60" i="4"/>
  <c r="AN50" i="4"/>
  <c r="AN41" i="4"/>
  <c r="AN16" i="4"/>
  <c r="AN179" i="4"/>
  <c r="AN159" i="4"/>
  <c r="AN135" i="4"/>
  <c r="AN127" i="4"/>
  <c r="AN116" i="4"/>
  <c r="AN101" i="4"/>
  <c r="AN93" i="4"/>
  <c r="AN79" i="4"/>
  <c r="AN69" i="4"/>
  <c r="AN63" i="4"/>
  <c r="AN156" i="4"/>
  <c r="AM20" i="35"/>
  <c r="N20" i="35"/>
  <c r="AM42" i="35"/>
  <c r="AM41" i="35" s="1"/>
  <c r="AM40" i="35" s="1"/>
  <c r="N51" i="37"/>
  <c r="AM16" i="37"/>
  <c r="AM14" i="37" s="1"/>
  <c r="AM12" i="37" s="1"/>
  <c r="K16" i="37"/>
  <c r="N35" i="37"/>
  <c r="O35" i="37" s="1"/>
  <c r="N155" i="39"/>
  <c r="M281" i="39"/>
  <c r="O155" i="39" l="1"/>
  <c r="I190" i="39"/>
  <c r="K194" i="39"/>
  <c r="O201" i="39"/>
  <c r="O194" i="39"/>
  <c r="M110" i="39"/>
  <c r="AM13" i="35"/>
  <c r="AM10" i="35" s="1"/>
  <c r="AM9" i="35" s="1"/>
  <c r="AM37" i="37"/>
  <c r="O51" i="37"/>
  <c r="M169" i="39"/>
  <c r="M162" i="39"/>
  <c r="L24" i="39"/>
  <c r="M24" i="39" s="1"/>
  <c r="AN9" i="4"/>
  <c r="O236" i="39" l="1"/>
  <c r="M159" i="39"/>
  <c r="M165" i="39"/>
  <c r="M170" i="39"/>
  <c r="FY4" i="117" l="1"/>
  <c r="FZ4" i="117"/>
  <c r="GA4" i="117"/>
  <c r="FY5" i="117"/>
  <c r="FZ5" i="117"/>
  <c r="GA5" i="117"/>
  <c r="FY6" i="117"/>
  <c r="FZ6" i="117"/>
  <c r="GA6" i="117"/>
  <c r="FY7" i="117"/>
  <c r="FZ7" i="117"/>
  <c r="GA7" i="117"/>
  <c r="AM14" i="4" s="1"/>
  <c r="FY8" i="117"/>
  <c r="FZ8" i="117"/>
  <c r="GA8" i="117"/>
  <c r="FY9" i="117"/>
  <c r="FZ9" i="117"/>
  <c r="GA9" i="117"/>
  <c r="FY10" i="117"/>
  <c r="FZ10" i="117"/>
  <c r="GA10" i="117"/>
  <c r="FY11" i="117"/>
  <c r="FZ11" i="117"/>
  <c r="GA11" i="117"/>
  <c r="AM18" i="4" s="1"/>
  <c r="FY12" i="117"/>
  <c r="FZ12" i="117"/>
  <c r="GA12" i="117"/>
  <c r="FY13" i="117"/>
  <c r="FZ13" i="117"/>
  <c r="GA13" i="117"/>
  <c r="AM20" i="4" s="1"/>
  <c r="FY14" i="117"/>
  <c r="FZ14" i="117"/>
  <c r="GA14" i="117"/>
  <c r="AM21" i="4" s="1"/>
  <c r="FY15" i="117"/>
  <c r="FZ15" i="117"/>
  <c r="GA15" i="117"/>
  <c r="AM22" i="4" s="1"/>
  <c r="FY16" i="117"/>
  <c r="FZ16" i="117"/>
  <c r="GA16" i="117"/>
  <c r="FY17" i="117"/>
  <c r="FZ17" i="117"/>
  <c r="GA17" i="117"/>
  <c r="FY18" i="117"/>
  <c r="FZ18" i="117"/>
  <c r="GA18" i="117"/>
  <c r="AM27" i="4" s="1"/>
  <c r="FY19" i="117"/>
  <c r="FZ19" i="117"/>
  <c r="GA19" i="117"/>
  <c r="AM28" i="4" s="1"/>
  <c r="FY20" i="117"/>
  <c r="FZ20" i="117"/>
  <c r="GA20" i="117"/>
  <c r="FY21" i="117"/>
  <c r="FZ21" i="117"/>
  <c r="GA21" i="117"/>
  <c r="FY22" i="117"/>
  <c r="FZ22" i="117"/>
  <c r="GA22" i="117"/>
  <c r="AM32" i="4" s="1"/>
  <c r="FY23" i="117"/>
  <c r="FZ23" i="117"/>
  <c r="GA23" i="117"/>
  <c r="AM33" i="4" s="1"/>
  <c r="FY24" i="117"/>
  <c r="FZ24" i="117"/>
  <c r="GA24" i="117"/>
  <c r="AM35" i="4" s="1"/>
  <c r="FY25" i="117"/>
  <c r="FZ25" i="117"/>
  <c r="GA25" i="117"/>
  <c r="FY26" i="117"/>
  <c r="FZ26" i="117"/>
  <c r="GA26" i="117"/>
  <c r="AM36" i="4" s="1"/>
  <c r="FY27" i="117"/>
  <c r="FZ27" i="117"/>
  <c r="GA27" i="117"/>
  <c r="FY28" i="117"/>
  <c r="FZ28" i="117"/>
  <c r="GA28" i="117"/>
  <c r="AM42" i="4" s="1"/>
  <c r="FY29" i="117"/>
  <c r="FZ29" i="117"/>
  <c r="GA29" i="117"/>
  <c r="FY30" i="117"/>
  <c r="FZ30" i="117"/>
  <c r="GA30" i="117"/>
  <c r="AM44" i="4" s="1"/>
  <c r="FY31" i="117"/>
  <c r="FZ31" i="117"/>
  <c r="GA31" i="117"/>
  <c r="AM45" i="4" s="1"/>
  <c r="FY32" i="117"/>
  <c r="FZ32" i="117"/>
  <c r="GA32" i="117"/>
  <c r="AM46" i="4" s="1"/>
  <c r="FY33" i="117"/>
  <c r="FZ33" i="117"/>
  <c r="GA33" i="117"/>
  <c r="FY34" i="117"/>
  <c r="FZ34" i="117"/>
  <c r="GA34" i="117"/>
  <c r="FY35" i="117"/>
  <c r="FZ35" i="117"/>
  <c r="GA35" i="117"/>
  <c r="AM50" i="4" s="1"/>
  <c r="FY36" i="117"/>
  <c r="FZ36" i="117"/>
  <c r="GA36" i="117"/>
  <c r="AM51" i="4" s="1"/>
  <c r="FY37" i="117"/>
  <c r="FZ37" i="117"/>
  <c r="GA37" i="117"/>
  <c r="FY38" i="117"/>
  <c r="FZ38" i="117"/>
  <c r="GA38" i="117"/>
  <c r="AM56" i="4" s="1"/>
  <c r="FY39" i="117"/>
  <c r="FZ39" i="117"/>
  <c r="GA39" i="117"/>
  <c r="FY40" i="117"/>
  <c r="FZ40" i="117"/>
  <c r="GA40" i="117"/>
  <c r="AM58" i="4" s="1"/>
  <c r="FY41" i="117"/>
  <c r="FZ41" i="117"/>
  <c r="GA41" i="117"/>
  <c r="FY42" i="117"/>
  <c r="FZ42" i="117"/>
  <c r="GA42" i="117"/>
  <c r="FY43" i="117"/>
  <c r="FZ43" i="117"/>
  <c r="GA43" i="117"/>
  <c r="AM61" i="4" s="1"/>
  <c r="FY44" i="117"/>
  <c r="FZ44" i="117"/>
  <c r="GA44" i="117"/>
  <c r="AM63" i="4" s="1"/>
  <c r="FY45" i="117"/>
  <c r="FZ45" i="117"/>
  <c r="GA45" i="117"/>
  <c r="FY46" i="117"/>
  <c r="FZ46" i="117"/>
  <c r="GA46" i="117"/>
  <c r="FY47" i="117"/>
  <c r="FZ47" i="117"/>
  <c r="GA47" i="117"/>
  <c r="AM66" i="4" s="1"/>
  <c r="FY48" i="117"/>
  <c r="FZ48" i="117"/>
  <c r="GA48" i="117"/>
  <c r="AM68" i="4" s="1"/>
  <c r="FY49" i="117"/>
  <c r="FZ49" i="117"/>
  <c r="GA49" i="117"/>
  <c r="FY50" i="117"/>
  <c r="FZ50" i="117"/>
  <c r="GA50" i="117"/>
  <c r="FY51" i="117"/>
  <c r="FZ51" i="117"/>
  <c r="GA51" i="117"/>
  <c r="AM73" i="4" s="1"/>
  <c r="FY52" i="117"/>
  <c r="FZ52" i="117"/>
  <c r="GA52" i="117"/>
  <c r="AM74" i="4" s="1"/>
  <c r="FY53" i="117"/>
  <c r="FZ53" i="117"/>
  <c r="GA53" i="117"/>
  <c r="AM75" i="4" s="1"/>
  <c r="FY54" i="117"/>
  <c r="FZ54" i="117"/>
  <c r="GA54" i="117"/>
  <c r="AM76" i="4" s="1"/>
  <c r="FY55" i="117"/>
  <c r="FZ55" i="117"/>
  <c r="GA55" i="117"/>
  <c r="FY56" i="117"/>
  <c r="FZ56" i="117"/>
  <c r="GA56" i="117"/>
  <c r="AM79" i="4" s="1"/>
  <c r="FY57" i="117"/>
  <c r="FZ57" i="117"/>
  <c r="GA57" i="117"/>
  <c r="FY58" i="117"/>
  <c r="FZ58" i="117"/>
  <c r="GA58" i="117"/>
  <c r="FY59" i="117"/>
  <c r="FZ59" i="117"/>
  <c r="GA59" i="117"/>
  <c r="FY60" i="117"/>
  <c r="FZ60" i="117"/>
  <c r="GA60" i="117"/>
  <c r="AM83" i="4" s="1"/>
  <c r="FY61" i="117"/>
  <c r="FZ61" i="117"/>
  <c r="GA61" i="117"/>
  <c r="AM84" i="4" s="1"/>
  <c r="FY62" i="117"/>
  <c r="FZ62" i="117"/>
  <c r="GA62" i="117"/>
  <c r="AM85" i="4" s="1"/>
  <c r="FY63" i="117"/>
  <c r="FZ63" i="117"/>
  <c r="GA63" i="117"/>
  <c r="AM86" i="4" s="1"/>
  <c r="FY64" i="117"/>
  <c r="FZ64" i="117"/>
  <c r="GA64" i="117"/>
  <c r="AM87" i="4" s="1"/>
  <c r="FY65" i="117"/>
  <c r="FZ65" i="117"/>
  <c r="GA65" i="117"/>
  <c r="FY66" i="117"/>
  <c r="FZ66" i="117"/>
  <c r="GA66" i="117"/>
  <c r="FY67" i="117"/>
  <c r="FZ67" i="117"/>
  <c r="GA67" i="117"/>
  <c r="FY68" i="117"/>
  <c r="FZ68" i="117"/>
  <c r="GA68" i="117"/>
  <c r="AM92" i="4" s="1"/>
  <c r="FY69" i="117"/>
  <c r="FZ69" i="117"/>
  <c r="GA69" i="117"/>
  <c r="FY70" i="117"/>
  <c r="FZ70" i="117"/>
  <c r="GA70" i="117"/>
  <c r="AM95" i="4" s="1"/>
  <c r="FY71" i="117"/>
  <c r="FZ71" i="117"/>
  <c r="GA71" i="117"/>
  <c r="AM96" i="4" s="1"/>
  <c r="FY72" i="117"/>
  <c r="FZ72" i="117"/>
  <c r="GA72" i="117"/>
  <c r="FY73" i="117"/>
  <c r="FZ73" i="117"/>
  <c r="GA73" i="117"/>
  <c r="FY74" i="117"/>
  <c r="FZ74" i="117"/>
  <c r="GA74" i="117"/>
  <c r="FY75" i="117"/>
  <c r="FZ75" i="117"/>
  <c r="GA75" i="117"/>
  <c r="AM101" i="4" s="1"/>
  <c r="FY76" i="117"/>
  <c r="FZ76" i="117"/>
  <c r="GA76" i="117"/>
  <c r="AM102" i="4" s="1"/>
  <c r="FY77" i="117"/>
  <c r="FZ77" i="117"/>
  <c r="GA77" i="117"/>
  <c r="FY78" i="117"/>
  <c r="FZ78" i="117"/>
  <c r="GA78" i="117"/>
  <c r="FY79" i="117"/>
  <c r="FZ79" i="117"/>
  <c r="GA79" i="117"/>
  <c r="AM105" i="4" s="1"/>
  <c r="FY80" i="117"/>
  <c r="FZ80" i="117"/>
  <c r="GA80" i="117"/>
  <c r="AM106" i="4" s="1"/>
  <c r="FY81" i="117"/>
  <c r="FZ81" i="117"/>
  <c r="GA81" i="117"/>
  <c r="FY82" i="117"/>
  <c r="FZ82" i="117"/>
  <c r="GA82" i="117"/>
  <c r="FY83" i="117"/>
  <c r="FZ83" i="117"/>
  <c r="GA83" i="117"/>
  <c r="AM110" i="4" s="1"/>
  <c r="FY84" i="117"/>
  <c r="FZ84" i="117"/>
  <c r="GA84" i="117"/>
  <c r="AM113" i="4" s="1"/>
  <c r="FY85" i="117"/>
  <c r="FZ85" i="117"/>
  <c r="GA85" i="117"/>
  <c r="FY86" i="117"/>
  <c r="FZ86" i="117"/>
  <c r="GA86" i="117"/>
  <c r="FY87" i="117"/>
  <c r="FZ87" i="117"/>
  <c r="GA87" i="117"/>
  <c r="AM118" i="4" s="1"/>
  <c r="FY88" i="117"/>
  <c r="FZ88" i="117"/>
  <c r="GA88" i="117"/>
  <c r="AM119" i="4" s="1"/>
  <c r="FY89" i="117"/>
  <c r="FZ89" i="117"/>
  <c r="GA89" i="117"/>
  <c r="FY90" i="117"/>
  <c r="FZ90" i="117"/>
  <c r="GA90" i="117"/>
  <c r="FY91" i="117"/>
  <c r="FZ91" i="117"/>
  <c r="GA91" i="117"/>
  <c r="FY92" i="117"/>
  <c r="FZ92" i="117"/>
  <c r="GA92" i="117"/>
  <c r="AM125" i="4" s="1"/>
  <c r="FY93" i="117"/>
  <c r="FZ93" i="117"/>
  <c r="GA93" i="117"/>
  <c r="FY94" i="117"/>
  <c r="FZ94" i="117"/>
  <c r="GA94" i="117"/>
  <c r="FY95" i="117"/>
  <c r="FZ95" i="117"/>
  <c r="GA95" i="117"/>
  <c r="FY96" i="117"/>
  <c r="FZ96" i="117"/>
  <c r="GA96" i="117"/>
  <c r="AM129" i="4" s="1"/>
  <c r="FY97" i="117"/>
  <c r="FZ97" i="117"/>
  <c r="GA97" i="117"/>
  <c r="FY98" i="117"/>
  <c r="FZ98" i="117"/>
  <c r="GA98" i="117"/>
  <c r="AM131" i="4" s="1"/>
  <c r="FY99" i="117"/>
  <c r="FZ99" i="117"/>
  <c r="GA99" i="117"/>
  <c r="AM133" i="4" s="1"/>
  <c r="FY100" i="117"/>
  <c r="FZ100" i="117"/>
  <c r="GA100" i="117"/>
  <c r="AM134" i="4" s="1"/>
  <c r="FY101" i="117"/>
  <c r="FZ101" i="117"/>
  <c r="GA101" i="117"/>
  <c r="FY102" i="117"/>
  <c r="FZ102" i="117"/>
  <c r="GA102" i="117"/>
  <c r="AM136" i="4" s="1"/>
  <c r="FY103" i="117"/>
  <c r="FZ103" i="117"/>
  <c r="GA103" i="117"/>
  <c r="AM137" i="4" s="1"/>
  <c r="FY104" i="117"/>
  <c r="FZ104" i="117"/>
  <c r="GA104" i="117"/>
  <c r="AM138" i="4" s="1"/>
  <c r="FY105" i="117"/>
  <c r="FZ105" i="117"/>
  <c r="GA105" i="117"/>
  <c r="FY106" i="117"/>
  <c r="FZ106" i="117"/>
  <c r="GA106" i="117"/>
  <c r="AM140" i="4" s="1"/>
  <c r="FY107" i="117"/>
  <c r="FZ107" i="117"/>
  <c r="GA107" i="117"/>
  <c r="AM141" i="4" s="1"/>
  <c r="FY108" i="117"/>
  <c r="FZ108" i="117"/>
  <c r="GA108" i="117"/>
  <c r="FY109" i="117"/>
  <c r="FZ109" i="117"/>
  <c r="GA109" i="117"/>
  <c r="FY110" i="117"/>
  <c r="FZ110" i="117"/>
  <c r="GA110" i="117"/>
  <c r="FY111" i="117"/>
  <c r="FZ111" i="117"/>
  <c r="GA111" i="117"/>
  <c r="FY112" i="117"/>
  <c r="FZ112" i="117"/>
  <c r="GA112" i="117"/>
  <c r="AM159" i="4" s="1"/>
  <c r="AM155" i="4" s="1"/>
  <c r="FY113" i="117"/>
  <c r="FZ113" i="117"/>
  <c r="GA113" i="117"/>
  <c r="FY114" i="117"/>
  <c r="FZ114" i="117"/>
  <c r="GA114" i="117"/>
  <c r="AM167" i="4" s="1"/>
  <c r="FY115" i="117"/>
  <c r="FZ115" i="117"/>
  <c r="GA115" i="117"/>
  <c r="AM168" i="4" s="1"/>
  <c r="FY116" i="117"/>
  <c r="FZ116" i="117"/>
  <c r="GA116" i="117"/>
  <c r="AM169" i="4" s="1"/>
  <c r="FY117" i="117"/>
  <c r="FZ117" i="117"/>
  <c r="GA117" i="117"/>
  <c r="AM174" i="4" s="1"/>
  <c r="FY118" i="117"/>
  <c r="FZ118" i="117"/>
  <c r="GA118" i="117"/>
  <c r="AM177" i="4" s="1"/>
  <c r="FY119" i="117"/>
  <c r="FZ119" i="117"/>
  <c r="GA119" i="117"/>
  <c r="AM178" i="4" s="1"/>
  <c r="FY120" i="117"/>
  <c r="FZ120" i="117"/>
  <c r="GA120" i="117"/>
  <c r="FY121" i="117"/>
  <c r="FZ121" i="117"/>
  <c r="GA121" i="117"/>
  <c r="FY122" i="117"/>
  <c r="FZ122" i="117"/>
  <c r="GA122" i="117"/>
  <c r="FZ3" i="117"/>
  <c r="GA3" i="117"/>
  <c r="FY3" i="117"/>
  <c r="GN4" i="117"/>
  <c r="GO4" i="117"/>
  <c r="GP4" i="117"/>
  <c r="GQ4" i="117"/>
  <c r="GR4" i="117"/>
  <c r="GN5" i="117"/>
  <c r="GO5" i="117"/>
  <c r="GP5" i="117"/>
  <c r="GQ5" i="117"/>
  <c r="GR5" i="117"/>
  <c r="GN6" i="117"/>
  <c r="GO6" i="117"/>
  <c r="GP6" i="117"/>
  <c r="GQ6" i="117"/>
  <c r="GR6" i="117"/>
  <c r="GN7" i="117"/>
  <c r="GO7" i="117"/>
  <c r="GP7" i="117"/>
  <c r="GQ7" i="117"/>
  <c r="GR7" i="117"/>
  <c r="GN8" i="117"/>
  <c r="GO8" i="117"/>
  <c r="GP8" i="117"/>
  <c r="GQ8" i="117"/>
  <c r="GR8" i="117"/>
  <c r="GN9" i="117"/>
  <c r="GO9" i="117"/>
  <c r="GP9" i="117"/>
  <c r="GQ9" i="117"/>
  <c r="GR9" i="117"/>
  <c r="GN10" i="117"/>
  <c r="GO10" i="117"/>
  <c r="GP10" i="117"/>
  <c r="GQ10" i="117"/>
  <c r="GR10" i="117"/>
  <c r="GN11" i="117"/>
  <c r="GO11" i="117"/>
  <c r="GP11" i="117"/>
  <c r="GQ11" i="117"/>
  <c r="GR11" i="117"/>
  <c r="GN12" i="117"/>
  <c r="GO12" i="117"/>
  <c r="GP12" i="117"/>
  <c r="GQ12" i="117"/>
  <c r="GR12" i="117"/>
  <c r="GN13" i="117"/>
  <c r="GO13" i="117"/>
  <c r="GP13" i="117"/>
  <c r="GQ13" i="117"/>
  <c r="GR13" i="117"/>
  <c r="GN14" i="117"/>
  <c r="GO14" i="117"/>
  <c r="GP14" i="117"/>
  <c r="GQ14" i="117"/>
  <c r="GR14" i="117"/>
  <c r="GN15" i="117"/>
  <c r="GO15" i="117"/>
  <c r="GP15" i="117"/>
  <c r="GQ15" i="117"/>
  <c r="GR15" i="117"/>
  <c r="GN16" i="117"/>
  <c r="GO16" i="117"/>
  <c r="GP16" i="117"/>
  <c r="GQ16" i="117"/>
  <c r="GR16" i="117"/>
  <c r="GN17" i="117"/>
  <c r="GO17" i="117"/>
  <c r="GP17" i="117"/>
  <c r="GQ17" i="117"/>
  <c r="GR17" i="117"/>
  <c r="GN18" i="117"/>
  <c r="GO18" i="117"/>
  <c r="GP18" i="117"/>
  <c r="GQ18" i="117"/>
  <c r="GR18" i="117"/>
  <c r="GN19" i="117"/>
  <c r="GO19" i="117"/>
  <c r="GP19" i="117"/>
  <c r="GQ19" i="117"/>
  <c r="GR19" i="117"/>
  <c r="GN20" i="117"/>
  <c r="GO20" i="117"/>
  <c r="GP20" i="117"/>
  <c r="GQ20" i="117"/>
  <c r="GR20" i="117"/>
  <c r="GN21" i="117"/>
  <c r="GO21" i="117"/>
  <c r="GP21" i="117"/>
  <c r="GQ21" i="117"/>
  <c r="GR21" i="117"/>
  <c r="GN22" i="117"/>
  <c r="GO22" i="117"/>
  <c r="GP22" i="117"/>
  <c r="GQ22" i="117"/>
  <c r="GR22" i="117"/>
  <c r="GN23" i="117"/>
  <c r="GO23" i="117"/>
  <c r="GP23" i="117"/>
  <c r="GQ23" i="117"/>
  <c r="GR23" i="117"/>
  <c r="GN24" i="117"/>
  <c r="GO24" i="117"/>
  <c r="GP24" i="117"/>
  <c r="GQ24" i="117"/>
  <c r="GR24" i="117"/>
  <c r="GN25" i="117"/>
  <c r="GO25" i="117"/>
  <c r="GP25" i="117"/>
  <c r="GQ25" i="117"/>
  <c r="GR25" i="117"/>
  <c r="GN26" i="117"/>
  <c r="GO26" i="117"/>
  <c r="GP26" i="117"/>
  <c r="GQ26" i="117"/>
  <c r="GR26" i="117"/>
  <c r="GN27" i="117"/>
  <c r="GO27" i="117"/>
  <c r="GP27" i="117"/>
  <c r="GQ27" i="117"/>
  <c r="GR27" i="117"/>
  <c r="GN28" i="117"/>
  <c r="GO28" i="117"/>
  <c r="GP28" i="117"/>
  <c r="GQ28" i="117"/>
  <c r="GR28" i="117"/>
  <c r="GN29" i="117"/>
  <c r="GO29" i="117"/>
  <c r="GP29" i="117"/>
  <c r="GQ29" i="117"/>
  <c r="GR29" i="117"/>
  <c r="GN30" i="117"/>
  <c r="GO30" i="117"/>
  <c r="GP30" i="117"/>
  <c r="GQ30" i="117"/>
  <c r="GR30" i="117"/>
  <c r="GN31" i="117"/>
  <c r="GO31" i="117"/>
  <c r="GP31" i="117"/>
  <c r="GQ31" i="117"/>
  <c r="GR31" i="117"/>
  <c r="GN32" i="117"/>
  <c r="GO32" i="117"/>
  <c r="GP32" i="117"/>
  <c r="GQ32" i="117"/>
  <c r="GR32" i="117"/>
  <c r="GN33" i="117"/>
  <c r="GO33" i="117"/>
  <c r="GP33" i="117"/>
  <c r="GQ33" i="117"/>
  <c r="GR33" i="117"/>
  <c r="GN34" i="117"/>
  <c r="GO34" i="117"/>
  <c r="GP34" i="117"/>
  <c r="GQ34" i="117"/>
  <c r="GR34" i="117"/>
  <c r="GN35" i="117"/>
  <c r="GO35" i="117"/>
  <c r="GP35" i="117"/>
  <c r="GQ35" i="117"/>
  <c r="GR35" i="117"/>
  <c r="GN36" i="117"/>
  <c r="GO36" i="117"/>
  <c r="GP36" i="117"/>
  <c r="GQ36" i="117"/>
  <c r="GR36" i="117"/>
  <c r="GN37" i="117"/>
  <c r="GO37" i="117"/>
  <c r="GP37" i="117"/>
  <c r="GQ37" i="117"/>
  <c r="GR37" i="117"/>
  <c r="GN38" i="117"/>
  <c r="GO38" i="117"/>
  <c r="GP38" i="117"/>
  <c r="GQ38" i="117"/>
  <c r="GR38" i="117"/>
  <c r="GN39" i="117"/>
  <c r="GO39" i="117"/>
  <c r="GP39" i="117"/>
  <c r="GQ39" i="117"/>
  <c r="GR39" i="117"/>
  <c r="GN40" i="117"/>
  <c r="GO40" i="117"/>
  <c r="GP40" i="117"/>
  <c r="GQ40" i="117"/>
  <c r="GR40" i="117"/>
  <c r="GN41" i="117"/>
  <c r="GO41" i="117"/>
  <c r="GP41" i="117"/>
  <c r="GQ41" i="117"/>
  <c r="GR41" i="117"/>
  <c r="GN42" i="117"/>
  <c r="GO42" i="117"/>
  <c r="GP42" i="117"/>
  <c r="GQ42" i="117"/>
  <c r="GR42" i="117"/>
  <c r="GN43" i="117"/>
  <c r="GO43" i="117"/>
  <c r="GP43" i="117"/>
  <c r="GQ43" i="117"/>
  <c r="GR43" i="117"/>
  <c r="GN44" i="117"/>
  <c r="GO44" i="117"/>
  <c r="GP44" i="117"/>
  <c r="GQ44" i="117"/>
  <c r="GR44" i="117"/>
  <c r="GN45" i="117"/>
  <c r="GO45" i="117"/>
  <c r="GP45" i="117"/>
  <c r="GQ45" i="117"/>
  <c r="GR45" i="117"/>
  <c r="GN46" i="117"/>
  <c r="GO46" i="117"/>
  <c r="GP46" i="117"/>
  <c r="GQ46" i="117"/>
  <c r="GR46" i="117"/>
  <c r="GN47" i="117"/>
  <c r="GO47" i="117"/>
  <c r="GP47" i="117"/>
  <c r="GQ47" i="117"/>
  <c r="GR47" i="117"/>
  <c r="GN48" i="117"/>
  <c r="GO48" i="117"/>
  <c r="GP48" i="117"/>
  <c r="GQ48" i="117"/>
  <c r="GR48" i="117"/>
  <c r="GN49" i="117"/>
  <c r="GO49" i="117"/>
  <c r="GP49" i="117"/>
  <c r="GQ49" i="117"/>
  <c r="GR49" i="117"/>
  <c r="GN50" i="117"/>
  <c r="GO50" i="117"/>
  <c r="GP50" i="117"/>
  <c r="GQ50" i="117"/>
  <c r="GR50" i="117"/>
  <c r="GN51" i="117"/>
  <c r="GO51" i="117"/>
  <c r="GP51" i="117"/>
  <c r="GQ51" i="117"/>
  <c r="GR51" i="117"/>
  <c r="GN52" i="117"/>
  <c r="GO52" i="117"/>
  <c r="GP52" i="117"/>
  <c r="GQ52" i="117"/>
  <c r="GR52" i="117"/>
  <c r="GN53" i="117"/>
  <c r="GO53" i="117"/>
  <c r="GP53" i="117"/>
  <c r="GQ53" i="117"/>
  <c r="GR53" i="117"/>
  <c r="GN54" i="117"/>
  <c r="GO54" i="117"/>
  <c r="GP54" i="117"/>
  <c r="GQ54" i="117"/>
  <c r="GR54" i="117"/>
  <c r="GN55" i="117"/>
  <c r="GO55" i="117"/>
  <c r="GP55" i="117"/>
  <c r="GQ55" i="117"/>
  <c r="GR55" i="117"/>
  <c r="GN56" i="117"/>
  <c r="GO56" i="117"/>
  <c r="GP56" i="117"/>
  <c r="GQ56" i="117"/>
  <c r="GR56" i="117"/>
  <c r="GN57" i="117"/>
  <c r="GO57" i="117"/>
  <c r="GP57" i="117"/>
  <c r="GQ57" i="117"/>
  <c r="GR57" i="117"/>
  <c r="GN58" i="117"/>
  <c r="GO58" i="117"/>
  <c r="GP58" i="117"/>
  <c r="GQ58" i="117"/>
  <c r="GR58" i="117"/>
  <c r="GN59" i="117"/>
  <c r="GO59" i="117"/>
  <c r="GP59" i="117"/>
  <c r="GQ59" i="117"/>
  <c r="GR59" i="117"/>
  <c r="GN60" i="117"/>
  <c r="GO60" i="117"/>
  <c r="GP60" i="117"/>
  <c r="GQ60" i="117"/>
  <c r="GR60" i="117"/>
  <c r="GN61" i="117"/>
  <c r="GO61" i="117"/>
  <c r="GP61" i="117"/>
  <c r="GQ61" i="117"/>
  <c r="GR61" i="117"/>
  <c r="GN62" i="117"/>
  <c r="GO62" i="117"/>
  <c r="GP62" i="117"/>
  <c r="GQ62" i="117"/>
  <c r="GR62" i="117"/>
  <c r="GN63" i="117"/>
  <c r="GO63" i="117"/>
  <c r="GP63" i="117"/>
  <c r="GQ63" i="117"/>
  <c r="GR63" i="117"/>
  <c r="GN64" i="117"/>
  <c r="GO64" i="117"/>
  <c r="GP64" i="117"/>
  <c r="GQ64" i="117"/>
  <c r="GR64" i="117"/>
  <c r="GN65" i="117"/>
  <c r="GO65" i="117"/>
  <c r="GP65" i="117"/>
  <c r="GQ65" i="117"/>
  <c r="GR65" i="117"/>
  <c r="GN66" i="117"/>
  <c r="GO66" i="117"/>
  <c r="GP66" i="117"/>
  <c r="GQ66" i="117"/>
  <c r="GR66" i="117"/>
  <c r="GN67" i="117"/>
  <c r="GO67" i="117"/>
  <c r="GP67" i="117"/>
  <c r="GQ67" i="117"/>
  <c r="GR67" i="117"/>
  <c r="GN68" i="117"/>
  <c r="GO68" i="117"/>
  <c r="GP68" i="117"/>
  <c r="GQ68" i="117"/>
  <c r="GR68" i="117"/>
  <c r="GN69" i="117"/>
  <c r="GO69" i="117"/>
  <c r="GP69" i="117"/>
  <c r="GQ69" i="117"/>
  <c r="GR69" i="117"/>
  <c r="GN70" i="117"/>
  <c r="GO70" i="117"/>
  <c r="GP70" i="117"/>
  <c r="GQ70" i="117"/>
  <c r="GR70" i="117"/>
  <c r="GN71" i="117"/>
  <c r="GO71" i="117"/>
  <c r="GP71" i="117"/>
  <c r="GQ71" i="117"/>
  <c r="GR71" i="117"/>
  <c r="GN72" i="117"/>
  <c r="GO72" i="117"/>
  <c r="GP72" i="117"/>
  <c r="GQ72" i="117"/>
  <c r="GR72" i="117"/>
  <c r="GN73" i="117"/>
  <c r="GO73" i="117"/>
  <c r="GP73" i="117"/>
  <c r="GQ73" i="117"/>
  <c r="GR73" i="117"/>
  <c r="GN74" i="117"/>
  <c r="GO74" i="117"/>
  <c r="GP74" i="117"/>
  <c r="GQ74" i="117"/>
  <c r="GR74" i="117"/>
  <c r="GN75" i="117"/>
  <c r="GO75" i="117"/>
  <c r="GP75" i="117"/>
  <c r="GQ75" i="117"/>
  <c r="GR75" i="117"/>
  <c r="GN76" i="117"/>
  <c r="GO76" i="117"/>
  <c r="GP76" i="117"/>
  <c r="GQ76" i="117"/>
  <c r="GR76" i="117"/>
  <c r="GN77" i="117"/>
  <c r="GO77" i="117"/>
  <c r="GP77" i="117"/>
  <c r="GQ77" i="117"/>
  <c r="GR77" i="117"/>
  <c r="GN78" i="117"/>
  <c r="GO78" i="117"/>
  <c r="GP78" i="117"/>
  <c r="GQ78" i="117"/>
  <c r="GR78" i="117"/>
  <c r="GN79" i="117"/>
  <c r="GO79" i="117"/>
  <c r="GP79" i="117"/>
  <c r="GQ79" i="117"/>
  <c r="GR79" i="117"/>
  <c r="GN80" i="117"/>
  <c r="GO80" i="117"/>
  <c r="GP80" i="117"/>
  <c r="GQ80" i="117"/>
  <c r="GR80" i="117"/>
  <c r="GN81" i="117"/>
  <c r="GO81" i="117"/>
  <c r="GP81" i="117"/>
  <c r="GQ81" i="117"/>
  <c r="GR81" i="117"/>
  <c r="GN82" i="117"/>
  <c r="GO82" i="117"/>
  <c r="GP82" i="117"/>
  <c r="GQ82" i="117"/>
  <c r="GR82" i="117"/>
  <c r="GN83" i="117"/>
  <c r="GO83" i="117"/>
  <c r="GP83" i="117"/>
  <c r="GQ83" i="117"/>
  <c r="GR83" i="117"/>
  <c r="GN84" i="117"/>
  <c r="GO84" i="117"/>
  <c r="GP84" i="117"/>
  <c r="GQ84" i="117"/>
  <c r="GR84" i="117"/>
  <c r="GN85" i="117"/>
  <c r="GO85" i="117"/>
  <c r="GP85" i="117"/>
  <c r="GQ85" i="117"/>
  <c r="GR85" i="117"/>
  <c r="GN86" i="117"/>
  <c r="GO86" i="117"/>
  <c r="GP86" i="117"/>
  <c r="GQ86" i="117"/>
  <c r="GR86" i="117"/>
  <c r="GN87" i="117"/>
  <c r="GO87" i="117"/>
  <c r="GP87" i="117"/>
  <c r="GQ87" i="117"/>
  <c r="GR87" i="117"/>
  <c r="GN88" i="117"/>
  <c r="GO88" i="117"/>
  <c r="GP88" i="117"/>
  <c r="GQ88" i="117"/>
  <c r="GR88" i="117"/>
  <c r="GN89" i="117"/>
  <c r="GO89" i="117"/>
  <c r="GP89" i="117"/>
  <c r="GQ89" i="117"/>
  <c r="GR89" i="117"/>
  <c r="GN90" i="117"/>
  <c r="GO90" i="117"/>
  <c r="GP90" i="117"/>
  <c r="GQ90" i="117"/>
  <c r="GR90" i="117"/>
  <c r="GN91" i="117"/>
  <c r="GO91" i="117"/>
  <c r="GP91" i="117"/>
  <c r="GQ91" i="117"/>
  <c r="GR91" i="117"/>
  <c r="GN92" i="117"/>
  <c r="GO92" i="117"/>
  <c r="GP92" i="117"/>
  <c r="GQ92" i="117"/>
  <c r="GR92" i="117"/>
  <c r="GN93" i="117"/>
  <c r="GO93" i="117"/>
  <c r="GP93" i="117"/>
  <c r="GQ93" i="117"/>
  <c r="GR93" i="117"/>
  <c r="GN94" i="117"/>
  <c r="GO94" i="117"/>
  <c r="GP94" i="117"/>
  <c r="GQ94" i="117"/>
  <c r="GR94" i="117"/>
  <c r="GN95" i="117"/>
  <c r="GO95" i="117"/>
  <c r="GP95" i="117"/>
  <c r="GQ95" i="117"/>
  <c r="GR95" i="117"/>
  <c r="GN96" i="117"/>
  <c r="GO96" i="117"/>
  <c r="GP96" i="117"/>
  <c r="GQ96" i="117"/>
  <c r="GR96" i="117"/>
  <c r="GN97" i="117"/>
  <c r="GO97" i="117"/>
  <c r="GP97" i="117"/>
  <c r="GQ97" i="117"/>
  <c r="GR97" i="117"/>
  <c r="GN98" i="117"/>
  <c r="GO98" i="117"/>
  <c r="GP98" i="117"/>
  <c r="GQ98" i="117"/>
  <c r="GR98" i="117"/>
  <c r="GN99" i="117"/>
  <c r="GO99" i="117"/>
  <c r="GP99" i="117"/>
  <c r="GQ99" i="117"/>
  <c r="GR99" i="117"/>
  <c r="GN100" i="117"/>
  <c r="GO100" i="117"/>
  <c r="GP100" i="117"/>
  <c r="GQ100" i="117"/>
  <c r="GR100" i="117"/>
  <c r="GN101" i="117"/>
  <c r="GO101" i="117"/>
  <c r="GP101" i="117"/>
  <c r="GQ101" i="117"/>
  <c r="GR101" i="117"/>
  <c r="GN102" i="117"/>
  <c r="GO102" i="117"/>
  <c r="GP102" i="117"/>
  <c r="GQ102" i="117"/>
  <c r="GR102" i="117"/>
  <c r="GN103" i="117"/>
  <c r="GO103" i="117"/>
  <c r="GP103" i="117"/>
  <c r="GQ103" i="117"/>
  <c r="GR103" i="117"/>
  <c r="GN104" i="117"/>
  <c r="GO104" i="117"/>
  <c r="GP104" i="117"/>
  <c r="GQ104" i="117"/>
  <c r="GR104" i="117"/>
  <c r="GN105" i="117"/>
  <c r="GO105" i="117"/>
  <c r="GP105" i="117"/>
  <c r="GQ105" i="117"/>
  <c r="GR105" i="117"/>
  <c r="GN106" i="117"/>
  <c r="GO106" i="117"/>
  <c r="GP106" i="117"/>
  <c r="GQ106" i="117"/>
  <c r="GR106" i="117"/>
  <c r="GN107" i="117"/>
  <c r="GO107" i="117"/>
  <c r="GP107" i="117"/>
  <c r="GQ107" i="117"/>
  <c r="GR107" i="117"/>
  <c r="GN108" i="117"/>
  <c r="GO108" i="117"/>
  <c r="GP108" i="117"/>
  <c r="GQ108" i="117"/>
  <c r="GR108" i="117"/>
  <c r="GN109" i="117"/>
  <c r="GO109" i="117"/>
  <c r="GP109" i="117"/>
  <c r="GQ109" i="117"/>
  <c r="GR109" i="117"/>
  <c r="GN110" i="117"/>
  <c r="GO110" i="117"/>
  <c r="GP110" i="117"/>
  <c r="GQ110" i="117"/>
  <c r="GR110" i="117"/>
  <c r="GN111" i="117"/>
  <c r="GO111" i="117"/>
  <c r="GP111" i="117"/>
  <c r="GQ111" i="117"/>
  <c r="GR111" i="117"/>
  <c r="GN112" i="117"/>
  <c r="GO112" i="117"/>
  <c r="GP112" i="117"/>
  <c r="GQ112" i="117"/>
  <c r="GR112" i="117"/>
  <c r="GN113" i="117"/>
  <c r="GO113" i="117"/>
  <c r="GP113" i="117"/>
  <c r="GQ113" i="117"/>
  <c r="GR113" i="117"/>
  <c r="GN114" i="117"/>
  <c r="GO114" i="117"/>
  <c r="GP114" i="117"/>
  <c r="GQ114" i="117"/>
  <c r="GR114" i="117"/>
  <c r="GN115" i="117"/>
  <c r="GO115" i="117"/>
  <c r="GP115" i="117"/>
  <c r="GQ115" i="117"/>
  <c r="GR115" i="117"/>
  <c r="GN116" i="117"/>
  <c r="GO116" i="117"/>
  <c r="GP116" i="117"/>
  <c r="GQ116" i="117"/>
  <c r="GR116" i="117"/>
  <c r="GN117" i="117"/>
  <c r="GO117" i="117"/>
  <c r="GP117" i="117"/>
  <c r="GQ117" i="117"/>
  <c r="GR117" i="117"/>
  <c r="GN118" i="117"/>
  <c r="GO118" i="117"/>
  <c r="GP118" i="117"/>
  <c r="GQ118" i="117"/>
  <c r="GR118" i="117"/>
  <c r="GN119" i="117"/>
  <c r="GO119" i="117"/>
  <c r="GP119" i="117"/>
  <c r="GQ119" i="117"/>
  <c r="GR119" i="117"/>
  <c r="GN120" i="117"/>
  <c r="GO120" i="117"/>
  <c r="GP120" i="117"/>
  <c r="GQ120" i="117"/>
  <c r="GR120" i="117"/>
  <c r="GN121" i="117"/>
  <c r="GO121" i="117"/>
  <c r="GP121" i="117"/>
  <c r="GQ121" i="117"/>
  <c r="GR121" i="117"/>
  <c r="GN122" i="117"/>
  <c r="GO122" i="117"/>
  <c r="GP122" i="117"/>
  <c r="GQ122" i="117"/>
  <c r="GR122" i="117"/>
  <c r="GN123" i="117"/>
  <c r="GO123" i="117"/>
  <c r="GP123" i="117"/>
  <c r="GQ123" i="117"/>
  <c r="GR123" i="117"/>
  <c r="GN124" i="117"/>
  <c r="GO124" i="117"/>
  <c r="GP124" i="117"/>
  <c r="GQ124" i="117"/>
  <c r="GR124" i="117"/>
  <c r="GN125" i="117"/>
  <c r="GO125" i="117"/>
  <c r="GP125" i="117"/>
  <c r="GQ125" i="117"/>
  <c r="GR125" i="117"/>
  <c r="GN126" i="117"/>
  <c r="GO126" i="117"/>
  <c r="GP126" i="117"/>
  <c r="GQ126" i="117"/>
  <c r="GR126" i="117"/>
  <c r="GN127" i="117"/>
  <c r="GO127" i="117"/>
  <c r="GP127" i="117"/>
  <c r="GQ127" i="117"/>
  <c r="GR127" i="117"/>
  <c r="GN128" i="117"/>
  <c r="GO128" i="117"/>
  <c r="GP128" i="117"/>
  <c r="GQ128" i="117"/>
  <c r="GR128" i="117"/>
  <c r="GN129" i="117"/>
  <c r="GO129" i="117"/>
  <c r="GP129" i="117"/>
  <c r="GQ129" i="117"/>
  <c r="GR129" i="117"/>
  <c r="GN130" i="117"/>
  <c r="GO130" i="117"/>
  <c r="GP130" i="117"/>
  <c r="GQ130" i="117"/>
  <c r="GR130" i="117"/>
  <c r="GN131" i="117"/>
  <c r="GO131" i="117"/>
  <c r="GP131" i="117"/>
  <c r="GQ131" i="117"/>
  <c r="GR131" i="117"/>
  <c r="GN132" i="117"/>
  <c r="GO132" i="117"/>
  <c r="GP132" i="117"/>
  <c r="GQ132" i="117"/>
  <c r="GR132" i="117"/>
  <c r="GN133" i="117"/>
  <c r="GO133" i="117"/>
  <c r="GP133" i="117"/>
  <c r="GQ133" i="117"/>
  <c r="GR133" i="117"/>
  <c r="GN134" i="117"/>
  <c r="GO134" i="117"/>
  <c r="GP134" i="117"/>
  <c r="GQ134" i="117"/>
  <c r="GR134" i="117"/>
  <c r="GN135" i="117"/>
  <c r="GO135" i="117"/>
  <c r="GP135" i="117"/>
  <c r="GQ135" i="117"/>
  <c r="GR135" i="117"/>
  <c r="GN136" i="117"/>
  <c r="GO136" i="117"/>
  <c r="GP136" i="117"/>
  <c r="GQ136" i="117"/>
  <c r="GR136" i="117"/>
  <c r="GN137" i="117"/>
  <c r="GO137" i="117"/>
  <c r="GP137" i="117"/>
  <c r="GQ137" i="117"/>
  <c r="GR137" i="117"/>
  <c r="GN138" i="117"/>
  <c r="GO138" i="117"/>
  <c r="GP138" i="117"/>
  <c r="GQ138" i="117"/>
  <c r="GR138" i="117"/>
  <c r="GN139" i="117"/>
  <c r="GO139" i="117"/>
  <c r="GP139" i="117"/>
  <c r="GQ139" i="117"/>
  <c r="GR139" i="117"/>
  <c r="GN140" i="117"/>
  <c r="GO140" i="117"/>
  <c r="GP140" i="117"/>
  <c r="GQ140" i="117"/>
  <c r="GR140" i="117"/>
  <c r="GN141" i="117"/>
  <c r="GO141" i="117"/>
  <c r="GP141" i="117"/>
  <c r="GQ141" i="117"/>
  <c r="GR141" i="117"/>
  <c r="GN142" i="117"/>
  <c r="GO142" i="117"/>
  <c r="GP142" i="117"/>
  <c r="GQ142" i="117"/>
  <c r="GR142" i="117"/>
  <c r="GN143" i="117"/>
  <c r="GO143" i="117"/>
  <c r="GP143" i="117"/>
  <c r="GQ143" i="117"/>
  <c r="GR143" i="117"/>
  <c r="GN144" i="117"/>
  <c r="GO144" i="117"/>
  <c r="GP144" i="117"/>
  <c r="GQ144" i="117"/>
  <c r="GR144" i="117"/>
  <c r="GN145" i="117"/>
  <c r="GO145" i="117"/>
  <c r="GP145" i="117"/>
  <c r="GQ145" i="117"/>
  <c r="GR145" i="117"/>
  <c r="GN146" i="117"/>
  <c r="GO146" i="117"/>
  <c r="GP146" i="117"/>
  <c r="GQ146" i="117"/>
  <c r="GR146" i="117"/>
  <c r="GN147" i="117"/>
  <c r="GO147" i="117"/>
  <c r="GP147" i="117"/>
  <c r="GQ147" i="117"/>
  <c r="GR147" i="117"/>
  <c r="GN148" i="117"/>
  <c r="GO148" i="117"/>
  <c r="GP148" i="117"/>
  <c r="GQ148" i="117"/>
  <c r="GR148" i="117"/>
  <c r="GN149" i="117"/>
  <c r="GO149" i="117"/>
  <c r="GP149" i="117"/>
  <c r="GQ149" i="117"/>
  <c r="GR149" i="117"/>
  <c r="GN150" i="117"/>
  <c r="GO150" i="117"/>
  <c r="GP150" i="117"/>
  <c r="GQ150" i="117"/>
  <c r="GR150" i="117"/>
  <c r="GN151" i="117"/>
  <c r="GO151" i="117"/>
  <c r="GP151" i="117"/>
  <c r="GQ151" i="117"/>
  <c r="GR151" i="117"/>
  <c r="GN152" i="117"/>
  <c r="GO152" i="117"/>
  <c r="GP152" i="117"/>
  <c r="GQ152" i="117"/>
  <c r="GR152" i="117"/>
  <c r="GN153" i="117"/>
  <c r="GO153" i="117"/>
  <c r="GP153" i="117"/>
  <c r="GQ153" i="117"/>
  <c r="GR153" i="117"/>
  <c r="GO3" i="117"/>
  <c r="GP3" i="117"/>
  <c r="GQ3" i="117"/>
  <c r="GR3" i="117"/>
  <c r="GN3" i="117"/>
  <c r="AL28" i="35"/>
  <c r="AM19" i="4" l="1"/>
  <c r="AM30" i="4"/>
  <c r="AM41" i="4"/>
  <c r="AM60" i="4"/>
  <c r="AM49" i="4"/>
  <c r="AM98" i="4"/>
  <c r="AM100" i="4"/>
  <c r="AM57" i="4"/>
  <c r="AM121" i="4"/>
  <c r="AM128" i="4"/>
  <c r="AM13" i="4"/>
  <c r="AM29" i="4"/>
  <c r="AM69" i="4"/>
  <c r="AM59" i="4"/>
  <c r="AM78" i="4"/>
  <c r="AM107" i="4"/>
  <c r="AM99" i="4"/>
  <c r="AM122" i="4"/>
  <c r="AM127" i="4"/>
  <c r="AM135" i="4"/>
  <c r="AM10" i="4"/>
  <c r="AM17" i="4"/>
  <c r="AM43" i="4"/>
  <c r="AM52" i="4"/>
  <c r="AM90" i="4"/>
  <c r="AM82" i="4"/>
  <c r="AM109" i="4"/>
  <c r="AM115" i="4"/>
  <c r="AM124" i="4"/>
  <c r="AM126" i="4"/>
  <c r="AM12" i="4"/>
  <c r="AM16" i="4"/>
  <c r="AM89" i="4"/>
  <c r="AM81" i="4"/>
  <c r="AM116" i="4"/>
  <c r="AM11" i="4"/>
  <c r="AM15" i="4"/>
  <c r="AM26" i="4"/>
  <c r="AM65" i="4"/>
  <c r="AM72" i="4"/>
  <c r="AM88" i="4"/>
  <c r="AM80" i="4"/>
  <c r="AM94" i="4"/>
  <c r="AM104" i="4"/>
  <c r="AM139" i="4"/>
  <c r="AM25" i="4"/>
  <c r="AM64" i="4"/>
  <c r="AM103" i="4"/>
  <c r="AM48" i="4"/>
  <c r="AM130" i="4"/>
  <c r="AM162" i="4"/>
  <c r="AQ8" i="116"/>
  <c r="IQ54" i="116"/>
  <c r="IR54" i="116"/>
  <c r="IS54" i="116"/>
  <c r="IQ55" i="116"/>
  <c r="IR55" i="116"/>
  <c r="IS55" i="116"/>
  <c r="IQ56" i="116"/>
  <c r="IR56" i="116"/>
  <c r="IS56" i="116"/>
  <c r="IQ57" i="116"/>
  <c r="IR57" i="116"/>
  <c r="IS57" i="116"/>
  <c r="IQ4" i="116"/>
  <c r="IR4" i="116"/>
  <c r="IS4" i="116"/>
  <c r="IQ5" i="116"/>
  <c r="IR5" i="116"/>
  <c r="IS5" i="116"/>
  <c r="IQ6" i="116"/>
  <c r="IR6" i="116"/>
  <c r="IS6" i="116"/>
  <c r="IQ7" i="116"/>
  <c r="IR7" i="116"/>
  <c r="IS7" i="116"/>
  <c r="IQ8" i="116"/>
  <c r="IR8" i="116"/>
  <c r="IS8" i="116"/>
  <c r="IQ9" i="116"/>
  <c r="IR9" i="116"/>
  <c r="IS9" i="116"/>
  <c r="IQ10" i="116"/>
  <c r="IR10" i="116"/>
  <c r="IS10" i="116"/>
  <c r="IQ11" i="116"/>
  <c r="IR11" i="116"/>
  <c r="IS11" i="116"/>
  <c r="IQ12" i="116"/>
  <c r="IR12" i="116"/>
  <c r="IS12" i="116"/>
  <c r="IQ13" i="116"/>
  <c r="IR13" i="116"/>
  <c r="IS13" i="116"/>
  <c r="IQ14" i="116"/>
  <c r="IR14" i="116"/>
  <c r="IS14" i="116"/>
  <c r="IQ15" i="116"/>
  <c r="IR15" i="116"/>
  <c r="IS15" i="116"/>
  <c r="IQ16" i="116"/>
  <c r="IR16" i="116"/>
  <c r="IS16" i="116"/>
  <c r="IQ17" i="116"/>
  <c r="IR17" i="116"/>
  <c r="IS17" i="116"/>
  <c r="IQ18" i="116"/>
  <c r="IR18" i="116"/>
  <c r="IS18" i="116"/>
  <c r="IQ19" i="116"/>
  <c r="IR19" i="116"/>
  <c r="IS19" i="116"/>
  <c r="IQ20" i="116"/>
  <c r="IR20" i="116"/>
  <c r="IS20" i="116"/>
  <c r="IQ21" i="116"/>
  <c r="IR21" i="116"/>
  <c r="IS21" i="116"/>
  <c r="IQ22" i="116"/>
  <c r="IR22" i="116"/>
  <c r="IS22" i="116"/>
  <c r="IQ23" i="116"/>
  <c r="IR23" i="116"/>
  <c r="IS23" i="116"/>
  <c r="IQ24" i="116"/>
  <c r="IR24" i="116"/>
  <c r="IS24" i="116"/>
  <c r="IQ25" i="116"/>
  <c r="IR25" i="116"/>
  <c r="IS25" i="116"/>
  <c r="IQ26" i="116"/>
  <c r="IR26" i="116"/>
  <c r="IS26" i="116"/>
  <c r="IQ27" i="116"/>
  <c r="IR27" i="116"/>
  <c r="IS27" i="116"/>
  <c r="IQ28" i="116"/>
  <c r="IR28" i="116"/>
  <c r="IS28" i="116"/>
  <c r="IQ29" i="116"/>
  <c r="IR29" i="116"/>
  <c r="IS29" i="116"/>
  <c r="IQ30" i="116"/>
  <c r="IR30" i="116"/>
  <c r="IS30" i="116"/>
  <c r="IQ31" i="116"/>
  <c r="IR31" i="116"/>
  <c r="IS31" i="116"/>
  <c r="IQ32" i="116"/>
  <c r="IR32" i="116"/>
  <c r="IS32" i="116"/>
  <c r="IQ33" i="116"/>
  <c r="IR33" i="116"/>
  <c r="IS33" i="116"/>
  <c r="IQ34" i="116"/>
  <c r="IR34" i="116"/>
  <c r="IS34" i="116"/>
  <c r="IQ35" i="116"/>
  <c r="IR35" i="116"/>
  <c r="IS35" i="116"/>
  <c r="IQ36" i="116"/>
  <c r="IR36" i="116"/>
  <c r="IS36" i="116"/>
  <c r="IQ37" i="116"/>
  <c r="IR37" i="116"/>
  <c r="IS37" i="116"/>
  <c r="IQ38" i="116"/>
  <c r="IR38" i="116"/>
  <c r="IS38" i="116"/>
  <c r="IQ39" i="116"/>
  <c r="IR39" i="116"/>
  <c r="IS39" i="116"/>
  <c r="IQ40" i="116"/>
  <c r="IR40" i="116"/>
  <c r="IS40" i="116"/>
  <c r="IQ41" i="116"/>
  <c r="IR41" i="116"/>
  <c r="IS41" i="116"/>
  <c r="IQ42" i="116"/>
  <c r="IR42" i="116"/>
  <c r="IS42" i="116"/>
  <c r="IQ43" i="116"/>
  <c r="IR43" i="116"/>
  <c r="IS43" i="116"/>
  <c r="IQ44" i="116"/>
  <c r="IR44" i="116"/>
  <c r="IS44" i="116"/>
  <c r="IQ45" i="116"/>
  <c r="IR45" i="116"/>
  <c r="IS45" i="116"/>
  <c r="IQ46" i="116"/>
  <c r="IR46" i="116"/>
  <c r="IS46" i="116"/>
  <c r="IQ47" i="116"/>
  <c r="IR47" i="116"/>
  <c r="IS47" i="116"/>
  <c r="IQ48" i="116"/>
  <c r="IR48" i="116"/>
  <c r="IS48" i="116"/>
  <c r="IQ49" i="116"/>
  <c r="IR49" i="116"/>
  <c r="IS49" i="116"/>
  <c r="IQ50" i="116"/>
  <c r="IR50" i="116"/>
  <c r="IS50" i="116"/>
  <c r="IQ51" i="116"/>
  <c r="IR51" i="116"/>
  <c r="IS51" i="116"/>
  <c r="IQ52" i="116"/>
  <c r="IR52" i="116"/>
  <c r="IS52" i="116"/>
  <c r="IQ53" i="116"/>
  <c r="IR53" i="116"/>
  <c r="IS53" i="116"/>
  <c r="IR3" i="116"/>
  <c r="IS3" i="116"/>
  <c r="IQ3" i="116"/>
  <c r="IE4" i="116"/>
  <c r="IE5" i="116"/>
  <c r="IE6" i="116"/>
  <c r="IE7" i="116"/>
  <c r="IE8" i="116"/>
  <c r="AL15" i="35" s="1"/>
  <c r="IE9" i="116"/>
  <c r="AL18" i="35" s="1"/>
  <c r="IE10" i="116"/>
  <c r="IE11" i="116"/>
  <c r="IE12" i="116"/>
  <c r="IE13" i="116"/>
  <c r="IE14" i="116"/>
  <c r="AL22" i="35" s="1"/>
  <c r="IE15" i="116"/>
  <c r="IE16" i="116"/>
  <c r="AL21" i="35" s="1"/>
  <c r="IE17" i="116"/>
  <c r="AL23" i="35" s="1"/>
  <c r="IE18" i="116"/>
  <c r="AL27" i="35" s="1"/>
  <c r="AL26" i="35" s="1"/>
  <c r="IE19" i="116"/>
  <c r="IE20" i="116"/>
  <c r="AL31" i="35" s="1"/>
  <c r="IE21" i="116"/>
  <c r="IE22" i="116"/>
  <c r="AL32" i="35" s="1"/>
  <c r="IE23" i="116"/>
  <c r="AL35" i="35" s="1"/>
  <c r="IE24" i="116"/>
  <c r="AL33" i="35" s="1"/>
  <c r="IE25" i="116"/>
  <c r="IE26" i="116"/>
  <c r="IE27" i="116"/>
  <c r="IE28" i="116"/>
  <c r="AL43" i="35" s="1"/>
  <c r="IE29" i="116"/>
  <c r="AL44" i="35" s="1"/>
  <c r="IE30" i="116"/>
  <c r="IE31" i="116"/>
  <c r="IE32" i="116"/>
  <c r="IE33" i="116"/>
  <c r="AL46" i="35" s="1"/>
  <c r="IE34" i="116"/>
  <c r="IE35" i="116"/>
  <c r="IE3" i="116"/>
  <c r="N36" i="37"/>
  <c r="O36" i="37" s="1"/>
  <c r="F232" i="39"/>
  <c r="N29" i="37"/>
  <c r="O29" i="37" s="1"/>
  <c r="N27" i="37"/>
  <c r="O27" i="37" s="1"/>
  <c r="AL34" i="37"/>
  <c r="IY23" i="115"/>
  <c r="IZ23" i="115"/>
  <c r="JA23" i="115"/>
  <c r="IY24" i="115"/>
  <c r="N31" i="37" s="1"/>
  <c r="IZ24" i="115"/>
  <c r="JA24" i="115"/>
  <c r="IY25" i="115"/>
  <c r="IZ25" i="115"/>
  <c r="JA25" i="115"/>
  <c r="IY26" i="115"/>
  <c r="IZ26" i="115"/>
  <c r="JA26" i="115"/>
  <c r="IY27" i="115"/>
  <c r="IZ27" i="115"/>
  <c r="JA27" i="115"/>
  <c r="IY28" i="115"/>
  <c r="IZ28" i="115"/>
  <c r="JA28" i="115"/>
  <c r="IY29" i="115"/>
  <c r="IZ29" i="115"/>
  <c r="JA29" i="115"/>
  <c r="IY30" i="115"/>
  <c r="IZ30" i="115"/>
  <c r="JA30" i="115"/>
  <c r="IY31" i="115"/>
  <c r="IZ31" i="115"/>
  <c r="JA31" i="115"/>
  <c r="IY32" i="115"/>
  <c r="IZ32" i="115"/>
  <c r="JA32" i="115"/>
  <c r="IY33" i="115"/>
  <c r="IZ33" i="115"/>
  <c r="JA33" i="115"/>
  <c r="IY34" i="115"/>
  <c r="IZ34" i="115"/>
  <c r="JA34" i="115"/>
  <c r="IY35" i="115"/>
  <c r="IZ35" i="115"/>
  <c r="JA35" i="115"/>
  <c r="IY36" i="115"/>
  <c r="IZ36" i="115"/>
  <c r="JA36" i="115"/>
  <c r="IY37" i="115"/>
  <c r="IZ37" i="115"/>
  <c r="JA37" i="115"/>
  <c r="IY38" i="115"/>
  <c r="IZ38" i="115"/>
  <c r="JA38" i="115"/>
  <c r="IY39" i="115"/>
  <c r="IZ39" i="115"/>
  <c r="JA39" i="115"/>
  <c r="IY40" i="115"/>
  <c r="IZ40" i="115"/>
  <c r="JA40" i="115"/>
  <c r="IY41" i="115"/>
  <c r="IZ41" i="115"/>
  <c r="JA41" i="115"/>
  <c r="IY42" i="115"/>
  <c r="IZ42" i="115"/>
  <c r="JA42" i="115"/>
  <c r="IY43" i="115"/>
  <c r="IZ43" i="115"/>
  <c r="JA43" i="115"/>
  <c r="IY44" i="115"/>
  <c r="IZ44" i="115"/>
  <c r="JA44" i="115"/>
  <c r="IY45" i="115"/>
  <c r="IZ45" i="115"/>
  <c r="JA45" i="115"/>
  <c r="IY46" i="115"/>
  <c r="IZ46" i="115"/>
  <c r="JA46" i="115"/>
  <c r="IY47" i="115"/>
  <c r="IZ47" i="115"/>
  <c r="JA47" i="115"/>
  <c r="IY48" i="115"/>
  <c r="IZ48" i="115"/>
  <c r="JA48" i="115"/>
  <c r="IY49" i="115"/>
  <c r="IZ49" i="115"/>
  <c r="JA49" i="115"/>
  <c r="IY50" i="115"/>
  <c r="IZ50" i="115"/>
  <c r="JA50" i="115"/>
  <c r="IY51" i="115"/>
  <c r="IZ51" i="115"/>
  <c r="JA51" i="115"/>
  <c r="IY52" i="115"/>
  <c r="IZ52" i="115"/>
  <c r="JA52" i="115"/>
  <c r="IY53" i="115"/>
  <c r="IZ53" i="115"/>
  <c r="JA53" i="115"/>
  <c r="IY54" i="115"/>
  <c r="IZ54" i="115"/>
  <c r="JA54" i="115"/>
  <c r="IY55" i="115"/>
  <c r="IZ55" i="115"/>
  <c r="JA55" i="115"/>
  <c r="IY4" i="115"/>
  <c r="IZ4" i="115"/>
  <c r="JA4" i="115"/>
  <c r="IY5" i="115"/>
  <c r="IZ5" i="115"/>
  <c r="JA5" i="115"/>
  <c r="IY6" i="115"/>
  <c r="IZ6" i="115"/>
  <c r="JA6" i="115"/>
  <c r="IY7" i="115"/>
  <c r="IZ7" i="115"/>
  <c r="JA7" i="115"/>
  <c r="IY8" i="115"/>
  <c r="IZ8" i="115"/>
  <c r="JA8" i="115"/>
  <c r="IY9" i="115"/>
  <c r="IZ9" i="115"/>
  <c r="JA9" i="115"/>
  <c r="IY10" i="115"/>
  <c r="IZ10" i="115"/>
  <c r="JA10" i="115"/>
  <c r="IY11" i="115"/>
  <c r="IZ11" i="115"/>
  <c r="JA11" i="115"/>
  <c r="IY12" i="115"/>
  <c r="IZ12" i="115"/>
  <c r="JA12" i="115"/>
  <c r="IY13" i="115"/>
  <c r="IZ13" i="115"/>
  <c r="JA13" i="115"/>
  <c r="IY14" i="115"/>
  <c r="IZ14" i="115"/>
  <c r="JA14" i="115"/>
  <c r="IY15" i="115"/>
  <c r="IZ15" i="115"/>
  <c r="JA15" i="115"/>
  <c r="IY16" i="115"/>
  <c r="IZ16" i="115"/>
  <c r="JA16" i="115"/>
  <c r="IY17" i="115"/>
  <c r="IZ17" i="115"/>
  <c r="JA17" i="115"/>
  <c r="IY18" i="115"/>
  <c r="IZ18" i="115"/>
  <c r="JA18" i="115"/>
  <c r="IY19" i="115"/>
  <c r="IZ19" i="115"/>
  <c r="JA19" i="115"/>
  <c r="IY20" i="115"/>
  <c r="IZ20" i="115"/>
  <c r="JA20" i="115"/>
  <c r="IY21" i="115"/>
  <c r="IZ21" i="115"/>
  <c r="JA21" i="115"/>
  <c r="IY22" i="115"/>
  <c r="IZ22" i="115"/>
  <c r="JA22" i="115"/>
  <c r="IZ3" i="115"/>
  <c r="JA3" i="115"/>
  <c r="IY3" i="115"/>
  <c r="IK4" i="115"/>
  <c r="IL4" i="115"/>
  <c r="IM4" i="115"/>
  <c r="IK5" i="115"/>
  <c r="IL5" i="115"/>
  <c r="IM5" i="115"/>
  <c r="IK6" i="115"/>
  <c r="IL6" i="115"/>
  <c r="IM6" i="115"/>
  <c r="AL18" i="37" s="1"/>
  <c r="IK7" i="115"/>
  <c r="IL7" i="115"/>
  <c r="IM7" i="115"/>
  <c r="AL17" i="37" s="1"/>
  <c r="IK8" i="115"/>
  <c r="IL8" i="115"/>
  <c r="IM8" i="115"/>
  <c r="IK9" i="115"/>
  <c r="IL9" i="115"/>
  <c r="IM9" i="115"/>
  <c r="AL19" i="37" s="1"/>
  <c r="IK10" i="115"/>
  <c r="IL10" i="115"/>
  <c r="IM10" i="115"/>
  <c r="AL22" i="37" s="1"/>
  <c r="IK11" i="115"/>
  <c r="IL11" i="115"/>
  <c r="IM11" i="115"/>
  <c r="IK12" i="115"/>
  <c r="IL12" i="115"/>
  <c r="IM12" i="115"/>
  <c r="IK13" i="115"/>
  <c r="IL13" i="115"/>
  <c r="IM13" i="115"/>
  <c r="IK14" i="115"/>
  <c r="IL14" i="115"/>
  <c r="IM14" i="115"/>
  <c r="IK15" i="115"/>
  <c r="IL15" i="115"/>
  <c r="IM15" i="115"/>
  <c r="IK16" i="115"/>
  <c r="IL16" i="115"/>
  <c r="IM16" i="115"/>
  <c r="IK17" i="115"/>
  <c r="IL17" i="115"/>
  <c r="IM17" i="115"/>
  <c r="AL24" i="37" s="1"/>
  <c r="AL23" i="37" s="1"/>
  <c r="IK18" i="115"/>
  <c r="IL18" i="115"/>
  <c r="IM18" i="115"/>
  <c r="IK19" i="115"/>
  <c r="IL19" i="115"/>
  <c r="IM19" i="115"/>
  <c r="AL51" i="37" s="1"/>
  <c r="IK20" i="115"/>
  <c r="IL20" i="115"/>
  <c r="IM20" i="115"/>
  <c r="IK21" i="115"/>
  <c r="IL21" i="115"/>
  <c r="IM21" i="115"/>
  <c r="IK22" i="115"/>
  <c r="IL22" i="115"/>
  <c r="IM22" i="115"/>
  <c r="IK23" i="115"/>
  <c r="IL23" i="115"/>
  <c r="IM23" i="115"/>
  <c r="AL39" i="37" s="1"/>
  <c r="IK24" i="115"/>
  <c r="IL24" i="115"/>
  <c r="IM24" i="115"/>
  <c r="IK25" i="115"/>
  <c r="IL25" i="115"/>
  <c r="IM25" i="115"/>
  <c r="IK26" i="115"/>
  <c r="IL26" i="115"/>
  <c r="IM26" i="115"/>
  <c r="AL40" i="37" s="1"/>
  <c r="IK27" i="115"/>
  <c r="IL27" i="115"/>
  <c r="IM27" i="115"/>
  <c r="AL41" i="37" s="1"/>
  <c r="IK28" i="115"/>
  <c r="IL28" i="115"/>
  <c r="IM28" i="115"/>
  <c r="IK29" i="115"/>
  <c r="IL29" i="115"/>
  <c r="IM29" i="115"/>
  <c r="IK30" i="115"/>
  <c r="IL30" i="115"/>
  <c r="IM30" i="115"/>
  <c r="AL42" i="37" s="1"/>
  <c r="IK31" i="115"/>
  <c r="IL31" i="115"/>
  <c r="IM31" i="115"/>
  <c r="AL44" i="37" s="1"/>
  <c r="IK32" i="115"/>
  <c r="IL32" i="115"/>
  <c r="IM32" i="115"/>
  <c r="IK33" i="115"/>
  <c r="IL33" i="115"/>
  <c r="IM33" i="115"/>
  <c r="IK34" i="115"/>
  <c r="IL34" i="115"/>
  <c r="IM34" i="115"/>
  <c r="AL45" i="37" s="1"/>
  <c r="IK35" i="115"/>
  <c r="IL35" i="115"/>
  <c r="IM35" i="115"/>
  <c r="IK36" i="115"/>
  <c r="IL36" i="115"/>
  <c r="IM36" i="115"/>
  <c r="AL46" i="37" s="1"/>
  <c r="IK37" i="115"/>
  <c r="IL37" i="115"/>
  <c r="IM37" i="115"/>
  <c r="AL47" i="37" s="1"/>
  <c r="IK38" i="115"/>
  <c r="IL38" i="115"/>
  <c r="IM38" i="115"/>
  <c r="IK39" i="115"/>
  <c r="IL39" i="115"/>
  <c r="IM39" i="115"/>
  <c r="AL48" i="37" s="1"/>
  <c r="IK40" i="115"/>
  <c r="IL40" i="115"/>
  <c r="IM40" i="115"/>
  <c r="AL49" i="37" s="1"/>
  <c r="IK41" i="115"/>
  <c r="IL41" i="115"/>
  <c r="IM41" i="115"/>
  <c r="AL50" i="37" s="1"/>
  <c r="IL3" i="115"/>
  <c r="IM3" i="115"/>
  <c r="AL15" i="37" s="1"/>
  <c r="IK3" i="115"/>
  <c r="HI3" i="115"/>
  <c r="GG3" i="114"/>
  <c r="GH3" i="114"/>
  <c r="GG4" i="114"/>
  <c r="GH4" i="114"/>
  <c r="GG5" i="114"/>
  <c r="GH5" i="114"/>
  <c r="GG6" i="114"/>
  <c r="GH6" i="114"/>
  <c r="GG7" i="114"/>
  <c r="GH7" i="114"/>
  <c r="GG8" i="114"/>
  <c r="GH8" i="114"/>
  <c r="GF4" i="114"/>
  <c r="GF5" i="114"/>
  <c r="GF6" i="114"/>
  <c r="GF7" i="114"/>
  <c r="GF8" i="114"/>
  <c r="GF3" i="114"/>
  <c r="FT4" i="114"/>
  <c r="FU4" i="114"/>
  <c r="FV4" i="114"/>
  <c r="FT5" i="114"/>
  <c r="FU5" i="114"/>
  <c r="FV5" i="114"/>
  <c r="FU3" i="114"/>
  <c r="FV3" i="114"/>
  <c r="FT3" i="114"/>
  <c r="O31" i="37" l="1"/>
  <c r="N209" i="39"/>
  <c r="AL43" i="37"/>
  <c r="AL38" i="37"/>
  <c r="N33" i="54"/>
  <c r="AL52" i="37"/>
  <c r="AL42" i="35"/>
  <c r="AL41" i="35" s="1"/>
  <c r="AL40" i="35" s="1"/>
  <c r="AL20" i="35"/>
  <c r="AL14" i="35"/>
  <c r="AL30" i="35"/>
  <c r="N41" i="37"/>
  <c r="O41" i="37" s="1"/>
  <c r="N52" i="37"/>
  <c r="N49" i="37"/>
  <c r="N245" i="39"/>
  <c r="N46" i="37"/>
  <c r="N45" i="37"/>
  <c r="N40" i="37"/>
  <c r="O40" i="37" s="1"/>
  <c r="N39" i="37"/>
  <c r="N47" i="37"/>
  <c r="N24" i="37"/>
  <c r="N50" i="37"/>
  <c r="O50" i="37" s="1"/>
  <c r="N55" i="37"/>
  <c r="O55" i="37" s="1"/>
  <c r="N48" i="37"/>
  <c r="AL16" i="37"/>
  <c r="AL14" i="37" s="1"/>
  <c r="AL12" i="37" s="1"/>
  <c r="I232" i="39"/>
  <c r="I213" i="39" s="1"/>
  <c r="M34" i="37"/>
  <c r="N42" i="37"/>
  <c r="O42" i="37" s="1"/>
  <c r="AM146" i="4"/>
  <c r="O24" i="37" l="1"/>
  <c r="N25" i="37"/>
  <c r="O25" i="37" s="1"/>
  <c r="O45" i="37"/>
  <c r="N246" i="39"/>
  <c r="O48" i="37"/>
  <c r="N249" i="39"/>
  <c r="O49" i="37"/>
  <c r="N250" i="39"/>
  <c r="O47" i="37"/>
  <c r="N248" i="39"/>
  <c r="O46" i="37"/>
  <c r="N247" i="39"/>
  <c r="M232" i="39"/>
  <c r="AL37" i="37"/>
  <c r="N43" i="37"/>
  <c r="O43" i="37" s="1"/>
  <c r="O44" i="37"/>
  <c r="O52" i="37"/>
  <c r="O39" i="37"/>
  <c r="N38" i="37"/>
  <c r="O38" i="37" s="1"/>
  <c r="O33" i="54"/>
  <c r="N32" i="54"/>
  <c r="O32" i="54" s="1"/>
  <c r="AL13" i="35"/>
  <c r="AL10" i="35" s="1"/>
  <c r="AL9" i="35" s="1"/>
  <c r="N34" i="37"/>
  <c r="O34" i="37" s="1"/>
  <c r="N232" i="39"/>
  <c r="O232" i="39" s="1"/>
  <c r="AM9" i="4"/>
  <c r="HK15" i="115"/>
  <c r="AL162" i="4"/>
  <c r="AL130" i="4"/>
  <c r="AL37" i="4"/>
  <c r="N37" i="37" l="1"/>
  <c r="O37" i="37" s="1"/>
  <c r="H190" i="39"/>
  <c r="P195" i="39"/>
  <c r="G195" i="39"/>
  <c r="F195" i="39"/>
  <c r="FM4" i="117" l="1"/>
  <c r="FN4" i="117"/>
  <c r="FO4" i="117"/>
  <c r="FP4" i="117"/>
  <c r="FM5" i="117"/>
  <c r="FN5" i="117"/>
  <c r="FO5" i="117"/>
  <c r="FP5" i="117"/>
  <c r="FM6" i="117"/>
  <c r="FN6" i="117"/>
  <c r="FO6" i="117"/>
  <c r="FP6" i="117"/>
  <c r="FM7" i="117"/>
  <c r="FN7" i="117"/>
  <c r="FO7" i="117"/>
  <c r="FP7" i="117"/>
  <c r="FM8" i="117"/>
  <c r="FN8" i="117"/>
  <c r="FO8" i="117"/>
  <c r="FP8" i="117"/>
  <c r="FM9" i="117"/>
  <c r="FN9" i="117"/>
  <c r="FO9" i="117"/>
  <c r="FP9" i="117"/>
  <c r="FM10" i="117"/>
  <c r="FN10" i="117"/>
  <c r="FO10" i="117"/>
  <c r="FP10" i="117"/>
  <c r="FM11" i="117"/>
  <c r="FN11" i="117"/>
  <c r="FO11" i="117"/>
  <c r="FP11" i="117"/>
  <c r="FM12" i="117"/>
  <c r="FN12" i="117"/>
  <c r="FO12" i="117"/>
  <c r="FP12" i="117"/>
  <c r="FM13" i="117"/>
  <c r="FN13" i="117"/>
  <c r="FO13" i="117"/>
  <c r="FP13" i="117"/>
  <c r="FM14" i="117"/>
  <c r="FN14" i="117"/>
  <c r="FO14" i="117"/>
  <c r="FP14" i="117"/>
  <c r="FM15" i="117"/>
  <c r="FN15" i="117"/>
  <c r="FO15" i="117"/>
  <c r="FP15" i="117"/>
  <c r="FM16" i="117"/>
  <c r="FN16" i="117"/>
  <c r="FO16" i="117"/>
  <c r="FP16" i="117"/>
  <c r="FM17" i="117"/>
  <c r="FN17" i="117"/>
  <c r="FO17" i="117"/>
  <c r="FP17" i="117"/>
  <c r="FM18" i="117"/>
  <c r="FN18" i="117"/>
  <c r="FO18" i="117"/>
  <c r="FP18" i="117"/>
  <c r="FM19" i="117"/>
  <c r="FN19" i="117"/>
  <c r="FO19" i="117"/>
  <c r="FP19" i="117"/>
  <c r="FM20" i="117"/>
  <c r="FN20" i="117"/>
  <c r="FO20" i="117"/>
  <c r="FP20" i="117"/>
  <c r="FM21" i="117"/>
  <c r="FN21" i="117"/>
  <c r="FO21" i="117"/>
  <c r="FP21" i="117"/>
  <c r="FM22" i="117"/>
  <c r="FN22" i="117"/>
  <c r="FO22" i="117"/>
  <c r="FP22" i="117"/>
  <c r="FM23" i="117"/>
  <c r="FN23" i="117"/>
  <c r="FO23" i="117"/>
  <c r="FP23" i="117"/>
  <c r="FM24" i="117"/>
  <c r="FN24" i="117"/>
  <c r="FO24" i="117"/>
  <c r="FP24" i="117"/>
  <c r="FM25" i="117"/>
  <c r="FN25" i="117"/>
  <c r="FO25" i="117"/>
  <c r="FP25" i="117"/>
  <c r="FM26" i="117"/>
  <c r="FN26" i="117"/>
  <c r="FO26" i="117"/>
  <c r="FP26" i="117"/>
  <c r="FM27" i="117"/>
  <c r="FN27" i="117"/>
  <c r="FO27" i="117"/>
  <c r="FP27" i="117"/>
  <c r="FM28" i="117"/>
  <c r="FN28" i="117"/>
  <c r="FO28" i="117"/>
  <c r="FP28" i="117"/>
  <c r="FM29" i="117"/>
  <c r="FN29" i="117"/>
  <c r="FO29" i="117"/>
  <c r="FP29" i="117"/>
  <c r="FM30" i="117"/>
  <c r="FN30" i="117"/>
  <c r="FO30" i="117"/>
  <c r="FP30" i="117"/>
  <c r="FM31" i="117"/>
  <c r="FN31" i="117"/>
  <c r="FO31" i="117"/>
  <c r="FP31" i="117"/>
  <c r="FM32" i="117"/>
  <c r="FN32" i="117"/>
  <c r="FO32" i="117"/>
  <c r="FP32" i="117"/>
  <c r="FM33" i="117"/>
  <c r="FN33" i="117"/>
  <c r="FO33" i="117"/>
  <c r="FP33" i="117"/>
  <c r="FM34" i="117"/>
  <c r="FN34" i="117"/>
  <c r="FO34" i="117"/>
  <c r="FP34" i="117"/>
  <c r="FM35" i="117"/>
  <c r="FN35" i="117"/>
  <c r="FO35" i="117"/>
  <c r="FP35" i="117"/>
  <c r="FM36" i="117"/>
  <c r="FN36" i="117"/>
  <c r="FO36" i="117"/>
  <c r="FP36" i="117"/>
  <c r="FM37" i="117"/>
  <c r="FN37" i="117"/>
  <c r="FO37" i="117"/>
  <c r="FP37" i="117"/>
  <c r="FM38" i="117"/>
  <c r="FN38" i="117"/>
  <c r="FO38" i="117"/>
  <c r="FP38" i="117"/>
  <c r="FM39" i="117"/>
  <c r="FN39" i="117"/>
  <c r="FO39" i="117"/>
  <c r="FP39" i="117"/>
  <c r="FM40" i="117"/>
  <c r="FN40" i="117"/>
  <c r="FO40" i="117"/>
  <c r="FP40" i="117"/>
  <c r="FM41" i="117"/>
  <c r="FN41" i="117"/>
  <c r="FO41" i="117"/>
  <c r="FP41" i="117"/>
  <c r="FM42" i="117"/>
  <c r="FN42" i="117"/>
  <c r="FO42" i="117"/>
  <c r="FP42" i="117"/>
  <c r="FM43" i="117"/>
  <c r="FN43" i="117"/>
  <c r="FO43" i="117"/>
  <c r="FP43" i="117"/>
  <c r="FM44" i="117"/>
  <c r="FN44" i="117"/>
  <c r="FO44" i="117"/>
  <c r="FP44" i="117"/>
  <c r="FM45" i="117"/>
  <c r="FN45" i="117"/>
  <c r="FO45" i="117"/>
  <c r="FP45" i="117"/>
  <c r="FM46" i="117"/>
  <c r="FN46" i="117"/>
  <c r="FO46" i="117"/>
  <c r="FP46" i="117"/>
  <c r="FM47" i="117"/>
  <c r="FN47" i="117"/>
  <c r="FO47" i="117"/>
  <c r="FP47" i="117"/>
  <c r="FM48" i="117"/>
  <c r="FN48" i="117"/>
  <c r="FO48" i="117"/>
  <c r="FP48" i="117"/>
  <c r="FM49" i="117"/>
  <c r="FN49" i="117"/>
  <c r="FO49" i="117"/>
  <c r="FP49" i="117"/>
  <c r="FM50" i="117"/>
  <c r="FN50" i="117"/>
  <c r="FO50" i="117"/>
  <c r="FP50" i="117"/>
  <c r="FM51" i="117"/>
  <c r="FN51" i="117"/>
  <c r="FO51" i="117"/>
  <c r="FP51" i="117"/>
  <c r="FM52" i="117"/>
  <c r="FN52" i="117"/>
  <c r="FO52" i="117"/>
  <c r="FP52" i="117"/>
  <c r="FM53" i="117"/>
  <c r="FN53" i="117"/>
  <c r="FO53" i="117"/>
  <c r="FP53" i="117"/>
  <c r="FM54" i="117"/>
  <c r="FN54" i="117"/>
  <c r="FO54" i="117"/>
  <c r="FP54" i="117"/>
  <c r="FM55" i="117"/>
  <c r="FN55" i="117"/>
  <c r="FO55" i="117"/>
  <c r="FP55" i="117"/>
  <c r="FM56" i="117"/>
  <c r="FN56" i="117"/>
  <c r="FO56" i="117"/>
  <c r="FP56" i="117"/>
  <c r="FM57" i="117"/>
  <c r="FN57" i="117"/>
  <c r="FO57" i="117"/>
  <c r="FP57" i="117"/>
  <c r="FM58" i="117"/>
  <c r="FN58" i="117"/>
  <c r="FO58" i="117"/>
  <c r="FP58" i="117"/>
  <c r="FM59" i="117"/>
  <c r="FN59" i="117"/>
  <c r="FO59" i="117"/>
  <c r="FP59" i="117"/>
  <c r="FM60" i="117"/>
  <c r="FN60" i="117"/>
  <c r="FO60" i="117"/>
  <c r="FP60" i="117"/>
  <c r="FM61" i="117"/>
  <c r="FN61" i="117"/>
  <c r="FO61" i="117"/>
  <c r="FP61" i="117"/>
  <c r="FM62" i="117"/>
  <c r="FN62" i="117"/>
  <c r="FO62" i="117"/>
  <c r="FP62" i="117"/>
  <c r="FM63" i="117"/>
  <c r="FN63" i="117"/>
  <c r="FO63" i="117"/>
  <c r="FP63" i="117"/>
  <c r="FM64" i="117"/>
  <c r="FN64" i="117"/>
  <c r="FO64" i="117"/>
  <c r="FP64" i="117"/>
  <c r="FM65" i="117"/>
  <c r="FN65" i="117"/>
  <c r="FO65" i="117"/>
  <c r="FP65" i="117"/>
  <c r="FM66" i="117"/>
  <c r="FN66" i="117"/>
  <c r="FO66" i="117"/>
  <c r="FP66" i="117"/>
  <c r="FM67" i="117"/>
  <c r="FN67" i="117"/>
  <c r="FO67" i="117"/>
  <c r="FP67" i="117"/>
  <c r="FM68" i="117"/>
  <c r="FN68" i="117"/>
  <c r="FO68" i="117"/>
  <c r="FP68" i="117"/>
  <c r="FM69" i="117"/>
  <c r="FN69" i="117"/>
  <c r="FO69" i="117"/>
  <c r="FP69" i="117"/>
  <c r="FM70" i="117"/>
  <c r="FN70" i="117"/>
  <c r="FO70" i="117"/>
  <c r="FP70" i="117"/>
  <c r="FM71" i="117"/>
  <c r="FN71" i="117"/>
  <c r="FO71" i="117"/>
  <c r="FP71" i="117"/>
  <c r="FM72" i="117"/>
  <c r="FN72" i="117"/>
  <c r="FO72" i="117"/>
  <c r="FP72" i="117"/>
  <c r="FM73" i="117"/>
  <c r="FN73" i="117"/>
  <c r="FO73" i="117"/>
  <c r="FP73" i="117"/>
  <c r="FM74" i="117"/>
  <c r="FN74" i="117"/>
  <c r="FO74" i="117"/>
  <c r="FP74" i="117"/>
  <c r="FM75" i="117"/>
  <c r="FN75" i="117"/>
  <c r="FO75" i="117"/>
  <c r="FP75" i="117"/>
  <c r="FM76" i="117"/>
  <c r="FN76" i="117"/>
  <c r="FO76" i="117"/>
  <c r="FP76" i="117"/>
  <c r="FM77" i="117"/>
  <c r="FN77" i="117"/>
  <c r="FO77" i="117"/>
  <c r="FP77" i="117"/>
  <c r="FM78" i="117"/>
  <c r="FN78" i="117"/>
  <c r="FO78" i="117"/>
  <c r="FP78" i="117"/>
  <c r="FM79" i="117"/>
  <c r="FN79" i="117"/>
  <c r="FO79" i="117"/>
  <c r="FP79" i="117"/>
  <c r="FM80" i="117"/>
  <c r="FN80" i="117"/>
  <c r="FO80" i="117"/>
  <c r="FP80" i="117"/>
  <c r="FM81" i="117"/>
  <c r="FN81" i="117"/>
  <c r="FO81" i="117"/>
  <c r="FP81" i="117"/>
  <c r="FM82" i="117"/>
  <c r="FN82" i="117"/>
  <c r="FO82" i="117"/>
  <c r="FP82" i="117"/>
  <c r="FM83" i="117"/>
  <c r="FN83" i="117"/>
  <c r="FO83" i="117"/>
  <c r="FP83" i="117"/>
  <c r="FM84" i="117"/>
  <c r="FN84" i="117"/>
  <c r="FO84" i="117"/>
  <c r="FP84" i="117"/>
  <c r="FM85" i="117"/>
  <c r="FN85" i="117"/>
  <c r="FO85" i="117"/>
  <c r="FP85" i="117"/>
  <c r="FM86" i="117"/>
  <c r="FN86" i="117"/>
  <c r="FO86" i="117"/>
  <c r="FP86" i="117"/>
  <c r="FM87" i="117"/>
  <c r="FN87" i="117"/>
  <c r="FO87" i="117"/>
  <c r="FP87" i="117"/>
  <c r="FM88" i="117"/>
  <c r="FN88" i="117"/>
  <c r="FO88" i="117"/>
  <c r="FP88" i="117"/>
  <c r="FM89" i="117"/>
  <c r="FN89" i="117"/>
  <c r="FO89" i="117"/>
  <c r="FP89" i="117"/>
  <c r="FM90" i="117"/>
  <c r="FN90" i="117"/>
  <c r="FO90" i="117"/>
  <c r="FP90" i="117"/>
  <c r="FM91" i="117"/>
  <c r="FN91" i="117"/>
  <c r="FO91" i="117"/>
  <c r="FP91" i="117"/>
  <c r="FM92" i="117"/>
  <c r="FN92" i="117"/>
  <c r="FO92" i="117"/>
  <c r="FP92" i="117"/>
  <c r="FM93" i="117"/>
  <c r="FN93" i="117"/>
  <c r="FO93" i="117"/>
  <c r="FP93" i="117"/>
  <c r="FM94" i="117"/>
  <c r="FN94" i="117"/>
  <c r="FO94" i="117"/>
  <c r="FP94" i="117"/>
  <c r="FM95" i="117"/>
  <c r="FN95" i="117"/>
  <c r="FO95" i="117"/>
  <c r="FP95" i="117"/>
  <c r="FM96" i="117"/>
  <c r="FN96" i="117"/>
  <c r="FO96" i="117"/>
  <c r="FP96" i="117"/>
  <c r="FM97" i="117"/>
  <c r="FN97" i="117"/>
  <c r="FO97" i="117"/>
  <c r="FP97" i="117"/>
  <c r="FM98" i="117"/>
  <c r="FN98" i="117"/>
  <c r="FO98" i="117"/>
  <c r="FP98" i="117"/>
  <c r="FM99" i="117"/>
  <c r="FN99" i="117"/>
  <c r="FO99" i="117"/>
  <c r="FP99" i="117"/>
  <c r="FM100" i="117"/>
  <c r="FN100" i="117"/>
  <c r="FO100" i="117"/>
  <c r="FP100" i="117"/>
  <c r="FM101" i="117"/>
  <c r="FN101" i="117"/>
  <c r="FO101" i="117"/>
  <c r="FP101" i="117"/>
  <c r="FM102" i="117"/>
  <c r="FN102" i="117"/>
  <c r="FO102" i="117"/>
  <c r="FP102" i="117"/>
  <c r="FM103" i="117"/>
  <c r="FN103" i="117"/>
  <c r="FO103" i="117"/>
  <c r="FP103" i="117"/>
  <c r="FM104" i="117"/>
  <c r="FN104" i="117"/>
  <c r="FO104" i="117"/>
  <c r="FP104" i="117"/>
  <c r="FM105" i="117"/>
  <c r="FN105" i="117"/>
  <c r="FO105" i="117"/>
  <c r="FP105" i="117"/>
  <c r="FM106" i="117"/>
  <c r="FN106" i="117"/>
  <c r="FO106" i="117"/>
  <c r="FP106" i="117"/>
  <c r="FM107" i="117"/>
  <c r="FN107" i="117"/>
  <c r="FO107" i="117"/>
  <c r="FP107" i="117"/>
  <c r="FM108" i="117"/>
  <c r="FN108" i="117"/>
  <c r="FO108" i="117"/>
  <c r="FP108" i="117"/>
  <c r="FM109" i="117"/>
  <c r="FN109" i="117"/>
  <c r="FO109" i="117"/>
  <c r="FP109" i="117"/>
  <c r="FM110" i="117"/>
  <c r="FN110" i="117"/>
  <c r="FO110" i="117"/>
  <c r="FP110" i="117"/>
  <c r="FM111" i="117"/>
  <c r="FN111" i="117"/>
  <c r="FO111" i="117"/>
  <c r="FP111" i="117"/>
  <c r="FM112" i="117"/>
  <c r="FN112" i="117"/>
  <c r="FO112" i="117"/>
  <c r="FP112" i="117"/>
  <c r="FM113" i="117"/>
  <c r="FN113" i="117"/>
  <c r="FO113" i="117"/>
  <c r="FP113" i="117"/>
  <c r="FM114" i="117"/>
  <c r="FN114" i="117"/>
  <c r="FO114" i="117"/>
  <c r="FP114" i="117"/>
  <c r="FM115" i="117"/>
  <c r="FN115" i="117"/>
  <c r="FO115" i="117"/>
  <c r="FP115" i="117"/>
  <c r="FM116" i="117"/>
  <c r="FN116" i="117"/>
  <c r="FO116" i="117"/>
  <c r="FP116" i="117"/>
  <c r="FM117" i="117"/>
  <c r="FN117" i="117"/>
  <c r="FO117" i="117"/>
  <c r="FP117" i="117"/>
  <c r="FM118" i="117"/>
  <c r="FN118" i="117"/>
  <c r="FO118" i="117"/>
  <c r="FP118" i="117"/>
  <c r="FM119" i="117"/>
  <c r="FN119" i="117"/>
  <c r="FO119" i="117"/>
  <c r="FP119" i="117"/>
  <c r="FM120" i="117"/>
  <c r="FN120" i="117"/>
  <c r="FO120" i="117"/>
  <c r="FP120" i="117"/>
  <c r="FM121" i="117"/>
  <c r="FN121" i="117"/>
  <c r="FO121" i="117"/>
  <c r="FP121" i="117"/>
  <c r="FM122" i="117"/>
  <c r="FN122" i="117"/>
  <c r="FO122" i="117"/>
  <c r="FP122" i="117"/>
  <c r="FM123" i="117"/>
  <c r="FN123" i="117"/>
  <c r="FO123" i="117"/>
  <c r="FP123" i="117"/>
  <c r="FM124" i="117"/>
  <c r="FN124" i="117"/>
  <c r="FO124" i="117"/>
  <c r="FP124" i="117"/>
  <c r="FM125" i="117"/>
  <c r="FN125" i="117"/>
  <c r="FO125" i="117"/>
  <c r="FP125" i="117"/>
  <c r="FM126" i="117"/>
  <c r="FN126" i="117"/>
  <c r="FO126" i="117"/>
  <c r="FP126" i="117"/>
  <c r="FM127" i="117"/>
  <c r="FN127" i="117"/>
  <c r="FO127" i="117"/>
  <c r="FP127" i="117"/>
  <c r="FM128" i="117"/>
  <c r="FN128" i="117"/>
  <c r="FO128" i="117"/>
  <c r="FP128" i="117"/>
  <c r="FM129" i="117"/>
  <c r="FN129" i="117"/>
  <c r="FO129" i="117"/>
  <c r="FP129" i="117"/>
  <c r="FM130" i="117"/>
  <c r="FN130" i="117"/>
  <c r="FO130" i="117"/>
  <c r="FP130" i="117"/>
  <c r="FM131" i="117"/>
  <c r="FN131" i="117"/>
  <c r="FO131" i="117"/>
  <c r="FP131" i="117"/>
  <c r="FM132" i="117"/>
  <c r="FN132" i="117"/>
  <c r="FO132" i="117"/>
  <c r="FP132" i="117"/>
  <c r="FM133" i="117"/>
  <c r="FN133" i="117"/>
  <c r="FO133" i="117"/>
  <c r="FP133" i="117"/>
  <c r="FM134" i="117"/>
  <c r="FN134" i="117"/>
  <c r="FO134" i="117"/>
  <c r="FP134" i="117"/>
  <c r="FM135" i="117"/>
  <c r="FN135" i="117"/>
  <c r="FO135" i="117"/>
  <c r="FP135" i="117"/>
  <c r="FM136" i="117"/>
  <c r="FN136" i="117"/>
  <c r="FO136" i="117"/>
  <c r="FP136" i="117"/>
  <c r="FM137" i="117"/>
  <c r="FN137" i="117"/>
  <c r="FO137" i="117"/>
  <c r="FP137" i="117"/>
  <c r="FM138" i="117"/>
  <c r="FN138" i="117"/>
  <c r="FO138" i="117"/>
  <c r="FP138" i="117"/>
  <c r="FM139" i="117"/>
  <c r="FN139" i="117"/>
  <c r="FO139" i="117"/>
  <c r="FP139" i="117"/>
  <c r="FM140" i="117"/>
  <c r="FN140" i="117"/>
  <c r="FO140" i="117"/>
  <c r="FP140" i="117"/>
  <c r="FM141" i="117"/>
  <c r="FN141" i="117"/>
  <c r="FO141" i="117"/>
  <c r="FP141" i="117"/>
  <c r="FM142" i="117"/>
  <c r="FN142" i="117"/>
  <c r="FO142" i="117"/>
  <c r="FP142" i="117"/>
  <c r="FM143" i="117"/>
  <c r="FN143" i="117"/>
  <c r="FO143" i="117"/>
  <c r="FP143" i="117"/>
  <c r="FM144" i="117"/>
  <c r="FN144" i="117"/>
  <c r="FO144" i="117"/>
  <c r="FP144" i="117"/>
  <c r="FM145" i="117"/>
  <c r="FN145" i="117"/>
  <c r="FO145" i="117"/>
  <c r="FP145" i="117"/>
  <c r="FM146" i="117"/>
  <c r="FN146" i="117"/>
  <c r="FO146" i="117"/>
  <c r="FP146" i="117"/>
  <c r="FM147" i="117"/>
  <c r="FN147" i="117"/>
  <c r="FO147" i="117"/>
  <c r="FP147" i="117"/>
  <c r="FM148" i="117"/>
  <c r="FN148" i="117"/>
  <c r="FO148" i="117"/>
  <c r="FP148" i="117"/>
  <c r="FM149" i="117"/>
  <c r="FN149" i="117"/>
  <c r="FO149" i="117"/>
  <c r="FP149" i="117"/>
  <c r="FM150" i="117"/>
  <c r="FN150" i="117"/>
  <c r="FO150" i="117"/>
  <c r="FP150" i="117"/>
  <c r="FM151" i="117"/>
  <c r="FN151" i="117"/>
  <c r="FO151" i="117"/>
  <c r="FP151" i="117"/>
  <c r="FM152" i="117"/>
  <c r="FN152" i="117"/>
  <c r="FO152" i="117"/>
  <c r="FP152" i="117"/>
  <c r="FN3" i="117"/>
  <c r="FO3" i="117"/>
  <c r="FP3" i="117"/>
  <c r="FM3" i="117"/>
  <c r="FC4" i="117"/>
  <c r="FC5" i="117"/>
  <c r="FC6" i="117"/>
  <c r="AL13" i="4" s="1"/>
  <c r="FC7" i="117"/>
  <c r="AL14" i="4" s="1"/>
  <c r="FC8" i="117"/>
  <c r="AL15" i="4" s="1"/>
  <c r="FC9" i="117"/>
  <c r="AL16" i="4" s="1"/>
  <c r="FC10" i="117"/>
  <c r="AL17" i="4" s="1"/>
  <c r="FC11" i="117"/>
  <c r="AL18" i="4" s="1"/>
  <c r="FC12" i="117"/>
  <c r="AL19" i="4" s="1"/>
  <c r="FC13" i="117"/>
  <c r="AL20" i="4" s="1"/>
  <c r="FC14" i="117"/>
  <c r="AL21" i="4" s="1"/>
  <c r="FC15" i="117"/>
  <c r="AL22" i="4" s="1"/>
  <c r="FC16" i="117"/>
  <c r="FC17" i="117"/>
  <c r="AL27" i="4" s="1"/>
  <c r="AL25" i="4" s="1"/>
  <c r="FC18" i="117"/>
  <c r="FC19" i="117"/>
  <c r="AL29" i="4" s="1"/>
  <c r="AL28" i="4" s="1"/>
  <c r="FC20" i="117"/>
  <c r="AL30" i="4" s="1"/>
  <c r="FC21" i="117"/>
  <c r="FC22" i="117"/>
  <c r="AL33" i="4" s="1"/>
  <c r="FC23" i="117"/>
  <c r="AL35" i="4" s="1"/>
  <c r="FC24" i="117"/>
  <c r="AL36" i="4" s="1"/>
  <c r="FC25" i="117"/>
  <c r="FC26" i="117"/>
  <c r="FC27" i="117"/>
  <c r="FC28" i="117"/>
  <c r="AL43" i="4" s="1"/>
  <c r="FC29" i="117"/>
  <c r="AL44" i="4" s="1"/>
  <c r="FC30" i="117"/>
  <c r="AL45" i="4" s="1"/>
  <c r="FC31" i="117"/>
  <c r="AL46" i="4" s="1"/>
  <c r="FC32" i="117"/>
  <c r="AL48" i="4" s="1"/>
  <c r="FC33" i="117"/>
  <c r="AL49" i="4" s="1"/>
  <c r="FC34" i="117"/>
  <c r="AL50" i="4" s="1"/>
  <c r="FC35" i="117"/>
  <c r="AL51" i="4" s="1"/>
  <c r="FC36" i="117"/>
  <c r="AL52" i="4" s="1"/>
  <c r="FC37" i="117"/>
  <c r="FC38" i="117"/>
  <c r="AL58" i="4" s="1"/>
  <c r="AL56" i="4" s="1"/>
  <c r="FC39" i="117"/>
  <c r="FC40" i="117"/>
  <c r="AL60" i="4" s="1"/>
  <c r="FC41" i="117"/>
  <c r="AL61" i="4" s="1"/>
  <c r="FC42" i="117"/>
  <c r="FC43" i="117"/>
  <c r="AL64" i="4" s="1"/>
  <c r="FC44" i="117"/>
  <c r="AL65" i="4" s="1"/>
  <c r="FC45" i="117"/>
  <c r="AL66" i="4" s="1"/>
  <c r="FC46" i="117"/>
  <c r="FC47" i="117"/>
  <c r="AL69" i="4" s="1"/>
  <c r="AL68" i="4" s="1"/>
  <c r="FC48" i="117"/>
  <c r="FC49" i="117"/>
  <c r="FC50" i="117"/>
  <c r="AL74" i="4" s="1"/>
  <c r="FC51" i="117"/>
  <c r="AL75" i="4" s="1"/>
  <c r="FC52" i="117"/>
  <c r="AL76" i="4" s="1"/>
  <c r="FC53" i="117"/>
  <c r="AL77" i="4" s="1"/>
  <c r="FC54" i="117"/>
  <c r="FC55" i="117"/>
  <c r="FC56" i="117"/>
  <c r="AL80" i="4" s="1"/>
  <c r="AL79" i="4" s="1"/>
  <c r="FC57" i="117"/>
  <c r="FC58" i="117"/>
  <c r="AL86" i="4" s="1"/>
  <c r="FC59" i="117"/>
  <c r="AL87" i="4" s="1"/>
  <c r="FC60" i="117"/>
  <c r="AL88" i="4" s="1"/>
  <c r="FC61" i="117"/>
  <c r="AL90" i="4" s="1"/>
  <c r="FC62" i="117"/>
  <c r="AL92" i="4" s="1"/>
  <c r="FC63" i="117"/>
  <c r="AL93" i="4" s="1"/>
  <c r="FC64" i="117"/>
  <c r="AL95" i="4" s="1"/>
  <c r="FC65" i="117"/>
  <c r="AL96" i="4" s="1"/>
  <c r="FC66" i="117"/>
  <c r="FC67" i="117"/>
  <c r="AL99" i="4" s="1"/>
  <c r="FC68" i="117"/>
  <c r="AL100" i="4" s="1"/>
  <c r="FC69" i="117"/>
  <c r="AL102" i="4" s="1"/>
  <c r="FC70" i="117"/>
  <c r="AL103" i="4" s="1"/>
  <c r="FC71" i="117"/>
  <c r="AL104" i="4" s="1"/>
  <c r="FC72" i="117"/>
  <c r="AL105" i="4" s="1"/>
  <c r="FC73" i="117"/>
  <c r="AL106" i="4" s="1"/>
  <c r="FC74" i="117"/>
  <c r="FC75" i="117"/>
  <c r="AL108" i="4" s="1"/>
  <c r="FC76" i="117"/>
  <c r="AL109" i="4" s="1"/>
  <c r="FC77" i="117"/>
  <c r="AL110" i="4" s="1"/>
  <c r="FC78" i="117"/>
  <c r="AL113" i="4" s="1"/>
  <c r="FC79" i="117"/>
  <c r="FC80" i="117"/>
  <c r="AL116" i="4" s="1"/>
  <c r="FC81" i="117"/>
  <c r="AL117" i="4" s="1"/>
  <c r="FC82" i="117"/>
  <c r="FC83" i="117"/>
  <c r="AL119" i="4" s="1"/>
  <c r="FC84" i="117"/>
  <c r="AL121" i="4" s="1"/>
  <c r="FC85" i="117"/>
  <c r="AL122" i="4" s="1"/>
  <c r="FC86" i="117"/>
  <c r="AL124" i="4" s="1"/>
  <c r="FC87" i="117"/>
  <c r="FC88" i="117"/>
  <c r="AL126" i="4" s="1"/>
  <c r="FC89" i="117"/>
  <c r="AL127" i="4" s="1"/>
  <c r="FC90" i="117"/>
  <c r="AL128" i="4" s="1"/>
  <c r="FC91" i="117"/>
  <c r="AL129" i="4" s="1"/>
  <c r="FC92" i="117"/>
  <c r="FC93" i="117"/>
  <c r="AL134" i="4" s="1"/>
  <c r="FC94" i="117"/>
  <c r="AL135" i="4" s="1"/>
  <c r="FC95" i="117"/>
  <c r="AL136" i="4" s="1"/>
  <c r="FC96" i="117"/>
  <c r="AL137" i="4" s="1"/>
  <c r="FC97" i="117"/>
  <c r="FC98" i="117"/>
  <c r="AL139" i="4" s="1"/>
  <c r="AL138" i="4" s="1"/>
  <c r="FC99" i="117"/>
  <c r="AL140" i="4" s="1"/>
  <c r="FC100" i="117"/>
  <c r="FC101" i="117"/>
  <c r="FC102" i="117"/>
  <c r="AL149" i="4" s="1"/>
  <c r="FC103" i="117"/>
  <c r="FC104" i="117"/>
  <c r="FC105" i="117"/>
  <c r="AL159" i="4" s="1"/>
  <c r="FC106" i="117"/>
  <c r="AL153" i="4" s="1"/>
  <c r="FC107" i="117"/>
  <c r="AL161" i="4" s="1"/>
  <c r="FC108" i="117"/>
  <c r="FC109" i="117"/>
  <c r="FC110" i="117"/>
  <c r="AL169" i="4" s="1"/>
  <c r="AL168" i="4" s="1"/>
  <c r="FC111" i="117"/>
  <c r="AL174" i="4" s="1"/>
  <c r="FC112" i="117"/>
  <c r="AL179" i="4" s="1"/>
  <c r="FC113" i="117"/>
  <c r="AL180" i="4" s="1"/>
  <c r="FC114" i="117"/>
  <c r="AL182" i="4" s="1"/>
  <c r="FC115" i="117"/>
  <c r="AL183" i="4" s="1"/>
  <c r="FC116" i="117"/>
  <c r="FC117" i="117"/>
  <c r="AL184" i="4" s="1"/>
  <c r="FC118" i="117"/>
  <c r="FC119" i="117"/>
  <c r="FC3" i="117"/>
  <c r="AK28" i="35"/>
  <c r="AK26" i="35"/>
  <c r="HP4" i="116"/>
  <c r="HQ4" i="116"/>
  <c r="HR4" i="116"/>
  <c r="HP5" i="116"/>
  <c r="HQ5" i="116"/>
  <c r="HR5" i="116"/>
  <c r="HP6" i="116"/>
  <c r="HQ6" i="116"/>
  <c r="HR6" i="116"/>
  <c r="HP7" i="116"/>
  <c r="HQ7" i="116"/>
  <c r="HR7" i="116"/>
  <c r="HP8" i="116"/>
  <c r="HQ8" i="116"/>
  <c r="HR8" i="116"/>
  <c r="HP9" i="116"/>
  <c r="HQ9" i="116"/>
  <c r="HR9" i="116"/>
  <c r="HP10" i="116"/>
  <c r="HQ10" i="116"/>
  <c r="HR10" i="116"/>
  <c r="HP11" i="116"/>
  <c r="HQ11" i="116"/>
  <c r="HR11" i="116"/>
  <c r="HP12" i="116"/>
  <c r="HQ12" i="116"/>
  <c r="HR12" i="116"/>
  <c r="HP13" i="116"/>
  <c r="HQ13" i="116"/>
  <c r="HR13" i="116"/>
  <c r="HP14" i="116"/>
  <c r="HQ14" i="116"/>
  <c r="HR14" i="116"/>
  <c r="HP15" i="116"/>
  <c r="HQ15" i="116"/>
  <c r="HR15" i="116"/>
  <c r="HP16" i="116"/>
  <c r="HQ16" i="116"/>
  <c r="HR16" i="116"/>
  <c r="HP17" i="116"/>
  <c r="HQ17" i="116"/>
  <c r="HR17" i="116"/>
  <c r="HP18" i="116"/>
  <c r="HQ18" i="116"/>
  <c r="HR18" i="116"/>
  <c r="HP19" i="116"/>
  <c r="HQ19" i="116"/>
  <c r="HR19" i="116"/>
  <c r="HP20" i="116"/>
  <c r="HQ20" i="116"/>
  <c r="HR20" i="116"/>
  <c r="HP21" i="116"/>
  <c r="HQ21" i="116"/>
  <c r="HR21" i="116"/>
  <c r="HP22" i="116"/>
  <c r="HQ22" i="116"/>
  <c r="HR22" i="116"/>
  <c r="HP23" i="116"/>
  <c r="HQ23" i="116"/>
  <c r="HR23" i="116"/>
  <c r="HP24" i="116"/>
  <c r="HQ24" i="116"/>
  <c r="HR24" i="116"/>
  <c r="HP25" i="116"/>
  <c r="HQ25" i="116"/>
  <c r="HR25" i="116"/>
  <c r="HP26" i="116"/>
  <c r="HQ26" i="116"/>
  <c r="HR26" i="116"/>
  <c r="HP27" i="116"/>
  <c r="HQ27" i="116"/>
  <c r="HR27" i="116"/>
  <c r="HP28" i="116"/>
  <c r="HQ28" i="116"/>
  <c r="HR28" i="116"/>
  <c r="HP29" i="116"/>
  <c r="HQ29" i="116"/>
  <c r="HR29" i="116"/>
  <c r="HP30" i="116"/>
  <c r="HQ30" i="116"/>
  <c r="HR30" i="116"/>
  <c r="HP31" i="116"/>
  <c r="HQ31" i="116"/>
  <c r="HR31" i="116"/>
  <c r="HP32" i="116"/>
  <c r="HQ32" i="116"/>
  <c r="HR32" i="116"/>
  <c r="HP33" i="116"/>
  <c r="HQ33" i="116"/>
  <c r="HR33" i="116"/>
  <c r="HP34" i="116"/>
  <c r="HQ34" i="116"/>
  <c r="HR34" i="116"/>
  <c r="HP35" i="116"/>
  <c r="HQ35" i="116"/>
  <c r="HR35" i="116"/>
  <c r="HP36" i="116"/>
  <c r="HQ36" i="116"/>
  <c r="HR36" i="116"/>
  <c r="HP37" i="116"/>
  <c r="HQ37" i="116"/>
  <c r="HR37" i="116"/>
  <c r="HP38" i="116"/>
  <c r="HQ38" i="116"/>
  <c r="HR38" i="116"/>
  <c r="HP39" i="116"/>
  <c r="HQ39" i="116"/>
  <c r="HR39" i="116"/>
  <c r="HP40" i="116"/>
  <c r="HQ40" i="116"/>
  <c r="HR40" i="116"/>
  <c r="HP41" i="116"/>
  <c r="HQ41" i="116"/>
  <c r="HR41" i="116"/>
  <c r="HP42" i="116"/>
  <c r="HQ42" i="116"/>
  <c r="HR42" i="116"/>
  <c r="HP43" i="116"/>
  <c r="HQ43" i="116"/>
  <c r="HR43" i="116"/>
  <c r="HP44" i="116"/>
  <c r="HQ44" i="116"/>
  <c r="HR44" i="116"/>
  <c r="HP45" i="116"/>
  <c r="HQ45" i="116"/>
  <c r="HR45" i="116"/>
  <c r="HP46" i="116"/>
  <c r="HQ46" i="116"/>
  <c r="HR46" i="116"/>
  <c r="HP47" i="116"/>
  <c r="HQ47" i="116"/>
  <c r="HR47" i="116"/>
  <c r="HP48" i="116"/>
  <c r="HQ48" i="116"/>
  <c r="HR48" i="116"/>
  <c r="HP49" i="116"/>
  <c r="HQ49" i="116"/>
  <c r="HR49" i="116"/>
  <c r="HP50" i="116"/>
  <c r="HQ50" i="116"/>
  <c r="HR50" i="116"/>
  <c r="HP51" i="116"/>
  <c r="HQ51" i="116"/>
  <c r="HR51" i="116"/>
  <c r="HP52" i="116"/>
  <c r="HQ52" i="116"/>
  <c r="HR52" i="116"/>
  <c r="HP53" i="116"/>
  <c r="HQ53" i="116"/>
  <c r="HR53" i="116"/>
  <c r="HP54" i="116"/>
  <c r="HQ54" i="116"/>
  <c r="HR54" i="116"/>
  <c r="HP55" i="116"/>
  <c r="HQ55" i="116"/>
  <c r="HR55" i="116"/>
  <c r="HQ3" i="116"/>
  <c r="HR3" i="116"/>
  <c r="HP3" i="116"/>
  <c r="HD4" i="116"/>
  <c r="HD5" i="116"/>
  <c r="AK16" i="35" s="1"/>
  <c r="HD6" i="116"/>
  <c r="AK15" i="35" s="1"/>
  <c r="HD7" i="116"/>
  <c r="HD8" i="116"/>
  <c r="HD9" i="116"/>
  <c r="HD10" i="116"/>
  <c r="AK22" i="35" s="1"/>
  <c r="HD11" i="116"/>
  <c r="AK25" i="35" s="1"/>
  <c r="HD12" i="116"/>
  <c r="AK23" i="35" s="1"/>
  <c r="HD13" i="116"/>
  <c r="AK21" i="35" s="1"/>
  <c r="HD14" i="116"/>
  <c r="HD15" i="116"/>
  <c r="HD16" i="116"/>
  <c r="HD17" i="116"/>
  <c r="HD18" i="116"/>
  <c r="AK32" i="35" s="1"/>
  <c r="AK30" i="35" s="1"/>
  <c r="HD19" i="116"/>
  <c r="HD20" i="116"/>
  <c r="HD21" i="116"/>
  <c r="HD22" i="116"/>
  <c r="AK43" i="35" s="1"/>
  <c r="HD23" i="116"/>
  <c r="AK44" i="35" s="1"/>
  <c r="HD24" i="116"/>
  <c r="AK45" i="35" s="1"/>
  <c r="HD3" i="116"/>
  <c r="Q243" i="39"/>
  <c r="P243" i="39"/>
  <c r="J252" i="39"/>
  <c r="J254" i="39"/>
  <c r="J255" i="39"/>
  <c r="H243" i="39"/>
  <c r="G42" i="37"/>
  <c r="G79" i="37" s="1"/>
  <c r="HW4" i="115"/>
  <c r="HX4" i="115"/>
  <c r="HY4" i="115"/>
  <c r="HW5" i="115"/>
  <c r="HX5" i="115"/>
  <c r="HY5" i="115"/>
  <c r="HW6" i="115"/>
  <c r="HX6" i="115"/>
  <c r="HY6" i="115"/>
  <c r="HW7" i="115"/>
  <c r="HX7" i="115"/>
  <c r="HY7" i="115"/>
  <c r="HW8" i="115"/>
  <c r="HX8" i="115"/>
  <c r="HY8" i="115"/>
  <c r="HW9" i="115"/>
  <c r="HX9" i="115"/>
  <c r="HY9" i="115"/>
  <c r="HW10" i="115"/>
  <c r="HX10" i="115"/>
  <c r="HY10" i="115"/>
  <c r="HW11" i="115"/>
  <c r="HX11" i="115"/>
  <c r="HY11" i="115"/>
  <c r="HW12" i="115"/>
  <c r="HX12" i="115"/>
  <c r="HY12" i="115"/>
  <c r="HW13" i="115"/>
  <c r="HX13" i="115"/>
  <c r="HY13" i="115"/>
  <c r="HW14" i="115"/>
  <c r="HX14" i="115"/>
  <c r="HY14" i="115"/>
  <c r="HW15" i="115"/>
  <c r="HX15" i="115"/>
  <c r="HY15" i="115"/>
  <c r="HW16" i="115"/>
  <c r="HX16" i="115"/>
  <c r="HY16" i="115"/>
  <c r="HW17" i="115"/>
  <c r="HX17" i="115"/>
  <c r="HY17" i="115"/>
  <c r="HW18" i="115"/>
  <c r="HX18" i="115"/>
  <c r="HY18" i="115"/>
  <c r="HW19" i="115"/>
  <c r="HX19" i="115"/>
  <c r="HY19" i="115"/>
  <c r="HW20" i="115"/>
  <c r="HX20" i="115"/>
  <c r="HY20" i="115"/>
  <c r="HW21" i="115"/>
  <c r="HX21" i="115"/>
  <c r="HY21" i="115"/>
  <c r="HW22" i="115"/>
  <c r="HX22" i="115"/>
  <c r="HY22" i="115"/>
  <c r="HW23" i="115"/>
  <c r="HX23" i="115"/>
  <c r="HY23" i="115"/>
  <c r="HW24" i="115"/>
  <c r="HX24" i="115"/>
  <c r="HY24" i="115"/>
  <c r="HW25" i="115"/>
  <c r="HX25" i="115"/>
  <c r="HY25" i="115"/>
  <c r="HW26" i="115"/>
  <c r="HX26" i="115"/>
  <c r="HY26" i="115"/>
  <c r="HW27" i="115"/>
  <c r="HX27" i="115"/>
  <c r="HY27" i="115"/>
  <c r="HW28" i="115"/>
  <c r="HX28" i="115"/>
  <c r="HY28" i="115"/>
  <c r="HW29" i="115"/>
  <c r="HX29" i="115"/>
  <c r="HY29" i="115"/>
  <c r="HW30" i="115"/>
  <c r="HX30" i="115"/>
  <c r="HY30" i="115"/>
  <c r="HW31" i="115"/>
  <c r="HX31" i="115"/>
  <c r="HY31" i="115"/>
  <c r="HW32" i="115"/>
  <c r="HX32" i="115"/>
  <c r="HY32" i="115"/>
  <c r="HW33" i="115"/>
  <c r="HX33" i="115"/>
  <c r="HY33" i="115"/>
  <c r="HW34" i="115"/>
  <c r="HX34" i="115"/>
  <c r="HY34" i="115"/>
  <c r="HW35" i="115"/>
  <c r="HX35" i="115"/>
  <c r="HY35" i="115"/>
  <c r="HW36" i="115"/>
  <c r="HX36" i="115"/>
  <c r="HY36" i="115"/>
  <c r="HW37" i="115"/>
  <c r="HX37" i="115"/>
  <c r="HY37" i="115"/>
  <c r="HW38" i="115"/>
  <c r="HX38" i="115"/>
  <c r="HY38" i="115"/>
  <c r="HW39" i="115"/>
  <c r="HX39" i="115"/>
  <c r="HY39" i="115"/>
  <c r="HW40" i="115"/>
  <c r="HX40" i="115"/>
  <c r="HY40" i="115"/>
  <c r="HW41" i="115"/>
  <c r="HX41" i="115"/>
  <c r="HY41" i="115"/>
  <c r="HW42" i="115"/>
  <c r="HX42" i="115"/>
  <c r="HY42" i="115"/>
  <c r="HW43" i="115"/>
  <c r="HX43" i="115"/>
  <c r="HY43" i="115"/>
  <c r="HW44" i="115"/>
  <c r="HX44" i="115"/>
  <c r="HY44" i="115"/>
  <c r="HW45" i="115"/>
  <c r="HX45" i="115"/>
  <c r="HY45" i="115"/>
  <c r="HW46" i="115"/>
  <c r="HX46" i="115"/>
  <c r="HY46" i="115"/>
  <c r="HW47" i="115"/>
  <c r="HX47" i="115"/>
  <c r="HY47" i="115"/>
  <c r="HW48" i="115"/>
  <c r="HX48" i="115"/>
  <c r="HY48" i="115"/>
  <c r="HW49" i="115"/>
  <c r="HX49" i="115"/>
  <c r="HY49" i="115"/>
  <c r="HW50" i="115"/>
  <c r="HX50" i="115"/>
  <c r="HY50" i="115"/>
  <c r="HW51" i="115"/>
  <c r="HX51" i="115"/>
  <c r="L54" i="37" s="1"/>
  <c r="HY51" i="115"/>
  <c r="HX3" i="115"/>
  <c r="HY3" i="115"/>
  <c r="HW3" i="115"/>
  <c r="HI4" i="115"/>
  <c r="HJ4" i="115"/>
  <c r="HK4" i="115"/>
  <c r="AK18" i="37" s="1"/>
  <c r="HI5" i="115"/>
  <c r="HJ5" i="115"/>
  <c r="HK5" i="115"/>
  <c r="AK20" i="37" s="1"/>
  <c r="HI6" i="115"/>
  <c r="HJ6" i="115"/>
  <c r="HK6" i="115"/>
  <c r="AK19" i="37" s="1"/>
  <c r="HI7" i="115"/>
  <c r="HJ7" i="115"/>
  <c r="HK7" i="115"/>
  <c r="AK51" i="37" s="1"/>
  <c r="HI8" i="115"/>
  <c r="HJ8" i="115"/>
  <c r="HK8" i="115"/>
  <c r="HI9" i="115"/>
  <c r="HJ9" i="115"/>
  <c r="HK9" i="115"/>
  <c r="HI10" i="115"/>
  <c r="HJ10" i="115"/>
  <c r="HK10" i="115"/>
  <c r="AK39" i="37" s="1"/>
  <c r="HI11" i="115"/>
  <c r="HJ11" i="115"/>
  <c r="HK11" i="115"/>
  <c r="AK40" i="37" s="1"/>
  <c r="HI12" i="115"/>
  <c r="HJ12" i="115"/>
  <c r="HK12" i="115"/>
  <c r="HI13" i="115"/>
  <c r="HJ13" i="115"/>
  <c r="HK13" i="115"/>
  <c r="AK41" i="37" s="1"/>
  <c r="HI14" i="115"/>
  <c r="HJ14" i="115"/>
  <c r="HK14" i="115"/>
  <c r="HI15" i="115"/>
  <c r="HJ15" i="115"/>
  <c r="AK44" i="37"/>
  <c r="HI16" i="115"/>
  <c r="HJ16" i="115"/>
  <c r="HK16" i="115"/>
  <c r="HI17" i="115"/>
  <c r="HJ17" i="115"/>
  <c r="HK17" i="115"/>
  <c r="HI18" i="115"/>
  <c r="HJ18" i="115"/>
  <c r="HK18" i="115"/>
  <c r="AK47" i="37" s="1"/>
  <c r="HI19" i="115"/>
  <c r="HJ19" i="115"/>
  <c r="HK19" i="115"/>
  <c r="AK48" i="37" s="1"/>
  <c r="HI20" i="115"/>
  <c r="HJ20" i="115"/>
  <c r="HK20" i="115"/>
  <c r="HI21" i="115"/>
  <c r="HJ21" i="115"/>
  <c r="HK21" i="115"/>
  <c r="AK49" i="37" s="1"/>
  <c r="HI22" i="115"/>
  <c r="HJ22" i="115"/>
  <c r="HK22" i="115"/>
  <c r="AK50" i="37" s="1"/>
  <c r="HJ3" i="115"/>
  <c r="HK3" i="115"/>
  <c r="O13" i="54"/>
  <c r="O14" i="54"/>
  <c r="O15" i="54"/>
  <c r="O16" i="54"/>
  <c r="O17" i="54"/>
  <c r="O18" i="54"/>
  <c r="O19" i="54"/>
  <c r="O20" i="54"/>
  <c r="O21" i="54"/>
  <c r="O22" i="54"/>
  <c r="O23" i="54"/>
  <c r="O24" i="54"/>
  <c r="O25" i="54"/>
  <c r="O26" i="54"/>
  <c r="O27" i="54"/>
  <c r="M13" i="54"/>
  <c r="M14" i="54"/>
  <c r="M15" i="54"/>
  <c r="M16" i="54"/>
  <c r="M17" i="54"/>
  <c r="M18" i="54"/>
  <c r="M19" i="54"/>
  <c r="M20" i="54"/>
  <c r="M21" i="54"/>
  <c r="M22" i="54"/>
  <c r="M23" i="54"/>
  <c r="M24" i="54"/>
  <c r="M25" i="54"/>
  <c r="M26" i="54"/>
  <c r="M27" i="54"/>
  <c r="M28" i="54"/>
  <c r="M29" i="54"/>
  <c r="M30" i="54"/>
  <c r="M31" i="54"/>
  <c r="K13" i="54"/>
  <c r="K14" i="54"/>
  <c r="K15" i="54"/>
  <c r="K16" i="54"/>
  <c r="K17" i="54"/>
  <c r="K18" i="54"/>
  <c r="K19" i="54"/>
  <c r="K20" i="54"/>
  <c r="K21" i="54"/>
  <c r="K22" i="54"/>
  <c r="K23" i="54"/>
  <c r="K24" i="54"/>
  <c r="K25" i="54"/>
  <c r="K26" i="54"/>
  <c r="K27" i="54"/>
  <c r="K28" i="54"/>
  <c r="K29" i="54"/>
  <c r="K30" i="54"/>
  <c r="K31" i="54"/>
  <c r="FH4" i="114"/>
  <c r="FI4" i="114"/>
  <c r="FJ4" i="114"/>
  <c r="FH5" i="114"/>
  <c r="FI5" i="114"/>
  <c r="FJ5" i="114"/>
  <c r="FH6" i="114"/>
  <c r="FI6" i="114"/>
  <c r="L34" i="54" s="1"/>
  <c r="FJ6" i="114"/>
  <c r="FH7" i="114"/>
  <c r="FI7" i="114"/>
  <c r="FJ7" i="114"/>
  <c r="FH8" i="114"/>
  <c r="FI8" i="114"/>
  <c r="FJ8" i="114"/>
  <c r="FI3" i="114"/>
  <c r="FJ3" i="114"/>
  <c r="FH3" i="114"/>
  <c r="EX3" i="114"/>
  <c r="AK57" i="54" s="1"/>
  <c r="AK35" i="54" s="1"/>
  <c r="AK34" i="54" s="1"/>
  <c r="AK9" i="54" s="1"/>
  <c r="L277" i="39" l="1"/>
  <c r="N54" i="37"/>
  <c r="R243" i="39"/>
  <c r="AK38" i="37"/>
  <c r="AK43" i="37"/>
  <c r="AL118" i="4"/>
  <c r="AL115" i="4"/>
  <c r="AL59" i="4"/>
  <c r="AL63" i="4"/>
  <c r="L243" i="39"/>
  <c r="I243" i="39"/>
  <c r="AL156" i="4"/>
  <c r="AL155" i="4" s="1"/>
  <c r="AL151" i="4"/>
  <c r="AL147" i="4" s="1"/>
  <c r="AL125" i="4"/>
  <c r="AL32" i="4"/>
  <c r="AL12" i="4"/>
  <c r="AL133" i="4"/>
  <c r="AL42" i="4"/>
  <c r="AL107" i="4"/>
  <c r="AL98" i="4"/>
  <c r="AL85" i="4"/>
  <c r="AL73" i="4"/>
  <c r="AL72" i="4" s="1"/>
  <c r="AK17" i="37"/>
  <c r="AK16" i="37" s="1"/>
  <c r="AK14" i="37" s="1"/>
  <c r="AK12" i="37" s="1"/>
  <c r="HK23" i="115"/>
  <c r="AK52" i="37"/>
  <c r="FC120" i="117"/>
  <c r="AK20" i="35"/>
  <c r="AK42" i="35"/>
  <c r="AK41" i="35" s="1"/>
  <c r="AK40" i="35" s="1"/>
  <c r="AK14" i="35"/>
  <c r="M243" i="39" l="1"/>
  <c r="AK37" i="37"/>
  <c r="AL41" i="4"/>
  <c r="AL78" i="4"/>
  <c r="AL11" i="4"/>
  <c r="AL146" i="4"/>
  <c r="N243" i="39"/>
  <c r="O243" i="39" s="1"/>
  <c r="AK13" i="35"/>
  <c r="AK10" i="35" s="1"/>
  <c r="AK9" i="35" s="1"/>
  <c r="AL10" i="4" l="1"/>
  <c r="AL9" i="4" s="1"/>
  <c r="AK163" i="4"/>
  <c r="AK164" i="4"/>
  <c r="AK165" i="4"/>
  <c r="AK166" i="4"/>
  <c r="AK178" i="4"/>
  <c r="AK183" i="4"/>
  <c r="AK184" i="4"/>
  <c r="AK185" i="4"/>
  <c r="AK186" i="4"/>
  <c r="ES4" i="117"/>
  <c r="ET4" i="117"/>
  <c r="EU4" i="117"/>
  <c r="EV4" i="117"/>
  <c r="ES5" i="117"/>
  <c r="ET5" i="117"/>
  <c r="EU5" i="117"/>
  <c r="EV5" i="117"/>
  <c r="ES6" i="117"/>
  <c r="ET6" i="117"/>
  <c r="EU6" i="117"/>
  <c r="EV6" i="117"/>
  <c r="ES7" i="117"/>
  <c r="ET7" i="117"/>
  <c r="EU7" i="117"/>
  <c r="EV7" i="117"/>
  <c r="ES8" i="117"/>
  <c r="ET8" i="117"/>
  <c r="EU8" i="117"/>
  <c r="EV8" i="117"/>
  <c r="ES9" i="117"/>
  <c r="ET9" i="117"/>
  <c r="EU9" i="117"/>
  <c r="EV9" i="117"/>
  <c r="ES10" i="117"/>
  <c r="ET10" i="117"/>
  <c r="EU10" i="117"/>
  <c r="EV10" i="117"/>
  <c r="ES11" i="117"/>
  <c r="ET11" i="117"/>
  <c r="EU11" i="117"/>
  <c r="EV11" i="117"/>
  <c r="ES12" i="117"/>
  <c r="ET12" i="117"/>
  <c r="EU12" i="117"/>
  <c r="EV12" i="117"/>
  <c r="ES13" i="117"/>
  <c r="ET13" i="117"/>
  <c r="EU13" i="117"/>
  <c r="EV13" i="117"/>
  <c r="ES14" i="117"/>
  <c r="ET14" i="117"/>
  <c r="EU14" i="117"/>
  <c r="EV14" i="117"/>
  <c r="ES15" i="117"/>
  <c r="ET15" i="117"/>
  <c r="EU15" i="117"/>
  <c r="EV15" i="117"/>
  <c r="ES16" i="117"/>
  <c r="ET16" i="117"/>
  <c r="EU16" i="117"/>
  <c r="EV16" i="117"/>
  <c r="ES17" i="117"/>
  <c r="ET17" i="117"/>
  <c r="EU17" i="117"/>
  <c r="EV17" i="117"/>
  <c r="ES18" i="117"/>
  <c r="ET18" i="117"/>
  <c r="EU18" i="117"/>
  <c r="EV18" i="117"/>
  <c r="ES19" i="117"/>
  <c r="ET19" i="117"/>
  <c r="EU19" i="117"/>
  <c r="EV19" i="117"/>
  <c r="ES20" i="117"/>
  <c r="ET20" i="117"/>
  <c r="EU20" i="117"/>
  <c r="EV20" i="117"/>
  <c r="ES21" i="117"/>
  <c r="ET21" i="117"/>
  <c r="EU21" i="117"/>
  <c r="EV21" i="117"/>
  <c r="ES22" i="117"/>
  <c r="ET22" i="117"/>
  <c r="EU22" i="117"/>
  <c r="EV22" i="117"/>
  <c r="ES23" i="117"/>
  <c r="ET23" i="117"/>
  <c r="EU23" i="117"/>
  <c r="EV23" i="117"/>
  <c r="ES24" i="117"/>
  <c r="ET24" i="117"/>
  <c r="EU24" i="117"/>
  <c r="EV24" i="117"/>
  <c r="ES25" i="117"/>
  <c r="ET25" i="117"/>
  <c r="EU25" i="117"/>
  <c r="EV25" i="117"/>
  <c r="ES26" i="117"/>
  <c r="ET26" i="117"/>
  <c r="EU26" i="117"/>
  <c r="EV26" i="117"/>
  <c r="ES27" i="117"/>
  <c r="ET27" i="117"/>
  <c r="EU27" i="117"/>
  <c r="EV27" i="117"/>
  <c r="ES28" i="117"/>
  <c r="ET28" i="117"/>
  <c r="EU28" i="117"/>
  <c r="EV28" i="117"/>
  <c r="ES29" i="117"/>
  <c r="ET29" i="117"/>
  <c r="EU29" i="117"/>
  <c r="EV29" i="117"/>
  <c r="ES30" i="117"/>
  <c r="ET30" i="117"/>
  <c r="EU30" i="117"/>
  <c r="EV30" i="117"/>
  <c r="ES31" i="117"/>
  <c r="ET31" i="117"/>
  <c r="EU31" i="117"/>
  <c r="EV31" i="117"/>
  <c r="ES32" i="117"/>
  <c r="ET32" i="117"/>
  <c r="EU32" i="117"/>
  <c r="EV32" i="117"/>
  <c r="ES33" i="117"/>
  <c r="ET33" i="117"/>
  <c r="EU33" i="117"/>
  <c r="EV33" i="117"/>
  <c r="ES34" i="117"/>
  <c r="ET34" i="117"/>
  <c r="EU34" i="117"/>
  <c r="EV34" i="117"/>
  <c r="ES35" i="117"/>
  <c r="ET35" i="117"/>
  <c r="EU35" i="117"/>
  <c r="EV35" i="117"/>
  <c r="ES36" i="117"/>
  <c r="ET36" i="117"/>
  <c r="EU36" i="117"/>
  <c r="EV36" i="117"/>
  <c r="ES37" i="117"/>
  <c r="ET37" i="117"/>
  <c r="EU37" i="117"/>
  <c r="EV37" i="117"/>
  <c r="ES38" i="117"/>
  <c r="ET38" i="117"/>
  <c r="EU38" i="117"/>
  <c r="EV38" i="117"/>
  <c r="ES39" i="117"/>
  <c r="ET39" i="117"/>
  <c r="EU39" i="117"/>
  <c r="EV39" i="117"/>
  <c r="ES40" i="117"/>
  <c r="ET40" i="117"/>
  <c r="EU40" i="117"/>
  <c r="EV40" i="117"/>
  <c r="ES41" i="117"/>
  <c r="ET41" i="117"/>
  <c r="EU41" i="117"/>
  <c r="EV41" i="117"/>
  <c r="ES42" i="117"/>
  <c r="ET42" i="117"/>
  <c r="EU42" i="117"/>
  <c r="EV42" i="117"/>
  <c r="ES43" i="117"/>
  <c r="ET43" i="117"/>
  <c r="EU43" i="117"/>
  <c r="EV43" i="117"/>
  <c r="ES44" i="117"/>
  <c r="ET44" i="117"/>
  <c r="EU44" i="117"/>
  <c r="EV44" i="117"/>
  <c r="ES45" i="117"/>
  <c r="ET45" i="117"/>
  <c r="EU45" i="117"/>
  <c r="EV45" i="117"/>
  <c r="ES46" i="117"/>
  <c r="ET46" i="117"/>
  <c r="EU46" i="117"/>
  <c r="EV46" i="117"/>
  <c r="ES47" i="117"/>
  <c r="ET47" i="117"/>
  <c r="EU47" i="117"/>
  <c r="EV47" i="117"/>
  <c r="ES48" i="117"/>
  <c r="ET48" i="117"/>
  <c r="EU48" i="117"/>
  <c r="EV48" i="117"/>
  <c r="ES49" i="117"/>
  <c r="ET49" i="117"/>
  <c r="EU49" i="117"/>
  <c r="EV49" i="117"/>
  <c r="ES50" i="117"/>
  <c r="ET50" i="117"/>
  <c r="EU50" i="117"/>
  <c r="EV50" i="117"/>
  <c r="ES51" i="117"/>
  <c r="ET51" i="117"/>
  <c r="EU51" i="117"/>
  <c r="EV51" i="117"/>
  <c r="ES52" i="117"/>
  <c r="ET52" i="117"/>
  <c r="EU52" i="117"/>
  <c r="EV52" i="117"/>
  <c r="ES53" i="117"/>
  <c r="ET53" i="117"/>
  <c r="EU53" i="117"/>
  <c r="EV53" i="117"/>
  <c r="ES54" i="117"/>
  <c r="ET54" i="117"/>
  <c r="EU54" i="117"/>
  <c r="EV54" i="117"/>
  <c r="ES55" i="117"/>
  <c r="ET55" i="117"/>
  <c r="EU55" i="117"/>
  <c r="EV55" i="117"/>
  <c r="ES56" i="117"/>
  <c r="ET56" i="117"/>
  <c r="EU56" i="117"/>
  <c r="EV56" i="117"/>
  <c r="ES57" i="117"/>
  <c r="ET57" i="117"/>
  <c r="EU57" i="117"/>
  <c r="EV57" i="117"/>
  <c r="ES58" i="117"/>
  <c r="ET58" i="117"/>
  <c r="EU58" i="117"/>
  <c r="EV58" i="117"/>
  <c r="ES59" i="117"/>
  <c r="ET59" i="117"/>
  <c r="EU59" i="117"/>
  <c r="EV59" i="117"/>
  <c r="ES60" i="117"/>
  <c r="ET60" i="117"/>
  <c r="EU60" i="117"/>
  <c r="EV60" i="117"/>
  <c r="ES61" i="117"/>
  <c r="ET61" i="117"/>
  <c r="EU61" i="117"/>
  <c r="EV61" i="117"/>
  <c r="ES62" i="117"/>
  <c r="ET62" i="117"/>
  <c r="EU62" i="117"/>
  <c r="EV62" i="117"/>
  <c r="ES63" i="117"/>
  <c r="ET63" i="117"/>
  <c r="EU63" i="117"/>
  <c r="EV63" i="117"/>
  <c r="ES64" i="117"/>
  <c r="ET64" i="117"/>
  <c r="EU64" i="117"/>
  <c r="EV64" i="117"/>
  <c r="ES65" i="117"/>
  <c r="ET65" i="117"/>
  <c r="EU65" i="117"/>
  <c r="EV65" i="117"/>
  <c r="ES66" i="117"/>
  <c r="ET66" i="117"/>
  <c r="EU66" i="117"/>
  <c r="EV66" i="117"/>
  <c r="ES67" i="117"/>
  <c r="ET67" i="117"/>
  <c r="EU67" i="117"/>
  <c r="EV67" i="117"/>
  <c r="ES68" i="117"/>
  <c r="ET68" i="117"/>
  <c r="EU68" i="117"/>
  <c r="EV68" i="117"/>
  <c r="ES69" i="117"/>
  <c r="ET69" i="117"/>
  <c r="EU69" i="117"/>
  <c r="EV69" i="117"/>
  <c r="ES70" i="117"/>
  <c r="ET70" i="117"/>
  <c r="EU70" i="117"/>
  <c r="EV70" i="117"/>
  <c r="ES71" i="117"/>
  <c r="ET71" i="117"/>
  <c r="EU71" i="117"/>
  <c r="EV71" i="117"/>
  <c r="ES72" i="117"/>
  <c r="ET72" i="117"/>
  <c r="EU72" i="117"/>
  <c r="EV72" i="117"/>
  <c r="ES73" i="117"/>
  <c r="ET73" i="117"/>
  <c r="EU73" i="117"/>
  <c r="EV73" i="117"/>
  <c r="ES74" i="117"/>
  <c r="I88" i="39" s="1"/>
  <c r="ET74" i="117"/>
  <c r="EU74" i="117"/>
  <c r="EV74" i="117"/>
  <c r="ES75" i="117"/>
  <c r="ET75" i="117"/>
  <c r="EU75" i="117"/>
  <c r="EV75" i="117"/>
  <c r="ES76" i="117"/>
  <c r="ET76" i="117"/>
  <c r="EU76" i="117"/>
  <c r="EV76" i="117"/>
  <c r="ES77" i="117"/>
  <c r="ET77" i="117"/>
  <c r="EU77" i="117"/>
  <c r="EV77" i="117"/>
  <c r="ES78" i="117"/>
  <c r="ET78" i="117"/>
  <c r="EU78" i="117"/>
  <c r="EV78" i="117"/>
  <c r="ES79" i="117"/>
  <c r="ET79" i="117"/>
  <c r="EU79" i="117"/>
  <c r="EV79" i="117"/>
  <c r="ES80" i="117"/>
  <c r="ET80" i="117"/>
  <c r="EU80" i="117"/>
  <c r="EV80" i="117"/>
  <c r="ES81" i="117"/>
  <c r="ET81" i="117"/>
  <c r="EU81" i="117"/>
  <c r="EV81" i="117"/>
  <c r="ES82" i="117"/>
  <c r="ET82" i="117"/>
  <c r="EU82" i="117"/>
  <c r="EV82" i="117"/>
  <c r="ES83" i="117"/>
  <c r="ET83" i="117"/>
  <c r="EU83" i="117"/>
  <c r="EV83" i="117"/>
  <c r="ES84" i="117"/>
  <c r="ET84" i="117"/>
  <c r="EU84" i="117"/>
  <c r="EV84" i="117"/>
  <c r="ES85" i="117"/>
  <c r="ET85" i="117"/>
  <c r="EU85" i="117"/>
  <c r="EV85" i="117"/>
  <c r="ES86" i="117"/>
  <c r="ET86" i="117"/>
  <c r="EU86" i="117"/>
  <c r="EV86" i="117"/>
  <c r="ES87" i="117"/>
  <c r="ET87" i="117"/>
  <c r="EU87" i="117"/>
  <c r="EV87" i="117"/>
  <c r="ES88" i="117"/>
  <c r="ET88" i="117"/>
  <c r="EU88" i="117"/>
  <c r="EV88" i="117"/>
  <c r="ES89" i="117"/>
  <c r="ET89" i="117"/>
  <c r="EU89" i="117"/>
  <c r="EV89" i="117"/>
  <c r="ES90" i="117"/>
  <c r="ET90" i="117"/>
  <c r="EU90" i="117"/>
  <c r="EV90" i="117"/>
  <c r="ES91" i="117"/>
  <c r="ET91" i="117"/>
  <c r="EU91" i="117"/>
  <c r="EV91" i="117"/>
  <c r="ES92" i="117"/>
  <c r="ET92" i="117"/>
  <c r="EU92" i="117"/>
  <c r="EV92" i="117"/>
  <c r="ES93" i="117"/>
  <c r="ET93" i="117"/>
  <c r="EU93" i="117"/>
  <c r="EV93" i="117"/>
  <c r="ES94" i="117"/>
  <c r="ET94" i="117"/>
  <c r="EU94" i="117"/>
  <c r="EV94" i="117"/>
  <c r="ES95" i="117"/>
  <c r="ET95" i="117"/>
  <c r="EU95" i="117"/>
  <c r="EV95" i="117"/>
  <c r="ES96" i="117"/>
  <c r="ET96" i="117"/>
  <c r="EU96" i="117"/>
  <c r="EV96" i="117"/>
  <c r="ES97" i="117"/>
  <c r="ET97" i="117"/>
  <c r="EU97" i="117"/>
  <c r="EV97" i="117"/>
  <c r="ES98" i="117"/>
  <c r="ET98" i="117"/>
  <c r="EU98" i="117"/>
  <c r="EV98" i="117"/>
  <c r="ES99" i="117"/>
  <c r="ET99" i="117"/>
  <c r="EU99" i="117"/>
  <c r="EV99" i="117"/>
  <c r="ES100" i="117"/>
  <c r="ET100" i="117"/>
  <c r="EU100" i="117"/>
  <c r="EV100" i="117"/>
  <c r="ES101" i="117"/>
  <c r="ET101" i="117"/>
  <c r="EU101" i="117"/>
  <c r="EV101" i="117"/>
  <c r="ES102" i="117"/>
  <c r="ET102" i="117"/>
  <c r="EU102" i="117"/>
  <c r="EV102" i="117"/>
  <c r="ES103" i="117"/>
  <c r="ET103" i="117"/>
  <c r="EU103" i="117"/>
  <c r="EV103" i="117"/>
  <c r="ES104" i="117"/>
  <c r="ET104" i="117"/>
  <c r="EU104" i="117"/>
  <c r="EV104" i="117"/>
  <c r="ES105" i="117"/>
  <c r="ET105" i="117"/>
  <c r="EU105" i="117"/>
  <c r="EV105" i="117"/>
  <c r="ES106" i="117"/>
  <c r="ET106" i="117"/>
  <c r="EU106" i="117"/>
  <c r="EV106" i="117"/>
  <c r="ES107" i="117"/>
  <c r="ET107" i="117"/>
  <c r="EU107" i="117"/>
  <c r="EV107" i="117"/>
  <c r="ES108" i="117"/>
  <c r="ET108" i="117"/>
  <c r="EU108" i="117"/>
  <c r="EV108" i="117"/>
  <c r="ES109" i="117"/>
  <c r="ET109" i="117"/>
  <c r="EU109" i="117"/>
  <c r="EV109" i="117"/>
  <c r="ES110" i="117"/>
  <c r="ET110" i="117"/>
  <c r="EU110" i="117"/>
  <c r="EV110" i="117"/>
  <c r="ES111" i="117"/>
  <c r="ET111" i="117"/>
  <c r="EU111" i="117"/>
  <c r="EV111" i="117"/>
  <c r="ES112" i="117"/>
  <c r="ET112" i="117"/>
  <c r="EU112" i="117"/>
  <c r="EV112" i="117"/>
  <c r="ES113" i="117"/>
  <c r="ET113" i="117"/>
  <c r="EU113" i="117"/>
  <c r="EV113" i="117"/>
  <c r="ES114" i="117"/>
  <c r="ET114" i="117"/>
  <c r="EU114" i="117"/>
  <c r="EV114" i="117"/>
  <c r="ES115" i="117"/>
  <c r="ET115" i="117"/>
  <c r="EU115" i="117"/>
  <c r="EV115" i="117"/>
  <c r="ES116" i="117"/>
  <c r="ET116" i="117"/>
  <c r="EU116" i="117"/>
  <c r="EV116" i="117"/>
  <c r="ES117" i="117"/>
  <c r="ET117" i="117"/>
  <c r="EU117" i="117"/>
  <c r="EV117" i="117"/>
  <c r="ES118" i="117"/>
  <c r="ET118" i="117"/>
  <c r="EU118" i="117"/>
  <c r="EV118" i="117"/>
  <c r="ES119" i="117"/>
  <c r="ET119" i="117"/>
  <c r="EU119" i="117"/>
  <c r="EV119" i="117"/>
  <c r="ES120" i="117"/>
  <c r="ET120" i="117"/>
  <c r="EU120" i="117"/>
  <c r="EV120" i="117"/>
  <c r="ES121" i="117"/>
  <c r="ET121" i="117"/>
  <c r="EU121" i="117"/>
  <c r="EV121" i="117"/>
  <c r="ES122" i="117"/>
  <c r="ET122" i="117"/>
  <c r="EU122" i="117"/>
  <c r="EV122" i="117"/>
  <c r="ES123" i="117"/>
  <c r="ET123" i="117"/>
  <c r="EU123" i="117"/>
  <c r="EV123" i="117"/>
  <c r="ES124" i="117"/>
  <c r="ET124" i="117"/>
  <c r="EU124" i="117"/>
  <c r="EV124" i="117"/>
  <c r="ES125" i="117"/>
  <c r="ET125" i="117"/>
  <c r="EU125" i="117"/>
  <c r="EV125" i="117"/>
  <c r="ES126" i="117"/>
  <c r="ET126" i="117"/>
  <c r="EU126" i="117"/>
  <c r="EV126" i="117"/>
  <c r="ES127" i="117"/>
  <c r="ET127" i="117"/>
  <c r="EU127" i="117"/>
  <c r="EV127" i="117"/>
  <c r="ES128" i="117"/>
  <c r="ET128" i="117"/>
  <c r="EU128" i="117"/>
  <c r="EV128" i="117"/>
  <c r="ES129" i="117"/>
  <c r="ET129" i="117"/>
  <c r="EU129" i="117"/>
  <c r="EV129" i="117"/>
  <c r="ES130" i="117"/>
  <c r="ET130" i="117"/>
  <c r="EU130" i="117"/>
  <c r="EV130" i="117"/>
  <c r="ES131" i="117"/>
  <c r="ET131" i="117"/>
  <c r="EU131" i="117"/>
  <c r="EV131" i="117"/>
  <c r="ES132" i="117"/>
  <c r="ET132" i="117"/>
  <c r="EU132" i="117"/>
  <c r="EV132" i="117"/>
  <c r="ES133" i="117"/>
  <c r="ET133" i="117"/>
  <c r="EU133" i="117"/>
  <c r="EV133" i="117"/>
  <c r="ES134" i="117"/>
  <c r="ET134" i="117"/>
  <c r="EU134" i="117"/>
  <c r="EV134" i="117"/>
  <c r="ES135" i="117"/>
  <c r="ET135" i="117"/>
  <c r="EU135" i="117"/>
  <c r="EV135" i="117"/>
  <c r="ES136" i="117"/>
  <c r="ET136" i="117"/>
  <c r="EU136" i="117"/>
  <c r="EV136" i="117"/>
  <c r="ES137" i="117"/>
  <c r="ET137" i="117"/>
  <c r="EU137" i="117"/>
  <c r="EV137" i="117"/>
  <c r="ES138" i="117"/>
  <c r="ET138" i="117"/>
  <c r="EU138" i="117"/>
  <c r="EV138" i="117"/>
  <c r="ES139" i="117"/>
  <c r="ET139" i="117"/>
  <c r="EU139" i="117"/>
  <c r="EV139" i="117"/>
  <c r="ES140" i="117"/>
  <c r="ET140" i="117"/>
  <c r="EU140" i="117"/>
  <c r="EV140" i="117"/>
  <c r="ES141" i="117"/>
  <c r="ET141" i="117"/>
  <c r="EU141" i="117"/>
  <c r="EV141" i="117"/>
  <c r="ES142" i="117"/>
  <c r="ET142" i="117"/>
  <c r="EU142" i="117"/>
  <c r="EV142" i="117"/>
  <c r="ES143" i="117"/>
  <c r="ET143" i="117"/>
  <c r="EU143" i="117"/>
  <c r="EV143" i="117"/>
  <c r="ES144" i="117"/>
  <c r="ET144" i="117"/>
  <c r="EU144" i="117"/>
  <c r="EV144" i="117"/>
  <c r="ES145" i="117"/>
  <c r="ET145" i="117"/>
  <c r="EU145" i="117"/>
  <c r="EV145" i="117"/>
  <c r="ES146" i="117"/>
  <c r="ET146" i="117"/>
  <c r="EU146" i="117"/>
  <c r="EV146" i="117"/>
  <c r="ES147" i="117"/>
  <c r="ET147" i="117"/>
  <c r="EU147" i="117"/>
  <c r="EV147" i="117"/>
  <c r="ET3" i="117"/>
  <c r="EU3" i="117"/>
  <c r="EV3" i="117"/>
  <c r="ES3" i="117"/>
  <c r="EJ4" i="117"/>
  <c r="EJ5" i="117"/>
  <c r="EJ6" i="117"/>
  <c r="AK13" i="4" s="1"/>
  <c r="EJ7" i="117"/>
  <c r="AK14" i="4" s="1"/>
  <c r="EJ8" i="117"/>
  <c r="AK15" i="4" s="1"/>
  <c r="EJ9" i="117"/>
  <c r="AK16" i="4" s="1"/>
  <c r="EJ10" i="117"/>
  <c r="AK17" i="4" s="1"/>
  <c r="EJ11" i="117"/>
  <c r="EJ12" i="117"/>
  <c r="EJ13" i="117"/>
  <c r="EJ14" i="117"/>
  <c r="AK21" i="4" s="1"/>
  <c r="EJ15" i="117"/>
  <c r="EJ16" i="117"/>
  <c r="EJ17" i="117"/>
  <c r="EJ18" i="117"/>
  <c r="EJ19" i="117"/>
  <c r="EJ20" i="117"/>
  <c r="EJ21" i="117"/>
  <c r="EJ22" i="117"/>
  <c r="AK33" i="4" s="1"/>
  <c r="EJ23" i="117"/>
  <c r="EJ24" i="117"/>
  <c r="EJ25" i="117"/>
  <c r="AK38" i="4" s="1"/>
  <c r="EJ26" i="117"/>
  <c r="EJ27" i="117"/>
  <c r="EJ28" i="117"/>
  <c r="AK43" i="4" s="1"/>
  <c r="EJ29" i="117"/>
  <c r="EJ30" i="117"/>
  <c r="AK45" i="4" s="1"/>
  <c r="EJ31" i="117"/>
  <c r="EJ32" i="117"/>
  <c r="EJ33" i="117"/>
  <c r="AK49" i="4" s="1"/>
  <c r="EJ34" i="117"/>
  <c r="AK50" i="4" s="1"/>
  <c r="EJ35" i="117"/>
  <c r="EJ36" i="117"/>
  <c r="EJ37" i="117"/>
  <c r="EJ38" i="117"/>
  <c r="EJ39" i="117"/>
  <c r="EJ40" i="117"/>
  <c r="EJ41" i="117"/>
  <c r="AK60" i="4" s="1"/>
  <c r="EJ42" i="117"/>
  <c r="AK61" i="4" s="1"/>
  <c r="EJ43" i="117"/>
  <c r="EJ44" i="117"/>
  <c r="AK64" i="4" s="1"/>
  <c r="EJ45" i="117"/>
  <c r="AK65" i="4" s="1"/>
  <c r="EJ46" i="117"/>
  <c r="AK66" i="4" s="1"/>
  <c r="EJ47" i="117"/>
  <c r="EJ48" i="117"/>
  <c r="EJ49" i="117"/>
  <c r="EJ50" i="117"/>
  <c r="EJ51" i="117"/>
  <c r="EJ52" i="117"/>
  <c r="EJ53" i="117"/>
  <c r="AK76" i="4" s="1"/>
  <c r="EJ54" i="117"/>
  <c r="AK77" i="4" s="1"/>
  <c r="EJ55" i="117"/>
  <c r="EJ56" i="117"/>
  <c r="EJ57" i="117"/>
  <c r="EJ58" i="117"/>
  <c r="EJ59" i="117"/>
  <c r="EJ60" i="117"/>
  <c r="EJ61" i="117"/>
  <c r="EJ62" i="117"/>
  <c r="AK87" i="4" s="1"/>
  <c r="EJ63" i="117"/>
  <c r="AK88" i="4" s="1"/>
  <c r="EJ64" i="117"/>
  <c r="EJ65" i="117"/>
  <c r="EJ66" i="117"/>
  <c r="AK94" i="4" s="1"/>
  <c r="EJ67" i="117"/>
  <c r="EJ68" i="117"/>
  <c r="EJ69" i="117"/>
  <c r="EJ70" i="117"/>
  <c r="AK99" i="4" s="1"/>
  <c r="EJ71" i="117"/>
  <c r="AK100" i="4" s="1"/>
  <c r="EJ72" i="117"/>
  <c r="EJ73" i="117"/>
  <c r="EJ74" i="117"/>
  <c r="EJ75" i="117"/>
  <c r="EJ76" i="117"/>
  <c r="AK105" i="4" s="1"/>
  <c r="EJ77" i="117"/>
  <c r="AK106" i="4" s="1"/>
  <c r="EJ78" i="117"/>
  <c r="EJ79" i="117"/>
  <c r="AK108" i="4" s="1"/>
  <c r="EJ80" i="117"/>
  <c r="AK109" i="4" s="1"/>
  <c r="EJ81" i="117"/>
  <c r="AK113" i="4" s="1"/>
  <c r="EJ82" i="117"/>
  <c r="EJ83" i="117"/>
  <c r="EJ84" i="117"/>
  <c r="EJ85" i="117"/>
  <c r="EJ86" i="117"/>
  <c r="AK119" i="4" s="1"/>
  <c r="EJ87" i="117"/>
  <c r="AK121" i="4" s="1"/>
  <c r="EJ88" i="117"/>
  <c r="EJ89" i="117"/>
  <c r="AK123" i="4" s="1"/>
  <c r="EJ90" i="117"/>
  <c r="AK124" i="4" s="1"/>
  <c r="EJ91" i="117"/>
  <c r="EJ92" i="117"/>
  <c r="EJ93" i="117"/>
  <c r="EJ94" i="117"/>
  <c r="AK128" i="4" s="1"/>
  <c r="EJ95" i="117"/>
  <c r="AK129" i="4" s="1"/>
  <c r="EJ96" i="117"/>
  <c r="EJ97" i="117"/>
  <c r="EJ98" i="117"/>
  <c r="EJ99" i="117"/>
  <c r="AK134" i="4" s="1"/>
  <c r="EJ100" i="117"/>
  <c r="EJ101" i="117"/>
  <c r="EJ102" i="117"/>
  <c r="EJ103" i="117"/>
  <c r="EJ104" i="117"/>
  <c r="EJ105" i="117"/>
  <c r="EJ106" i="117"/>
  <c r="AK141" i="4" s="1"/>
  <c r="EJ107" i="117"/>
  <c r="EJ108" i="117"/>
  <c r="EJ109" i="117"/>
  <c r="AK156" i="4" s="1"/>
  <c r="EJ110" i="117"/>
  <c r="AK159" i="4" s="1"/>
  <c r="EJ111" i="117"/>
  <c r="EJ112" i="117"/>
  <c r="EJ113" i="117"/>
  <c r="EJ114" i="117"/>
  <c r="EJ115" i="117"/>
  <c r="EJ116" i="117"/>
  <c r="EJ117" i="117"/>
  <c r="EJ3" i="117"/>
  <c r="G112" i="4"/>
  <c r="G110" i="39"/>
  <c r="G182" i="39"/>
  <c r="O88" i="39" l="1"/>
  <c r="L77" i="39"/>
  <c r="AK182" i="4"/>
  <c r="AK22" i="4"/>
  <c r="AK140" i="4"/>
  <c r="AK44" i="4"/>
  <c r="AK35" i="4"/>
  <c r="AK69" i="4"/>
  <c r="AK90" i="4"/>
  <c r="AK122" i="4"/>
  <c r="AK116" i="4"/>
  <c r="AK27" i="4"/>
  <c r="AK48" i="4"/>
  <c r="AK74" i="4"/>
  <c r="AK92" i="4"/>
  <c r="AK103" i="4"/>
  <c r="AK117" i="4"/>
  <c r="AK131" i="4"/>
  <c r="AK139" i="4"/>
  <c r="AK180" i="4"/>
  <c r="AK169" i="4"/>
  <c r="AK20" i="4"/>
  <c r="AK29" i="4"/>
  <c r="AK53" i="4"/>
  <c r="AK102" i="4"/>
  <c r="AK137" i="4"/>
  <c r="AK104" i="4"/>
  <c r="AK19" i="4"/>
  <c r="AK30" i="4"/>
  <c r="AK52" i="4"/>
  <c r="AK96" i="4"/>
  <c r="AK101" i="4"/>
  <c r="AK136" i="4"/>
  <c r="AK18" i="4"/>
  <c r="AK51" i="4"/>
  <c r="AK75" i="4"/>
  <c r="AK95" i="4"/>
  <c r="AK127" i="4"/>
  <c r="AK135" i="4"/>
  <c r="AK58" i="4"/>
  <c r="EJ118" i="117"/>
  <c r="AK84" i="4"/>
  <c r="AK126" i="4"/>
  <c r="AK46" i="4"/>
  <c r="AK179" i="4" l="1"/>
  <c r="AK138" i="4"/>
  <c r="AK133" i="4" s="1"/>
  <c r="AK130" i="4" s="1"/>
  <c r="AK125" i="4" s="1"/>
  <c r="AK118" i="4" s="1"/>
  <c r="AK115" i="4" s="1"/>
  <c r="AK107" i="4" s="1"/>
  <c r="AK98" i="4" s="1"/>
  <c r="AK85" i="4" s="1"/>
  <c r="AK79" i="4" l="1"/>
  <c r="AK83" i="4"/>
  <c r="AK174" i="4"/>
  <c r="AK168" i="4" s="1"/>
  <c r="AK162" i="4" s="1"/>
  <c r="AK155" i="4" s="1"/>
  <c r="AK146" i="4" s="1"/>
  <c r="AK78" i="4" l="1"/>
  <c r="AK73" i="4" s="1"/>
  <c r="AK72" i="4" s="1"/>
  <c r="AK68" i="4" s="1"/>
  <c r="AK63" i="4" s="1"/>
  <c r="AK59" i="4" s="1"/>
  <c r="AK56" i="4" s="1"/>
  <c r="AK42" i="4" s="1"/>
  <c r="AK41" i="4" s="1"/>
  <c r="AK37" i="4" s="1"/>
  <c r="AK32" i="4" s="1"/>
  <c r="AK28" i="4" s="1"/>
  <c r="AK25" i="4" s="1"/>
  <c r="AK12" i="4" s="1"/>
  <c r="AK11" i="4" s="1"/>
  <c r="AK10" i="4" s="1"/>
  <c r="AK9" i="4" s="1"/>
  <c r="K61" i="54"/>
  <c r="K62" i="54"/>
  <c r="K63" i="54"/>
  <c r="K64" i="54"/>
  <c r="K65" i="54"/>
  <c r="K66" i="54"/>
  <c r="K67" i="54"/>
  <c r="K68" i="54"/>
  <c r="K69" i="54"/>
  <c r="K12" i="54"/>
  <c r="GQ4" i="116"/>
  <c r="GR4" i="116"/>
  <c r="GS4" i="116"/>
  <c r="GQ5" i="116"/>
  <c r="GR5" i="116"/>
  <c r="GS5" i="116"/>
  <c r="GQ6" i="116"/>
  <c r="GR6" i="116"/>
  <c r="GS6" i="116"/>
  <c r="GQ7" i="116"/>
  <c r="GR7" i="116"/>
  <c r="GS7" i="116"/>
  <c r="GQ8" i="116"/>
  <c r="GR8" i="116"/>
  <c r="GS8" i="116"/>
  <c r="GQ9" i="116"/>
  <c r="GR9" i="116"/>
  <c r="GS9" i="116"/>
  <c r="GQ10" i="116"/>
  <c r="GR10" i="116"/>
  <c r="GS10" i="116"/>
  <c r="GQ11" i="116"/>
  <c r="GR11" i="116"/>
  <c r="GS11" i="116"/>
  <c r="GQ12" i="116"/>
  <c r="GR12" i="116"/>
  <c r="GS12" i="116"/>
  <c r="GQ13" i="116"/>
  <c r="GR13" i="116"/>
  <c r="GS13" i="116"/>
  <c r="GQ14" i="116"/>
  <c r="GR14" i="116"/>
  <c r="GS14" i="116"/>
  <c r="GQ15" i="116"/>
  <c r="GR15" i="116"/>
  <c r="GS15" i="116"/>
  <c r="GQ16" i="116"/>
  <c r="GR16" i="116"/>
  <c r="GS16" i="116"/>
  <c r="GQ17" i="116"/>
  <c r="GR17" i="116"/>
  <c r="GS17" i="116"/>
  <c r="GQ18" i="116"/>
  <c r="GR18" i="116"/>
  <c r="GS18" i="116"/>
  <c r="GQ19" i="116"/>
  <c r="GR19" i="116"/>
  <c r="GS19" i="116"/>
  <c r="GQ20" i="116"/>
  <c r="GR20" i="116"/>
  <c r="GS20" i="116"/>
  <c r="GQ21" i="116"/>
  <c r="GR21" i="116"/>
  <c r="GS21" i="116"/>
  <c r="GQ22" i="116"/>
  <c r="GR22" i="116"/>
  <c r="GS22" i="116"/>
  <c r="GQ23" i="116"/>
  <c r="GR23" i="116"/>
  <c r="GS23" i="116"/>
  <c r="GQ24" i="116"/>
  <c r="GR24" i="116"/>
  <c r="GS24" i="116"/>
  <c r="GQ25" i="116"/>
  <c r="GR25" i="116"/>
  <c r="GS25" i="116"/>
  <c r="GQ26" i="116"/>
  <c r="GR26" i="116"/>
  <c r="GS26" i="116"/>
  <c r="GQ27" i="116"/>
  <c r="GR27" i="116"/>
  <c r="GS27" i="116"/>
  <c r="GQ28" i="116"/>
  <c r="GR28" i="116"/>
  <c r="GS28" i="116"/>
  <c r="GQ29" i="116"/>
  <c r="GR29" i="116"/>
  <c r="GS29" i="116"/>
  <c r="GQ30" i="116"/>
  <c r="GR30" i="116"/>
  <c r="GS30" i="116"/>
  <c r="GQ31" i="116"/>
  <c r="GR31" i="116"/>
  <c r="GS31" i="116"/>
  <c r="GQ32" i="116"/>
  <c r="GR32" i="116"/>
  <c r="GS32" i="116"/>
  <c r="GQ33" i="116"/>
  <c r="GR33" i="116"/>
  <c r="GS33" i="116"/>
  <c r="GQ34" i="116"/>
  <c r="GR34" i="116"/>
  <c r="GS34" i="116"/>
  <c r="GQ35" i="116"/>
  <c r="GR35" i="116"/>
  <c r="GS35" i="116"/>
  <c r="GQ36" i="116"/>
  <c r="GR36" i="116"/>
  <c r="GS36" i="116"/>
  <c r="GQ37" i="116"/>
  <c r="GR37" i="116"/>
  <c r="GS37" i="116"/>
  <c r="GQ38" i="116"/>
  <c r="GR38" i="116"/>
  <c r="GS38" i="116"/>
  <c r="GQ39" i="116"/>
  <c r="GR39" i="116"/>
  <c r="GS39" i="116"/>
  <c r="GQ40" i="116"/>
  <c r="GR40" i="116"/>
  <c r="GS40" i="116"/>
  <c r="GQ41" i="116"/>
  <c r="GR41" i="116"/>
  <c r="GS41" i="116"/>
  <c r="GQ42" i="116"/>
  <c r="GR42" i="116"/>
  <c r="GS42" i="116"/>
  <c r="GQ43" i="116"/>
  <c r="GR43" i="116"/>
  <c r="GS43" i="116"/>
  <c r="GQ44" i="116"/>
  <c r="GR44" i="116"/>
  <c r="GS44" i="116"/>
  <c r="GQ45" i="116"/>
  <c r="GR45" i="116"/>
  <c r="GS45" i="116"/>
  <c r="GQ46" i="116"/>
  <c r="GR46" i="116"/>
  <c r="GS46" i="116"/>
  <c r="GQ47" i="116"/>
  <c r="GR47" i="116"/>
  <c r="GS47" i="116"/>
  <c r="GQ48" i="116"/>
  <c r="GR48" i="116"/>
  <c r="GS48" i="116"/>
  <c r="GQ49" i="116"/>
  <c r="GR49" i="116"/>
  <c r="GS49" i="116"/>
  <c r="GQ50" i="116"/>
  <c r="GR50" i="116"/>
  <c r="GS50" i="116"/>
  <c r="GQ51" i="116"/>
  <c r="GR51" i="116"/>
  <c r="GS51" i="116"/>
  <c r="GQ52" i="116"/>
  <c r="GR52" i="116"/>
  <c r="GS52" i="116"/>
  <c r="GQ53" i="116"/>
  <c r="GR53" i="116"/>
  <c r="GS53" i="116"/>
  <c r="GR3" i="116"/>
  <c r="GS3" i="116"/>
  <c r="GQ3" i="116"/>
  <c r="AJ15" i="35"/>
  <c r="AJ14" i="35" s="1"/>
  <c r="GE5" i="116"/>
  <c r="AJ22" i="35" s="1"/>
  <c r="GE6" i="116"/>
  <c r="GE7" i="116"/>
  <c r="AJ25" i="35" s="1"/>
  <c r="GE8" i="116"/>
  <c r="AJ23" i="35" s="1"/>
  <c r="GE9" i="116"/>
  <c r="AJ21" i="35" s="1"/>
  <c r="GE10" i="116"/>
  <c r="GE11" i="116"/>
  <c r="AJ33" i="35" s="1"/>
  <c r="AJ30" i="35" s="1"/>
  <c r="GE12" i="116"/>
  <c r="AJ43" i="35" s="1"/>
  <c r="GE13" i="116"/>
  <c r="AJ44" i="35" s="1"/>
  <c r="GE14" i="116"/>
  <c r="GE15" i="116"/>
  <c r="GE16" i="116"/>
  <c r="GE3" i="116"/>
  <c r="GU4" i="115"/>
  <c r="GV4" i="115"/>
  <c r="GW4" i="115"/>
  <c r="GU5" i="115"/>
  <c r="GV5" i="115"/>
  <c r="GW5" i="115"/>
  <c r="GU6" i="115"/>
  <c r="GV6" i="115"/>
  <c r="GW6" i="115"/>
  <c r="GU7" i="115"/>
  <c r="GV7" i="115"/>
  <c r="GW7" i="115"/>
  <c r="GU8" i="115"/>
  <c r="GV8" i="115"/>
  <c r="GW8" i="115"/>
  <c r="GU9" i="115"/>
  <c r="GV9" i="115"/>
  <c r="GW9" i="115"/>
  <c r="GU10" i="115"/>
  <c r="GV10" i="115"/>
  <c r="GW10" i="115"/>
  <c r="GU11" i="115"/>
  <c r="GV11" i="115"/>
  <c r="GW11" i="115"/>
  <c r="GU12" i="115"/>
  <c r="GV12" i="115"/>
  <c r="GW12" i="115"/>
  <c r="GU13" i="115"/>
  <c r="GV13" i="115"/>
  <c r="GW13" i="115"/>
  <c r="GU14" i="115"/>
  <c r="GV14" i="115"/>
  <c r="GW14" i="115"/>
  <c r="GU15" i="115"/>
  <c r="GV15" i="115"/>
  <c r="GW15" i="115"/>
  <c r="GU16" i="115"/>
  <c r="GV16" i="115"/>
  <c r="GW16" i="115"/>
  <c r="GU17" i="115"/>
  <c r="GV17" i="115"/>
  <c r="GW17" i="115"/>
  <c r="GU18" i="115"/>
  <c r="GV18" i="115"/>
  <c r="GW18" i="115"/>
  <c r="GU19" i="115"/>
  <c r="GV19" i="115"/>
  <c r="GW19" i="115"/>
  <c r="GU20" i="115"/>
  <c r="GV20" i="115"/>
  <c r="GW20" i="115"/>
  <c r="GU21" i="115"/>
  <c r="GV21" i="115"/>
  <c r="GW21" i="115"/>
  <c r="GU22" i="115"/>
  <c r="GV22" i="115"/>
  <c r="GW22" i="115"/>
  <c r="GU23" i="115"/>
  <c r="GV23" i="115"/>
  <c r="GW23" i="115"/>
  <c r="GU24" i="115"/>
  <c r="GV24" i="115"/>
  <c r="GW24" i="115"/>
  <c r="GU25" i="115"/>
  <c r="GV25" i="115"/>
  <c r="GW25" i="115"/>
  <c r="GU26" i="115"/>
  <c r="GV26" i="115"/>
  <c r="GW26" i="115"/>
  <c r="GU27" i="115"/>
  <c r="GV27" i="115"/>
  <c r="GW27" i="115"/>
  <c r="GU28" i="115"/>
  <c r="GV28" i="115"/>
  <c r="GW28" i="115"/>
  <c r="GU29" i="115"/>
  <c r="GV29" i="115"/>
  <c r="GW29" i="115"/>
  <c r="GU30" i="115"/>
  <c r="GV30" i="115"/>
  <c r="GW30" i="115"/>
  <c r="GU31" i="115"/>
  <c r="GV31" i="115"/>
  <c r="GW31" i="115"/>
  <c r="GU32" i="115"/>
  <c r="GV32" i="115"/>
  <c r="GW32" i="115"/>
  <c r="GU33" i="115"/>
  <c r="GV33" i="115"/>
  <c r="GW33" i="115"/>
  <c r="GU34" i="115"/>
  <c r="GV34" i="115"/>
  <c r="GW34" i="115"/>
  <c r="GU35" i="115"/>
  <c r="GV35" i="115"/>
  <c r="GW35" i="115"/>
  <c r="GU36" i="115"/>
  <c r="GV36" i="115"/>
  <c r="GW36" i="115"/>
  <c r="GU37" i="115"/>
  <c r="GV37" i="115"/>
  <c r="GW37" i="115"/>
  <c r="GU38" i="115"/>
  <c r="GV38" i="115"/>
  <c r="GW38" i="115"/>
  <c r="GU39" i="115"/>
  <c r="GV39" i="115"/>
  <c r="GW39" i="115"/>
  <c r="GU40" i="115"/>
  <c r="GV40" i="115"/>
  <c r="GW40" i="115"/>
  <c r="GU41" i="115"/>
  <c r="GV41" i="115"/>
  <c r="GW41" i="115"/>
  <c r="GU42" i="115"/>
  <c r="GV42" i="115"/>
  <c r="GW42" i="115"/>
  <c r="GU43" i="115"/>
  <c r="GV43" i="115"/>
  <c r="GW43" i="115"/>
  <c r="GU44" i="115"/>
  <c r="GV44" i="115"/>
  <c r="GW44" i="115"/>
  <c r="GU45" i="115"/>
  <c r="GV45" i="115"/>
  <c r="GW45" i="115"/>
  <c r="GU46" i="115"/>
  <c r="GV46" i="115"/>
  <c r="GW46" i="115"/>
  <c r="GU47" i="115"/>
  <c r="GV47" i="115"/>
  <c r="GW47" i="115"/>
  <c r="GU48" i="115"/>
  <c r="GV48" i="115"/>
  <c r="GW48" i="115"/>
  <c r="GU49" i="115"/>
  <c r="GV49" i="115"/>
  <c r="GW49" i="115"/>
  <c r="GU50" i="115"/>
  <c r="GV50" i="115"/>
  <c r="GW50" i="115"/>
  <c r="GV3" i="115"/>
  <c r="GW3" i="115"/>
  <c r="GU3" i="115"/>
  <c r="GG4" i="115"/>
  <c r="GH4" i="115"/>
  <c r="GI4" i="115"/>
  <c r="GG5" i="115"/>
  <c r="GH5" i="115"/>
  <c r="GI5" i="115"/>
  <c r="AJ18" i="37" s="1"/>
  <c r="GG6" i="115"/>
  <c r="GH6" i="115"/>
  <c r="GI6" i="115"/>
  <c r="AJ21" i="37" s="1"/>
  <c r="GG7" i="115"/>
  <c r="GH7" i="115"/>
  <c r="GI7" i="115"/>
  <c r="AJ17" i="37" s="1"/>
  <c r="GG8" i="115"/>
  <c r="GH8" i="115"/>
  <c r="GI8" i="115"/>
  <c r="GG9" i="115"/>
  <c r="GH9" i="115"/>
  <c r="GI9" i="115"/>
  <c r="AJ19" i="37" s="1"/>
  <c r="GG10" i="115"/>
  <c r="GH10" i="115"/>
  <c r="GI10" i="115"/>
  <c r="AJ51" i="37" s="1"/>
  <c r="GG11" i="115"/>
  <c r="GH11" i="115"/>
  <c r="GI11" i="115"/>
  <c r="GG12" i="115"/>
  <c r="GH12" i="115"/>
  <c r="GI12" i="115"/>
  <c r="GG13" i="115"/>
  <c r="GH13" i="115"/>
  <c r="GI13" i="115"/>
  <c r="AJ39" i="37" s="1"/>
  <c r="GG14" i="115"/>
  <c r="GH14" i="115"/>
  <c r="GI14" i="115"/>
  <c r="AJ40" i="37" s="1"/>
  <c r="GG15" i="115"/>
  <c r="GH15" i="115"/>
  <c r="GI15" i="115"/>
  <c r="GG16" i="115"/>
  <c r="GH16" i="115"/>
  <c r="GI16" i="115"/>
  <c r="AJ44" i="37" s="1"/>
  <c r="GG17" i="115"/>
  <c r="GH17" i="115"/>
  <c r="GI17" i="115"/>
  <c r="AJ45" i="37" s="1"/>
  <c r="GG18" i="115"/>
  <c r="GH18" i="115"/>
  <c r="GI18" i="115"/>
  <c r="GG19" i="115"/>
  <c r="GH19" i="115"/>
  <c r="GI19" i="115"/>
  <c r="AJ46" i="37" s="1"/>
  <c r="GG20" i="115"/>
  <c r="GH20" i="115"/>
  <c r="GI20" i="115"/>
  <c r="GG21" i="115"/>
  <c r="GH21" i="115"/>
  <c r="GI21" i="115"/>
  <c r="AJ47" i="37" s="1"/>
  <c r="GG22" i="115"/>
  <c r="GH22" i="115"/>
  <c r="GI22" i="115"/>
  <c r="AJ48" i="37" s="1"/>
  <c r="GG23" i="115"/>
  <c r="GH23" i="115"/>
  <c r="GI23" i="115"/>
  <c r="AJ49" i="37" s="1"/>
  <c r="GG24" i="115"/>
  <c r="GH24" i="115"/>
  <c r="GI24" i="115"/>
  <c r="GH3" i="115"/>
  <c r="GI3" i="115"/>
  <c r="GG3" i="115"/>
  <c r="EN4" i="114"/>
  <c r="EO4" i="114"/>
  <c r="EP4" i="114"/>
  <c r="EN5" i="114"/>
  <c r="EO5" i="114"/>
  <c r="EP5" i="114"/>
  <c r="EN6" i="114"/>
  <c r="EO6" i="114"/>
  <c r="EP6" i="114"/>
  <c r="EN7" i="114"/>
  <c r="EO7" i="114"/>
  <c r="EP7" i="114"/>
  <c r="EO3" i="114"/>
  <c r="EP3" i="114"/>
  <c r="EN3" i="114"/>
  <c r="AJ38" i="37" l="1"/>
  <c r="AJ43" i="37"/>
  <c r="GR54" i="116"/>
  <c r="GS54" i="116"/>
  <c r="AJ52" i="37"/>
  <c r="GQ54" i="116"/>
  <c r="AJ42" i="35"/>
  <c r="AJ41" i="35" s="1"/>
  <c r="AJ40" i="35" s="1"/>
  <c r="AJ20" i="35"/>
  <c r="AJ13" i="35" s="1"/>
  <c r="AJ10" i="35" s="1"/>
  <c r="GV51" i="115"/>
  <c r="GU51" i="115"/>
  <c r="GW51" i="115"/>
  <c r="AJ16" i="37"/>
  <c r="AJ14" i="37" s="1"/>
  <c r="AJ12" i="37" s="1"/>
  <c r="AJ9" i="35" l="1"/>
  <c r="GE20" i="116" s="1"/>
  <c r="AJ37" i="37"/>
  <c r="I42" i="35"/>
  <c r="N42" i="35" s="1"/>
  <c r="I41" i="35" l="1"/>
  <c r="DW101" i="117"/>
  <c r="EA101" i="117" s="1"/>
  <c r="I40" i="35" l="1"/>
  <c r="J209" i="39"/>
  <c r="DQ48" i="117" l="1"/>
  <c r="EB4" i="117"/>
  <c r="EC4" i="117"/>
  <c r="ED4" i="117"/>
  <c r="EA5" i="117"/>
  <c r="EB5" i="117"/>
  <c r="EC5" i="117"/>
  <c r="ED5" i="117"/>
  <c r="EA6" i="117"/>
  <c r="EB6" i="117"/>
  <c r="EC6" i="117"/>
  <c r="ED6" i="117"/>
  <c r="EA7" i="117"/>
  <c r="EB7" i="117"/>
  <c r="EC7" i="117"/>
  <c r="ED7" i="117"/>
  <c r="EA8" i="117"/>
  <c r="EB8" i="117"/>
  <c r="EC8" i="117"/>
  <c r="ED8" i="117"/>
  <c r="EA9" i="117"/>
  <c r="EB9" i="117"/>
  <c r="EC9" i="117"/>
  <c r="ED9" i="117"/>
  <c r="EA10" i="117"/>
  <c r="EB10" i="117"/>
  <c r="EC10" i="117"/>
  <c r="ED10" i="117"/>
  <c r="EA11" i="117"/>
  <c r="EB11" i="117"/>
  <c r="EC11" i="117"/>
  <c r="ED11" i="117"/>
  <c r="EA12" i="117"/>
  <c r="EB12" i="117"/>
  <c r="EC12" i="117"/>
  <c r="ED12" i="117"/>
  <c r="EA13" i="117"/>
  <c r="EB13" i="117"/>
  <c r="EC13" i="117"/>
  <c r="ED13" i="117"/>
  <c r="EA14" i="117"/>
  <c r="EB14" i="117"/>
  <c r="EC14" i="117"/>
  <c r="ED14" i="117"/>
  <c r="EA15" i="117"/>
  <c r="EB15" i="117"/>
  <c r="EC15" i="117"/>
  <c r="ED15" i="117"/>
  <c r="EA16" i="117"/>
  <c r="EB16" i="117"/>
  <c r="EC16" i="117"/>
  <c r="ED16" i="117"/>
  <c r="EA17" i="117"/>
  <c r="EB17" i="117"/>
  <c r="EC17" i="117"/>
  <c r="ED17" i="117"/>
  <c r="EA18" i="117"/>
  <c r="EB18" i="117"/>
  <c r="EC18" i="117"/>
  <c r="ED18" i="117"/>
  <c r="EA19" i="117"/>
  <c r="EB19" i="117"/>
  <c r="EC19" i="117"/>
  <c r="ED19" i="117"/>
  <c r="EA20" i="117"/>
  <c r="EB20" i="117"/>
  <c r="EC20" i="117"/>
  <c r="ED20" i="117"/>
  <c r="EA21" i="117"/>
  <c r="EB21" i="117"/>
  <c r="EC21" i="117"/>
  <c r="ED21" i="117"/>
  <c r="EA22" i="117"/>
  <c r="EB22" i="117"/>
  <c r="EC22" i="117"/>
  <c r="ED22" i="117"/>
  <c r="EA23" i="117"/>
  <c r="EB23" i="117"/>
  <c r="EC23" i="117"/>
  <c r="ED23" i="117"/>
  <c r="EA24" i="117"/>
  <c r="EB24" i="117"/>
  <c r="EC24" i="117"/>
  <c r="ED24" i="117"/>
  <c r="EA25" i="117"/>
  <c r="EB25" i="117"/>
  <c r="EC25" i="117"/>
  <c r="ED25" i="117"/>
  <c r="EA26" i="117"/>
  <c r="EB26" i="117"/>
  <c r="EC26" i="117"/>
  <c r="ED26" i="117"/>
  <c r="EA27" i="117"/>
  <c r="EB27" i="117"/>
  <c r="EC27" i="117"/>
  <c r="ED27" i="117"/>
  <c r="EA28" i="117"/>
  <c r="EB28" i="117"/>
  <c r="EC28" i="117"/>
  <c r="ED28" i="117"/>
  <c r="EA29" i="117"/>
  <c r="EB29" i="117"/>
  <c r="EC29" i="117"/>
  <c r="ED29" i="117"/>
  <c r="EA30" i="117"/>
  <c r="EB30" i="117"/>
  <c r="EC30" i="117"/>
  <c r="ED30" i="117"/>
  <c r="EA31" i="117"/>
  <c r="EB31" i="117"/>
  <c r="EC31" i="117"/>
  <c r="ED31" i="117"/>
  <c r="EA32" i="117"/>
  <c r="EB32" i="117"/>
  <c r="EC32" i="117"/>
  <c r="ED32" i="117"/>
  <c r="EA33" i="117"/>
  <c r="EB33" i="117"/>
  <c r="EC33" i="117"/>
  <c r="ED33" i="117"/>
  <c r="EA34" i="117"/>
  <c r="EB34" i="117"/>
  <c r="EC34" i="117"/>
  <c r="ED34" i="117"/>
  <c r="EA35" i="117"/>
  <c r="EB35" i="117"/>
  <c r="EC35" i="117"/>
  <c r="ED35" i="117"/>
  <c r="EA36" i="117"/>
  <c r="EB36" i="117"/>
  <c r="EC36" i="117"/>
  <c r="ED36" i="117"/>
  <c r="EA37" i="117"/>
  <c r="EB37" i="117"/>
  <c r="EC37" i="117"/>
  <c r="ED37" i="117"/>
  <c r="EA38" i="117"/>
  <c r="EB38" i="117"/>
  <c r="EC38" i="117"/>
  <c r="ED38" i="117"/>
  <c r="EA39" i="117"/>
  <c r="EB39" i="117"/>
  <c r="EC39" i="117"/>
  <c r="ED39" i="117"/>
  <c r="EA40" i="117"/>
  <c r="EB40" i="117"/>
  <c r="EC40" i="117"/>
  <c r="ED40" i="117"/>
  <c r="EA41" i="117"/>
  <c r="EB41" i="117"/>
  <c r="EC41" i="117"/>
  <c r="ED41" i="117"/>
  <c r="EA42" i="117"/>
  <c r="EB42" i="117"/>
  <c r="EC42" i="117"/>
  <c r="ED42" i="117"/>
  <c r="EA43" i="117"/>
  <c r="EB43" i="117"/>
  <c r="EC43" i="117"/>
  <c r="ED43" i="117"/>
  <c r="EA44" i="117"/>
  <c r="EB44" i="117"/>
  <c r="EC44" i="117"/>
  <c r="ED44" i="117"/>
  <c r="EA45" i="117"/>
  <c r="EB45" i="117"/>
  <c r="EC45" i="117"/>
  <c r="ED45" i="117"/>
  <c r="EA46" i="117"/>
  <c r="EB46" i="117"/>
  <c r="EC46" i="117"/>
  <c r="ED46" i="117"/>
  <c r="EA47" i="117"/>
  <c r="EB47" i="117"/>
  <c r="EC47" i="117"/>
  <c r="ED47" i="117"/>
  <c r="EA48" i="117"/>
  <c r="EB48" i="117"/>
  <c r="EC48" i="117"/>
  <c r="ED48" i="117"/>
  <c r="EA49" i="117"/>
  <c r="EB49" i="117"/>
  <c r="EC49" i="117"/>
  <c r="ED49" i="117"/>
  <c r="EA50" i="117"/>
  <c r="EB50" i="117"/>
  <c r="EC50" i="117"/>
  <c r="ED50" i="117"/>
  <c r="EA51" i="117"/>
  <c r="EB51" i="117"/>
  <c r="EC51" i="117"/>
  <c r="ED51" i="117"/>
  <c r="EA52" i="117"/>
  <c r="EB52" i="117"/>
  <c r="EC52" i="117"/>
  <c r="ED52" i="117"/>
  <c r="EA53" i="117"/>
  <c r="EB53" i="117"/>
  <c r="EC53" i="117"/>
  <c r="ED53" i="117"/>
  <c r="EA54" i="117"/>
  <c r="EB54" i="117"/>
  <c r="EC54" i="117"/>
  <c r="ED54" i="117"/>
  <c r="EA55" i="117"/>
  <c r="EB55" i="117"/>
  <c r="EC55" i="117"/>
  <c r="ED55" i="117"/>
  <c r="EA56" i="117"/>
  <c r="EB56" i="117"/>
  <c r="EC56" i="117"/>
  <c r="ED56" i="117"/>
  <c r="EA57" i="117"/>
  <c r="EB57" i="117"/>
  <c r="EC57" i="117"/>
  <c r="ED57" i="117"/>
  <c r="EA58" i="117"/>
  <c r="EB58" i="117"/>
  <c r="EC58" i="117"/>
  <c r="ED58" i="117"/>
  <c r="EA59" i="117"/>
  <c r="EB59" i="117"/>
  <c r="EC59" i="117"/>
  <c r="ED59" i="117"/>
  <c r="EA60" i="117"/>
  <c r="EB60" i="117"/>
  <c r="EC60" i="117"/>
  <c r="ED60" i="117"/>
  <c r="EA61" i="117"/>
  <c r="P75" i="39" s="1"/>
  <c r="EB61" i="117"/>
  <c r="EC61" i="117"/>
  <c r="ED61" i="117"/>
  <c r="EA62" i="117"/>
  <c r="P76" i="39" s="1"/>
  <c r="EB62" i="117"/>
  <c r="EC62" i="117"/>
  <c r="ED62" i="117"/>
  <c r="EA63" i="117"/>
  <c r="P77" i="39" s="1"/>
  <c r="EB63" i="117"/>
  <c r="EC63" i="117"/>
  <c r="ED63" i="117"/>
  <c r="EA64" i="117"/>
  <c r="EB64" i="117"/>
  <c r="EC64" i="117"/>
  <c r="ED64" i="117"/>
  <c r="EA65" i="117"/>
  <c r="EB65" i="117"/>
  <c r="EC65" i="117"/>
  <c r="ED65" i="117"/>
  <c r="EA66" i="117"/>
  <c r="EB66" i="117"/>
  <c r="EC66" i="117"/>
  <c r="ED66" i="117"/>
  <c r="EA67" i="117"/>
  <c r="EB67" i="117"/>
  <c r="EC67" i="117"/>
  <c r="ED67" i="117"/>
  <c r="EA68" i="117"/>
  <c r="EB68" i="117"/>
  <c r="EC68" i="117"/>
  <c r="ED68" i="117"/>
  <c r="EA69" i="117"/>
  <c r="EB69" i="117"/>
  <c r="EC69" i="117"/>
  <c r="ED69" i="117"/>
  <c r="EA70" i="117"/>
  <c r="EB70" i="117"/>
  <c r="EC70" i="117"/>
  <c r="ED70" i="117"/>
  <c r="EA71" i="117"/>
  <c r="EB71" i="117"/>
  <c r="EC71" i="117"/>
  <c r="ED71" i="117"/>
  <c r="EA72" i="117"/>
  <c r="EB72" i="117"/>
  <c r="EC72" i="117"/>
  <c r="ED72" i="117"/>
  <c r="EA73" i="117"/>
  <c r="EB73" i="117"/>
  <c r="EC73" i="117"/>
  <c r="ED73" i="117"/>
  <c r="EA74" i="117"/>
  <c r="EB74" i="117"/>
  <c r="EC74" i="117"/>
  <c r="ED74" i="117"/>
  <c r="EA75" i="117"/>
  <c r="EB75" i="117"/>
  <c r="EC75" i="117"/>
  <c r="ED75" i="117"/>
  <c r="EA76" i="117"/>
  <c r="EB76" i="117"/>
  <c r="EC76" i="117"/>
  <c r="ED76" i="117"/>
  <c r="EA77" i="117"/>
  <c r="EB77" i="117"/>
  <c r="EC77" i="117"/>
  <c r="ED77" i="117"/>
  <c r="EA78" i="117"/>
  <c r="EB78" i="117"/>
  <c r="EC78" i="117"/>
  <c r="ED78" i="117"/>
  <c r="EA79" i="117"/>
  <c r="EB79" i="117"/>
  <c r="EC79" i="117"/>
  <c r="ED79" i="117"/>
  <c r="EA80" i="117"/>
  <c r="EB80" i="117"/>
  <c r="EC80" i="117"/>
  <c r="ED80" i="117"/>
  <c r="EA81" i="117"/>
  <c r="EB81" i="117"/>
  <c r="EC81" i="117"/>
  <c r="ED81" i="117"/>
  <c r="EA82" i="117"/>
  <c r="EB82" i="117"/>
  <c r="EC82" i="117"/>
  <c r="ED82" i="117"/>
  <c r="EA83" i="117"/>
  <c r="EB83" i="117"/>
  <c r="EC83" i="117"/>
  <c r="ED83" i="117"/>
  <c r="EA84" i="117"/>
  <c r="EB84" i="117"/>
  <c r="EC84" i="117"/>
  <c r="ED84" i="117"/>
  <c r="EA85" i="117"/>
  <c r="EB85" i="117"/>
  <c r="EC85" i="117"/>
  <c r="ED85" i="117"/>
  <c r="EA86" i="117"/>
  <c r="EB86" i="117"/>
  <c r="EC86" i="117"/>
  <c r="ED86" i="117"/>
  <c r="EA87" i="117"/>
  <c r="EB87" i="117"/>
  <c r="EC87" i="117"/>
  <c r="ED87" i="117"/>
  <c r="EA88" i="117"/>
  <c r="EB88" i="117"/>
  <c r="EC88" i="117"/>
  <c r="ED88" i="117"/>
  <c r="EA89" i="117"/>
  <c r="EB89" i="117"/>
  <c r="EC89" i="117"/>
  <c r="ED89" i="117"/>
  <c r="EA90" i="117"/>
  <c r="EB90" i="117"/>
  <c r="EC90" i="117"/>
  <c r="ED90" i="117"/>
  <c r="EA91" i="117"/>
  <c r="EB91" i="117"/>
  <c r="EC91" i="117"/>
  <c r="ED91" i="117"/>
  <c r="EA92" i="117"/>
  <c r="EB92" i="117"/>
  <c r="EC92" i="117"/>
  <c r="ED92" i="117"/>
  <c r="EA93" i="117"/>
  <c r="EB93" i="117"/>
  <c r="EC93" i="117"/>
  <c r="ED93" i="117"/>
  <c r="EA94" i="117"/>
  <c r="EB94" i="117"/>
  <c r="EC94" i="117"/>
  <c r="ED94" i="117"/>
  <c r="EA95" i="117"/>
  <c r="EB95" i="117"/>
  <c r="EC95" i="117"/>
  <c r="ED95" i="117"/>
  <c r="EA96" i="117"/>
  <c r="EB96" i="117"/>
  <c r="EC96" i="117"/>
  <c r="ED96" i="117"/>
  <c r="EA97" i="117"/>
  <c r="EB97" i="117"/>
  <c r="EC97" i="117"/>
  <c r="ED97" i="117"/>
  <c r="EA98" i="117"/>
  <c r="EB98" i="117"/>
  <c r="EC98" i="117"/>
  <c r="ED98" i="117"/>
  <c r="EB99" i="117"/>
  <c r="EC99" i="117"/>
  <c r="ED99" i="117"/>
  <c r="EA100" i="117"/>
  <c r="EB100" i="117"/>
  <c r="EC100" i="117"/>
  <c r="ED100" i="117"/>
  <c r="EB101" i="117"/>
  <c r="EC101" i="117"/>
  <c r="ED101" i="117"/>
  <c r="EA102" i="117"/>
  <c r="EB102" i="117"/>
  <c r="EC102" i="117"/>
  <c r="ED102" i="117"/>
  <c r="EA103" i="117"/>
  <c r="EB103" i="117"/>
  <c r="EC103" i="117"/>
  <c r="ED103" i="117"/>
  <c r="EA104" i="117"/>
  <c r="EB104" i="117"/>
  <c r="EC104" i="117"/>
  <c r="ED104" i="117"/>
  <c r="EA105" i="117"/>
  <c r="EB105" i="117"/>
  <c r="EC105" i="117"/>
  <c r="ED105" i="117"/>
  <c r="EA106" i="117"/>
  <c r="EB106" i="117"/>
  <c r="EC106" i="117"/>
  <c r="ED106" i="117"/>
  <c r="EA107" i="117"/>
  <c r="EB107" i="117"/>
  <c r="EC107" i="117"/>
  <c r="ED107" i="117"/>
  <c r="EA108" i="117"/>
  <c r="EB108" i="117"/>
  <c r="EC108" i="117"/>
  <c r="ED108" i="117"/>
  <c r="EA109" i="117"/>
  <c r="EB109" i="117"/>
  <c r="EC109" i="117"/>
  <c r="ED109" i="117"/>
  <c r="EA110" i="117"/>
  <c r="EB110" i="117"/>
  <c r="EC110" i="117"/>
  <c r="ED110" i="117"/>
  <c r="EA111" i="117"/>
  <c r="EB111" i="117"/>
  <c r="EC111" i="117"/>
  <c r="ED111" i="117"/>
  <c r="EA112" i="117"/>
  <c r="EB112" i="117"/>
  <c r="EC112" i="117"/>
  <c r="ED112" i="117"/>
  <c r="EA113" i="117"/>
  <c r="EB113" i="117"/>
  <c r="EC113" i="117"/>
  <c r="ED113" i="117"/>
  <c r="EA114" i="117"/>
  <c r="EB114" i="117"/>
  <c r="EC114" i="117"/>
  <c r="ED114" i="117"/>
  <c r="EA115" i="117"/>
  <c r="EB115" i="117"/>
  <c r="EC115" i="117"/>
  <c r="ED115" i="117"/>
  <c r="EA116" i="117"/>
  <c r="EB116" i="117"/>
  <c r="EC116" i="117"/>
  <c r="ED116" i="117"/>
  <c r="EA117" i="117"/>
  <c r="EB117" i="117"/>
  <c r="EC117" i="117"/>
  <c r="ED117" i="117"/>
  <c r="EA118" i="117"/>
  <c r="EB118" i="117"/>
  <c r="EC118" i="117"/>
  <c r="ED118" i="117"/>
  <c r="EA119" i="117"/>
  <c r="EB119" i="117"/>
  <c r="EC119" i="117"/>
  <c r="ED119" i="117"/>
  <c r="EA120" i="117"/>
  <c r="EB120" i="117"/>
  <c r="EC120" i="117"/>
  <c r="ED120" i="117"/>
  <c r="EA121" i="117"/>
  <c r="EB121" i="117"/>
  <c r="EC121" i="117"/>
  <c r="ED121" i="117"/>
  <c r="EA122" i="117"/>
  <c r="EB122" i="117"/>
  <c r="EC122" i="117"/>
  <c r="ED122" i="117"/>
  <c r="EA123" i="117"/>
  <c r="EB123" i="117"/>
  <c r="EC123" i="117"/>
  <c r="ED123" i="117"/>
  <c r="EA124" i="117"/>
  <c r="EB124" i="117"/>
  <c r="EC124" i="117"/>
  <c r="ED124" i="117"/>
  <c r="EA125" i="117"/>
  <c r="EB125" i="117"/>
  <c r="EC125" i="117"/>
  <c r="ED125" i="117"/>
  <c r="EA126" i="117"/>
  <c r="EB126" i="117"/>
  <c r="EC126" i="117"/>
  <c r="ED126" i="117"/>
  <c r="EA127" i="117"/>
  <c r="EB127" i="117"/>
  <c r="EC127" i="117"/>
  <c r="ED127" i="117"/>
  <c r="EA128" i="117"/>
  <c r="EB128" i="117"/>
  <c r="EC128" i="117"/>
  <c r="ED128" i="117"/>
  <c r="EA129" i="117"/>
  <c r="EB129" i="117"/>
  <c r="EC129" i="117"/>
  <c r="ED129" i="117"/>
  <c r="EA130" i="117"/>
  <c r="EB130" i="117"/>
  <c r="EC130" i="117"/>
  <c r="ED130" i="117"/>
  <c r="EA131" i="117"/>
  <c r="EB131" i="117"/>
  <c r="EC131" i="117"/>
  <c r="ED131" i="117"/>
  <c r="EA132" i="117"/>
  <c r="EB132" i="117"/>
  <c r="EC132" i="117"/>
  <c r="ED132" i="117"/>
  <c r="EA133" i="117"/>
  <c r="EB133" i="117"/>
  <c r="EC133" i="117"/>
  <c r="ED133" i="117"/>
  <c r="EA134" i="117"/>
  <c r="EB134" i="117"/>
  <c r="EC134" i="117"/>
  <c r="ED134" i="117"/>
  <c r="EA135" i="117"/>
  <c r="EB135" i="117"/>
  <c r="EC135" i="117"/>
  <c r="ED135" i="117"/>
  <c r="EA136" i="117"/>
  <c r="EB136" i="117"/>
  <c r="EC136" i="117"/>
  <c r="ED136" i="117"/>
  <c r="EA137" i="117"/>
  <c r="EB137" i="117"/>
  <c r="EC137" i="117"/>
  <c r="ED137" i="117"/>
  <c r="EA138" i="117"/>
  <c r="EB138" i="117"/>
  <c r="EC138" i="117"/>
  <c r="EA139" i="117"/>
  <c r="EB139" i="117"/>
  <c r="EC139" i="117"/>
  <c r="ED139" i="117"/>
  <c r="EA140" i="117"/>
  <c r="EB140" i="117"/>
  <c r="EC140" i="117"/>
  <c r="EA141" i="117"/>
  <c r="EB141" i="117"/>
  <c r="EC141" i="117"/>
  <c r="EA142" i="117"/>
  <c r="EB142" i="117"/>
  <c r="EC142" i="117"/>
  <c r="ED142" i="117"/>
  <c r="EA143" i="117"/>
  <c r="EB143" i="117"/>
  <c r="EC143" i="117"/>
  <c r="EA144" i="117"/>
  <c r="EB144" i="117"/>
  <c r="EC144" i="117"/>
  <c r="ED144" i="117"/>
  <c r="EB3" i="117"/>
  <c r="EC3" i="117"/>
  <c r="ED3" i="117"/>
  <c r="ED145" i="117" s="1"/>
  <c r="EA3" i="117"/>
  <c r="DQ4" i="117"/>
  <c r="DR4" i="117"/>
  <c r="DQ5" i="117"/>
  <c r="DR5" i="117"/>
  <c r="DQ6" i="117"/>
  <c r="DR6" i="117"/>
  <c r="AI13" i="4" s="1"/>
  <c r="DQ7" i="117"/>
  <c r="DR7" i="117"/>
  <c r="AI14" i="4" s="1"/>
  <c r="DQ8" i="117"/>
  <c r="DR8" i="117"/>
  <c r="AI15" i="4" s="1"/>
  <c r="DQ9" i="117"/>
  <c r="DR9" i="117"/>
  <c r="AI16" i="4" s="1"/>
  <c r="DQ10" i="117"/>
  <c r="DR10" i="117"/>
  <c r="AI17" i="4" s="1"/>
  <c r="DQ11" i="117"/>
  <c r="DR11" i="117"/>
  <c r="AI18" i="4" s="1"/>
  <c r="DQ12" i="117"/>
  <c r="DR12" i="117"/>
  <c r="AI19" i="4" s="1"/>
  <c r="DQ13" i="117"/>
  <c r="DR13" i="117"/>
  <c r="AI20" i="4" s="1"/>
  <c r="DQ14" i="117"/>
  <c r="DR14" i="117"/>
  <c r="AI22" i="4" s="1"/>
  <c r="DQ15" i="117"/>
  <c r="DR15" i="117"/>
  <c r="DQ16" i="117"/>
  <c r="DR16" i="117"/>
  <c r="AI26" i="4" s="1"/>
  <c r="DQ17" i="117"/>
  <c r="DR17" i="117"/>
  <c r="AI27" i="4" s="1"/>
  <c r="DQ18" i="117"/>
  <c r="DR18" i="117"/>
  <c r="DQ19" i="117"/>
  <c r="DR19" i="117"/>
  <c r="AI33" i="4" s="1"/>
  <c r="DQ20" i="117"/>
  <c r="DR20" i="117"/>
  <c r="AI35" i="4" s="1"/>
  <c r="DQ21" i="117"/>
  <c r="DR21" i="117"/>
  <c r="DQ22" i="117"/>
  <c r="DR22" i="117"/>
  <c r="DQ23" i="117"/>
  <c r="DR23" i="117"/>
  <c r="AI43" i="4" s="1"/>
  <c r="DQ24" i="117"/>
  <c r="DR24" i="117"/>
  <c r="AI44" i="4" s="1"/>
  <c r="DQ25" i="117"/>
  <c r="DR25" i="117"/>
  <c r="AI45" i="4" s="1"/>
  <c r="DQ26" i="117"/>
  <c r="DR26" i="117"/>
  <c r="AI46" i="4" s="1"/>
  <c r="DQ27" i="117"/>
  <c r="DR27" i="117"/>
  <c r="AI48" i="4" s="1"/>
  <c r="DQ28" i="117"/>
  <c r="DR28" i="117"/>
  <c r="AI49" i="4" s="1"/>
  <c r="DQ29" i="117"/>
  <c r="DR29" i="117"/>
  <c r="AI50" i="4" s="1"/>
  <c r="DQ30" i="117"/>
  <c r="DR30" i="117"/>
  <c r="AI51" i="4" s="1"/>
  <c r="DQ31" i="117"/>
  <c r="DR31" i="117"/>
  <c r="DQ32" i="117"/>
  <c r="DR32" i="117"/>
  <c r="DQ33" i="117"/>
  <c r="DR33" i="117"/>
  <c r="DQ34" i="117"/>
  <c r="DR34" i="117"/>
  <c r="AI57" i="4" s="1"/>
  <c r="DQ35" i="117"/>
  <c r="DR35" i="117"/>
  <c r="AI58" i="4" s="1"/>
  <c r="DQ36" i="117"/>
  <c r="DR36" i="117"/>
  <c r="DQ37" i="117"/>
  <c r="DR37" i="117"/>
  <c r="AI60" i="4" s="1"/>
  <c r="DQ38" i="117"/>
  <c r="DR38" i="117"/>
  <c r="AI61" i="4" s="1"/>
  <c r="DQ39" i="117"/>
  <c r="DR39" i="117"/>
  <c r="DQ40" i="117"/>
  <c r="DR40" i="117"/>
  <c r="AI64" i="4" s="1"/>
  <c r="DQ41" i="117"/>
  <c r="DR41" i="117"/>
  <c r="AI65" i="4" s="1"/>
  <c r="DQ42" i="117"/>
  <c r="DR42" i="117"/>
  <c r="AI66" i="4" s="1"/>
  <c r="DQ43" i="117"/>
  <c r="DR43" i="117"/>
  <c r="DQ44" i="117"/>
  <c r="DR44" i="117"/>
  <c r="DQ45" i="117"/>
  <c r="DR45" i="117"/>
  <c r="AI74" i="4" s="1"/>
  <c r="DQ46" i="117"/>
  <c r="DR46" i="117"/>
  <c r="AI75" i="4" s="1"/>
  <c r="DQ47" i="117"/>
  <c r="DR47" i="117"/>
  <c r="DR48" i="117"/>
  <c r="DQ49" i="117"/>
  <c r="DR49" i="117"/>
  <c r="DQ50" i="117"/>
  <c r="DR50" i="117"/>
  <c r="DQ51" i="117"/>
  <c r="DR51" i="117"/>
  <c r="DQ52" i="117"/>
  <c r="DR52" i="117"/>
  <c r="DQ53" i="117"/>
  <c r="DR53" i="117"/>
  <c r="AI86" i="4" s="1"/>
  <c r="DQ54" i="117"/>
  <c r="DR54" i="117"/>
  <c r="AI87" i="4" s="1"/>
  <c r="DQ55" i="117"/>
  <c r="DR55" i="117"/>
  <c r="AI89" i="4" s="1"/>
  <c r="DQ56" i="117"/>
  <c r="DR56" i="117"/>
  <c r="AI90" i="4" s="1"/>
  <c r="DQ57" i="117"/>
  <c r="DR57" i="117"/>
  <c r="AI92" i="4" s="1"/>
  <c r="DQ58" i="117"/>
  <c r="DR58" i="117"/>
  <c r="DQ59" i="117"/>
  <c r="DR59" i="117"/>
  <c r="DQ60" i="117"/>
  <c r="DR60" i="117"/>
  <c r="AI95" i="4" s="1"/>
  <c r="DQ61" i="117"/>
  <c r="DR61" i="117"/>
  <c r="AI96" i="4" s="1"/>
  <c r="DQ62" i="117"/>
  <c r="DR62" i="117"/>
  <c r="DQ63" i="117"/>
  <c r="DR63" i="117"/>
  <c r="DQ64" i="117"/>
  <c r="DR64" i="117"/>
  <c r="AI99" i="4" s="1"/>
  <c r="DQ65" i="117"/>
  <c r="DR65" i="117"/>
  <c r="AI100" i="4" s="1"/>
  <c r="DQ66" i="117"/>
  <c r="DR66" i="117"/>
  <c r="AI101" i="4" s="1"/>
  <c r="DQ67" i="117"/>
  <c r="DR67" i="117"/>
  <c r="AI102" i="4" s="1"/>
  <c r="DQ68" i="117"/>
  <c r="DR68" i="117"/>
  <c r="AI103" i="4" s="1"/>
  <c r="DQ69" i="117"/>
  <c r="DR69" i="117"/>
  <c r="AI104" i="4" s="1"/>
  <c r="DQ70" i="117"/>
  <c r="DR70" i="117"/>
  <c r="AI105" i="4" s="1"/>
  <c r="DQ71" i="117"/>
  <c r="DR71" i="117"/>
  <c r="AI106" i="4" s="1"/>
  <c r="DQ72" i="117"/>
  <c r="DR72" i="117"/>
  <c r="DQ73" i="117"/>
  <c r="DR73" i="117"/>
  <c r="AI108" i="4" s="1"/>
  <c r="DQ74" i="117"/>
  <c r="DR74" i="117"/>
  <c r="AI109" i="4" s="1"/>
  <c r="DQ75" i="117"/>
  <c r="DR75" i="117"/>
  <c r="DQ76" i="117"/>
  <c r="DR76" i="117"/>
  <c r="DQ77" i="117"/>
  <c r="DR77" i="117"/>
  <c r="AI113" i="4" s="1"/>
  <c r="DQ78" i="117"/>
  <c r="DR78" i="117"/>
  <c r="DQ79" i="117"/>
  <c r="DR79" i="117"/>
  <c r="AI117" i="4" s="1"/>
  <c r="DQ80" i="117"/>
  <c r="DR80" i="117"/>
  <c r="DQ81" i="117"/>
  <c r="DR81" i="117"/>
  <c r="AI119" i="4" s="1"/>
  <c r="DQ82" i="117"/>
  <c r="DR82" i="117"/>
  <c r="AI121" i="4" s="1"/>
  <c r="DQ83" i="117"/>
  <c r="DR83" i="117"/>
  <c r="AI122" i="4" s="1"/>
  <c r="DQ84" i="117"/>
  <c r="DR84" i="117"/>
  <c r="AI123" i="4" s="1"/>
  <c r="DQ85" i="117"/>
  <c r="DR85" i="117"/>
  <c r="AI124" i="4" s="1"/>
  <c r="DQ86" i="117"/>
  <c r="DR86" i="117"/>
  <c r="DQ87" i="117"/>
  <c r="DR87" i="117"/>
  <c r="AI126" i="4" s="1"/>
  <c r="DQ88" i="117"/>
  <c r="DR88" i="117"/>
  <c r="AI127" i="4" s="1"/>
  <c r="DQ89" i="117"/>
  <c r="DR89" i="117"/>
  <c r="AI128" i="4" s="1"/>
  <c r="DQ90" i="117"/>
  <c r="DR90" i="117"/>
  <c r="AI129" i="4" s="1"/>
  <c r="DQ91" i="117"/>
  <c r="DR91" i="117"/>
  <c r="DQ92" i="117"/>
  <c r="DR92" i="117"/>
  <c r="AI131" i="4" s="1"/>
  <c r="DQ93" i="117"/>
  <c r="DR93" i="117"/>
  <c r="DQ94" i="117"/>
  <c r="DR94" i="117"/>
  <c r="AI134" i="4" s="1"/>
  <c r="DQ95" i="117"/>
  <c r="DR95" i="117"/>
  <c r="AI135" i="4" s="1"/>
  <c r="DQ96" i="117"/>
  <c r="DR96" i="117"/>
  <c r="AI136" i="4" s="1"/>
  <c r="DQ97" i="117"/>
  <c r="DR97" i="117"/>
  <c r="AI137" i="4" s="1"/>
  <c r="DQ98" i="117"/>
  <c r="DR98" i="117"/>
  <c r="DQ99" i="117"/>
  <c r="DR99" i="117"/>
  <c r="AI139" i="4" s="1"/>
  <c r="DQ100" i="117"/>
  <c r="DR100" i="117"/>
  <c r="AI140" i="4" s="1"/>
  <c r="DQ101" i="117"/>
  <c r="DR101" i="117"/>
  <c r="AI141" i="4" s="1"/>
  <c r="DQ102" i="117"/>
  <c r="DR102" i="117"/>
  <c r="DQ103" i="117"/>
  <c r="DR103" i="117"/>
  <c r="DQ104" i="117"/>
  <c r="DR104" i="117"/>
  <c r="AI159" i="4" s="1"/>
  <c r="DQ105" i="117"/>
  <c r="DR105" i="117"/>
  <c r="DQ106" i="117"/>
  <c r="DR106" i="117"/>
  <c r="DQ107" i="117"/>
  <c r="DR107" i="117"/>
  <c r="AI178" i="4" s="1"/>
  <c r="AI177" i="4" s="1"/>
  <c r="AI174" i="4" s="1"/>
  <c r="DQ108" i="117"/>
  <c r="DR108" i="117"/>
  <c r="DQ109" i="117"/>
  <c r="DR109" i="117"/>
  <c r="DR3" i="117"/>
  <c r="DQ3" i="117"/>
  <c r="FS3" i="116"/>
  <c r="AH26" i="35"/>
  <c r="FS4" i="116"/>
  <c r="FT4" i="116"/>
  <c r="FU4" i="116"/>
  <c r="FS5" i="116"/>
  <c r="FT5" i="116"/>
  <c r="FU5" i="116"/>
  <c r="FS6" i="116"/>
  <c r="FT6" i="116"/>
  <c r="FU6" i="116"/>
  <c r="FS7" i="116"/>
  <c r="FT7" i="116"/>
  <c r="FU7" i="116"/>
  <c r="FS8" i="116"/>
  <c r="FT8" i="116"/>
  <c r="FU8" i="116"/>
  <c r="FS9" i="116"/>
  <c r="FT9" i="116"/>
  <c r="FU9" i="116"/>
  <c r="FS10" i="116"/>
  <c r="FT10" i="116"/>
  <c r="FU10" i="116"/>
  <c r="FS11" i="116"/>
  <c r="FT11" i="116"/>
  <c r="FU11" i="116"/>
  <c r="FS12" i="116"/>
  <c r="FT12" i="116"/>
  <c r="FU12" i="116"/>
  <c r="FS13" i="116"/>
  <c r="FT13" i="116"/>
  <c r="FU13" i="116"/>
  <c r="FS14" i="116"/>
  <c r="FT14" i="116"/>
  <c r="FU14" i="116"/>
  <c r="FS15" i="116"/>
  <c r="FT15" i="116"/>
  <c r="FU15" i="116"/>
  <c r="FS16" i="116"/>
  <c r="FT16" i="116"/>
  <c r="FU16" i="116"/>
  <c r="FS17" i="116"/>
  <c r="FT17" i="116"/>
  <c r="FU17" i="116"/>
  <c r="FS18" i="116"/>
  <c r="FT18" i="116"/>
  <c r="FU18" i="116"/>
  <c r="FS19" i="116"/>
  <c r="FT19" i="116"/>
  <c r="FU19" i="116"/>
  <c r="FS20" i="116"/>
  <c r="FT20" i="116"/>
  <c r="FU20" i="116"/>
  <c r="FS21" i="116"/>
  <c r="FT21" i="116"/>
  <c r="FU21" i="116"/>
  <c r="FS22" i="116"/>
  <c r="FT22" i="116"/>
  <c r="FU22" i="116"/>
  <c r="FS23" i="116"/>
  <c r="FT23" i="116"/>
  <c r="FU23" i="116"/>
  <c r="FS24" i="116"/>
  <c r="FT24" i="116"/>
  <c r="FU24" i="116"/>
  <c r="FS25" i="116"/>
  <c r="FT25" i="116"/>
  <c r="FU25" i="116"/>
  <c r="FS26" i="116"/>
  <c r="FT26" i="116"/>
  <c r="FU26" i="116"/>
  <c r="FS27" i="116"/>
  <c r="FT27" i="116"/>
  <c r="FU27" i="116"/>
  <c r="FS28" i="116"/>
  <c r="FT28" i="116"/>
  <c r="FU28" i="116"/>
  <c r="FS29" i="116"/>
  <c r="FT29" i="116"/>
  <c r="FU29" i="116"/>
  <c r="FS30" i="116"/>
  <c r="FT30" i="116"/>
  <c r="FU30" i="116"/>
  <c r="FS31" i="116"/>
  <c r="FT31" i="116"/>
  <c r="FU31" i="116"/>
  <c r="FS32" i="116"/>
  <c r="FT32" i="116"/>
  <c r="FU32" i="116"/>
  <c r="FS33" i="116"/>
  <c r="FT33" i="116"/>
  <c r="FU33" i="116"/>
  <c r="FS34" i="116"/>
  <c r="FT34" i="116"/>
  <c r="FU34" i="116"/>
  <c r="FS35" i="116"/>
  <c r="FT35" i="116"/>
  <c r="FU35" i="116"/>
  <c r="FS36" i="116"/>
  <c r="FT36" i="116"/>
  <c r="FU36" i="116"/>
  <c r="FS37" i="116"/>
  <c r="FT37" i="116"/>
  <c r="FU37" i="116"/>
  <c r="FS38" i="116"/>
  <c r="FT38" i="116"/>
  <c r="FU38" i="116"/>
  <c r="FS39" i="116"/>
  <c r="FT39" i="116"/>
  <c r="FU39" i="116"/>
  <c r="FS40" i="116"/>
  <c r="FT40" i="116"/>
  <c r="FU40" i="116"/>
  <c r="FS41" i="116"/>
  <c r="FT41" i="116"/>
  <c r="FU41" i="116"/>
  <c r="FS42" i="116"/>
  <c r="FT42" i="116"/>
  <c r="FU42" i="116"/>
  <c r="FS43" i="116"/>
  <c r="FT43" i="116"/>
  <c r="FU43" i="116"/>
  <c r="FS44" i="116"/>
  <c r="FT44" i="116"/>
  <c r="FU44" i="116"/>
  <c r="FS45" i="116"/>
  <c r="FT45" i="116"/>
  <c r="FU45" i="116"/>
  <c r="FS46" i="116"/>
  <c r="FT46" i="116"/>
  <c r="FU46" i="116"/>
  <c r="FS47" i="116"/>
  <c r="FT47" i="116"/>
  <c r="FU47" i="116"/>
  <c r="FS48" i="116"/>
  <c r="FT48" i="116"/>
  <c r="FU48" i="116"/>
  <c r="FS49" i="116"/>
  <c r="FT49" i="116"/>
  <c r="FU49" i="116"/>
  <c r="FS50" i="116"/>
  <c r="FT50" i="116"/>
  <c r="FU50" i="116"/>
  <c r="FS51" i="116"/>
  <c r="FT51" i="116"/>
  <c r="FU51" i="116"/>
  <c r="FS52" i="116"/>
  <c r="FT52" i="116"/>
  <c r="FU52" i="116"/>
  <c r="FT3" i="116"/>
  <c r="FU3" i="116"/>
  <c r="FE4" i="116"/>
  <c r="FF4" i="116"/>
  <c r="FG4" i="116"/>
  <c r="AH15" i="35" s="1"/>
  <c r="AH14" i="35" s="1"/>
  <c r="FE5" i="116"/>
  <c r="FF5" i="116"/>
  <c r="FG5" i="116"/>
  <c r="FE6" i="116"/>
  <c r="FF6" i="116"/>
  <c r="FG6" i="116"/>
  <c r="AH22" i="35" s="1"/>
  <c r="FE7" i="116"/>
  <c r="FF7" i="116"/>
  <c r="FG7" i="116"/>
  <c r="FE8" i="116"/>
  <c r="FF8" i="116"/>
  <c r="FG8" i="116"/>
  <c r="AH21" i="35" s="1"/>
  <c r="FE9" i="116"/>
  <c r="FF9" i="116"/>
  <c r="FG9" i="116"/>
  <c r="AH25" i="35" s="1"/>
  <c r="FE10" i="116"/>
  <c r="FF10" i="116"/>
  <c r="FG10" i="116"/>
  <c r="AH23" i="35" s="1"/>
  <c r="FE11" i="116"/>
  <c r="FF11" i="116"/>
  <c r="FG11" i="116"/>
  <c r="FE12" i="116"/>
  <c r="FF12" i="116"/>
  <c r="FG12" i="116"/>
  <c r="AH24" i="35" s="1"/>
  <c r="FE13" i="116"/>
  <c r="FF13" i="116"/>
  <c r="FG13" i="116"/>
  <c r="FE14" i="116"/>
  <c r="FF14" i="116"/>
  <c r="FG14" i="116"/>
  <c r="FE15" i="116"/>
  <c r="FF15" i="116"/>
  <c r="FG15" i="116"/>
  <c r="FE16" i="116"/>
  <c r="FF16" i="116"/>
  <c r="FG16" i="116"/>
  <c r="FE17" i="116"/>
  <c r="FF17" i="116"/>
  <c r="FG17" i="116"/>
  <c r="FE18" i="116"/>
  <c r="FF18" i="116"/>
  <c r="FG18" i="116"/>
  <c r="AH33" i="35" s="1"/>
  <c r="AH30" i="35" s="1"/>
  <c r="FE19" i="116"/>
  <c r="FF19" i="116"/>
  <c r="FG19" i="116"/>
  <c r="FE20" i="116"/>
  <c r="FF20" i="116"/>
  <c r="FG20" i="116"/>
  <c r="AH43" i="35" s="1"/>
  <c r="FE21" i="116"/>
  <c r="FF21" i="116"/>
  <c r="FG21" i="116"/>
  <c r="AH44" i="35" s="1"/>
  <c r="FE22" i="116"/>
  <c r="FF22" i="116"/>
  <c r="FG22" i="116"/>
  <c r="AH45" i="35" s="1"/>
  <c r="FE23" i="116"/>
  <c r="FF23" i="116"/>
  <c r="FG23" i="116"/>
  <c r="AH46" i="35" s="1"/>
  <c r="FF3" i="116"/>
  <c r="FG3" i="116"/>
  <c r="FE3" i="116"/>
  <c r="FS3" i="115"/>
  <c r="FS4" i="115"/>
  <c r="FT4" i="115"/>
  <c r="FU4" i="115"/>
  <c r="FS5" i="115"/>
  <c r="FT5" i="115"/>
  <c r="FU5" i="115"/>
  <c r="FS6" i="115"/>
  <c r="FT6" i="115"/>
  <c r="FU6" i="115"/>
  <c r="FS7" i="115"/>
  <c r="FT7" i="115"/>
  <c r="FU7" i="115"/>
  <c r="FS8" i="115"/>
  <c r="FT8" i="115"/>
  <c r="FU8" i="115"/>
  <c r="FS9" i="115"/>
  <c r="FT9" i="115"/>
  <c r="FU9" i="115"/>
  <c r="FS10" i="115"/>
  <c r="FT10" i="115"/>
  <c r="FU10" i="115"/>
  <c r="FS11" i="115"/>
  <c r="FT11" i="115"/>
  <c r="FU11" i="115"/>
  <c r="FS12" i="115"/>
  <c r="FT12" i="115"/>
  <c r="FU12" i="115"/>
  <c r="FS13" i="115"/>
  <c r="FT13" i="115"/>
  <c r="FU13" i="115"/>
  <c r="FS14" i="115"/>
  <c r="FT14" i="115"/>
  <c r="FU14" i="115"/>
  <c r="FS15" i="115"/>
  <c r="FT15" i="115"/>
  <c r="FU15" i="115"/>
  <c r="FS16" i="115"/>
  <c r="FT16" i="115"/>
  <c r="FU16" i="115"/>
  <c r="FS17" i="115"/>
  <c r="FT17" i="115"/>
  <c r="FU17" i="115"/>
  <c r="FS18" i="115"/>
  <c r="FT18" i="115"/>
  <c r="FU18" i="115"/>
  <c r="FS19" i="115"/>
  <c r="FT19" i="115"/>
  <c r="FU19" i="115"/>
  <c r="FS20" i="115"/>
  <c r="FT20" i="115"/>
  <c r="FU20" i="115"/>
  <c r="FS21" i="115"/>
  <c r="FT21" i="115"/>
  <c r="FU21" i="115"/>
  <c r="FS22" i="115"/>
  <c r="FT22" i="115"/>
  <c r="FU22" i="115"/>
  <c r="FS23" i="115"/>
  <c r="FT23" i="115"/>
  <c r="FU23" i="115"/>
  <c r="FS24" i="115"/>
  <c r="FT24" i="115"/>
  <c r="FU24" i="115"/>
  <c r="FS25" i="115"/>
  <c r="FT25" i="115"/>
  <c r="FU25" i="115"/>
  <c r="FS26" i="115"/>
  <c r="FT26" i="115"/>
  <c r="FU26" i="115"/>
  <c r="FS27" i="115"/>
  <c r="FT27" i="115"/>
  <c r="FU27" i="115"/>
  <c r="FS28" i="115"/>
  <c r="FT28" i="115"/>
  <c r="FU28" i="115"/>
  <c r="FS29" i="115"/>
  <c r="FT29" i="115"/>
  <c r="FU29" i="115"/>
  <c r="FS30" i="115"/>
  <c r="FT30" i="115"/>
  <c r="FU30" i="115"/>
  <c r="FS31" i="115"/>
  <c r="FT31" i="115"/>
  <c r="FU31" i="115"/>
  <c r="FS32" i="115"/>
  <c r="FT32" i="115"/>
  <c r="FU32" i="115"/>
  <c r="FS33" i="115"/>
  <c r="FT33" i="115"/>
  <c r="FU33" i="115"/>
  <c r="FS34" i="115"/>
  <c r="FT34" i="115"/>
  <c r="FU34" i="115"/>
  <c r="FS35" i="115"/>
  <c r="FT35" i="115"/>
  <c r="FU35" i="115"/>
  <c r="FS36" i="115"/>
  <c r="FT36" i="115"/>
  <c r="FU36" i="115"/>
  <c r="FS37" i="115"/>
  <c r="FT37" i="115"/>
  <c r="FU37" i="115"/>
  <c r="FS38" i="115"/>
  <c r="FT38" i="115"/>
  <c r="FU38" i="115"/>
  <c r="FS39" i="115"/>
  <c r="FT39" i="115"/>
  <c r="FU39" i="115"/>
  <c r="FS40" i="115"/>
  <c r="FT40" i="115"/>
  <c r="FU40" i="115"/>
  <c r="FS41" i="115"/>
  <c r="FT41" i="115"/>
  <c r="FU41" i="115"/>
  <c r="FS42" i="115"/>
  <c r="FT42" i="115"/>
  <c r="FU42" i="115"/>
  <c r="FS43" i="115"/>
  <c r="FT43" i="115"/>
  <c r="FU43" i="115"/>
  <c r="FS44" i="115"/>
  <c r="FT44" i="115"/>
  <c r="FU44" i="115"/>
  <c r="FS45" i="115"/>
  <c r="FT45" i="115"/>
  <c r="FU45" i="115"/>
  <c r="FS46" i="115"/>
  <c r="FT46" i="115"/>
  <c r="FU46" i="115"/>
  <c r="FS47" i="115"/>
  <c r="FT47" i="115"/>
  <c r="FU47" i="115"/>
  <c r="FS48" i="115"/>
  <c r="FT48" i="115"/>
  <c r="FU48" i="115"/>
  <c r="FS49" i="115"/>
  <c r="FT49" i="115"/>
  <c r="FU49" i="115"/>
  <c r="FS50" i="115"/>
  <c r="FT50" i="115"/>
  <c r="FU50" i="115"/>
  <c r="FS51" i="115"/>
  <c r="FT51" i="115"/>
  <c r="FU51" i="115"/>
  <c r="FT3" i="115"/>
  <c r="FU3" i="115"/>
  <c r="FE4" i="115"/>
  <c r="FF4" i="115"/>
  <c r="FG4" i="115"/>
  <c r="AH19" i="37" s="1"/>
  <c r="FE5" i="115"/>
  <c r="FF5" i="115"/>
  <c r="FG5" i="115"/>
  <c r="FE6" i="115"/>
  <c r="FF6" i="115"/>
  <c r="FG6" i="115"/>
  <c r="AH17" i="37" s="1"/>
  <c r="FE7" i="115"/>
  <c r="FF7" i="115"/>
  <c r="FG7" i="115"/>
  <c r="AH18" i="37" s="1"/>
  <c r="FE8" i="115"/>
  <c r="FF8" i="115"/>
  <c r="FG8" i="115"/>
  <c r="AH51" i="37" s="1"/>
  <c r="FE9" i="115"/>
  <c r="FF9" i="115"/>
  <c r="FG9" i="115"/>
  <c r="FE10" i="115"/>
  <c r="FF10" i="115"/>
  <c r="FG10" i="115"/>
  <c r="FE11" i="115"/>
  <c r="FF11" i="115"/>
  <c r="FG11" i="115"/>
  <c r="FE12" i="115"/>
  <c r="FF12" i="115"/>
  <c r="FG12" i="115"/>
  <c r="AH39" i="37" s="1"/>
  <c r="FE13" i="115"/>
  <c r="FF13" i="115"/>
  <c r="FG13" i="115"/>
  <c r="FE14" i="115"/>
  <c r="FF14" i="115"/>
  <c r="FG14" i="115"/>
  <c r="AH40" i="37" s="1"/>
  <c r="FE15" i="115"/>
  <c r="FF15" i="115"/>
  <c r="FG15" i="115"/>
  <c r="AH41" i="37" s="1"/>
  <c r="FE16" i="115"/>
  <c r="FF16" i="115"/>
  <c r="FG16" i="115"/>
  <c r="AH44" i="37" s="1"/>
  <c r="FE17" i="115"/>
  <c r="FF17" i="115"/>
  <c r="FG17" i="115"/>
  <c r="AH45" i="37" s="1"/>
  <c r="FE18" i="115"/>
  <c r="FF18" i="115"/>
  <c r="FG18" i="115"/>
  <c r="AH46" i="37" s="1"/>
  <c r="FE19" i="115"/>
  <c r="FF19" i="115"/>
  <c r="FG19" i="115"/>
  <c r="AH47" i="37" s="1"/>
  <c r="FE20" i="115"/>
  <c r="FF20" i="115"/>
  <c r="FG20" i="115"/>
  <c r="AH48" i="37" s="1"/>
  <c r="FE21" i="115"/>
  <c r="FF21" i="115"/>
  <c r="FG21" i="115"/>
  <c r="FE22" i="115"/>
  <c r="FF22" i="115"/>
  <c r="FG22" i="115"/>
  <c r="AH49" i="37" s="1"/>
  <c r="FE23" i="115"/>
  <c r="FF23" i="115"/>
  <c r="FG23" i="115"/>
  <c r="FF3" i="115"/>
  <c r="FG3" i="115"/>
  <c r="FE3" i="115"/>
  <c r="AH11" i="54"/>
  <c r="AH10" i="54" s="1"/>
  <c r="DU4" i="114"/>
  <c r="DV4" i="114"/>
  <c r="DW4" i="114"/>
  <c r="DU5" i="114"/>
  <c r="DV5" i="114"/>
  <c r="DW5" i="114"/>
  <c r="DU6" i="114"/>
  <c r="DV6" i="114"/>
  <c r="DW6" i="114"/>
  <c r="DU7" i="114"/>
  <c r="DV7" i="114"/>
  <c r="DW7" i="114"/>
  <c r="DV3" i="114"/>
  <c r="DW3" i="114"/>
  <c r="DU3" i="114"/>
  <c r="DK4" i="114"/>
  <c r="DK3" i="114"/>
  <c r="AH20" i="35" l="1"/>
  <c r="AH13" i="35" s="1"/>
  <c r="AH10" i="35" s="1"/>
  <c r="AH43" i="37"/>
  <c r="AH38" i="37"/>
  <c r="AI155" i="4"/>
  <c r="AI146" i="4" s="1"/>
  <c r="AI138" i="4" s="1"/>
  <c r="AI133" i="4" s="1"/>
  <c r="AI130" i="4" s="1"/>
  <c r="AI125" i="4" s="1"/>
  <c r="AI118" i="4" s="1"/>
  <c r="AI115" i="4" s="1"/>
  <c r="AI107" i="4" s="1"/>
  <c r="AI98" i="4" s="1"/>
  <c r="AI85" i="4" s="1"/>
  <c r="AH52" i="37"/>
  <c r="FG24" i="116"/>
  <c r="FG24" i="115"/>
  <c r="I77" i="39"/>
  <c r="M77" i="39" s="1"/>
  <c r="AH42" i="35"/>
  <c r="AH41" i="35" s="1"/>
  <c r="AH40" i="35" s="1"/>
  <c r="I209" i="39"/>
  <c r="AH16" i="37"/>
  <c r="AH14" i="37" s="1"/>
  <c r="AH12" i="37" s="1"/>
  <c r="AH9" i="35" l="1"/>
  <c r="M209" i="39"/>
  <c r="O209" i="39"/>
  <c r="K209" i="39"/>
  <c r="AH37" i="37"/>
  <c r="AI83" i="4"/>
  <c r="AI79" i="4"/>
  <c r="N77" i="39"/>
  <c r="O77" i="39" s="1"/>
  <c r="AI78" i="4" l="1"/>
  <c r="AI73" i="4" s="1"/>
  <c r="AI72" i="4" s="1"/>
  <c r="AI63" i="4" s="1"/>
  <c r="AI59" i="4" s="1"/>
  <c r="AI56" i="4" s="1"/>
  <c r="AI42" i="4" s="1"/>
  <c r="AI41" i="4" s="1"/>
  <c r="AI32" i="4" s="1"/>
  <c r="AI25" i="4" s="1"/>
  <c r="AI12" i="4" s="1"/>
  <c r="AI11" i="4" s="1"/>
  <c r="AI10" i="4" s="1"/>
  <c r="AI9" i="4" s="1"/>
  <c r="O70" i="54" l="1"/>
  <c r="O11" i="54"/>
  <c r="M70" i="54"/>
  <c r="M11" i="54"/>
  <c r="AG177" i="4" l="1"/>
  <c r="CX4" i="117" l="1"/>
  <c r="CY4" i="117"/>
  <c r="CX5" i="117"/>
  <c r="CY5" i="117"/>
  <c r="CX6" i="117"/>
  <c r="CY6" i="117"/>
  <c r="AG13" i="4" s="1"/>
  <c r="CX7" i="117"/>
  <c r="CY7" i="117"/>
  <c r="AG14" i="4" s="1"/>
  <c r="CX8" i="117"/>
  <c r="CY8" i="117"/>
  <c r="AG15" i="4" s="1"/>
  <c r="CX9" i="117"/>
  <c r="CY9" i="117"/>
  <c r="AG16" i="4" s="1"/>
  <c r="CX10" i="117"/>
  <c r="CY10" i="117"/>
  <c r="AG17" i="4" s="1"/>
  <c r="CX11" i="117"/>
  <c r="CY11" i="117"/>
  <c r="AG18" i="4" s="1"/>
  <c r="CX12" i="117"/>
  <c r="CY12" i="117"/>
  <c r="AG19" i="4" s="1"/>
  <c r="CX13" i="117"/>
  <c r="CY13" i="117"/>
  <c r="AG20" i="4" s="1"/>
  <c r="CX14" i="117"/>
  <c r="CY14" i="117"/>
  <c r="AG21" i="4" s="1"/>
  <c r="CX15" i="117"/>
  <c r="CY15" i="117"/>
  <c r="AG22" i="4" s="1"/>
  <c r="CX16" i="117"/>
  <c r="CY16" i="117"/>
  <c r="CX17" i="117"/>
  <c r="CY17" i="117"/>
  <c r="AG26" i="4" s="1"/>
  <c r="CX18" i="117"/>
  <c r="CY18" i="117"/>
  <c r="AG27" i="4" s="1"/>
  <c r="CX19" i="117"/>
  <c r="CY19" i="117"/>
  <c r="CX20" i="117"/>
  <c r="CY20" i="117"/>
  <c r="CX21" i="117"/>
  <c r="CY21" i="117"/>
  <c r="CX22" i="117"/>
  <c r="CY22" i="117"/>
  <c r="CX23" i="117"/>
  <c r="CY23" i="117"/>
  <c r="AG33" i="4" s="1"/>
  <c r="CX24" i="117"/>
  <c r="CY24" i="117"/>
  <c r="AG35" i="4" s="1"/>
  <c r="CX25" i="117"/>
  <c r="CY25" i="117"/>
  <c r="CX26" i="117"/>
  <c r="CY26" i="117"/>
  <c r="CX27" i="117"/>
  <c r="CY27" i="117"/>
  <c r="CX28" i="117"/>
  <c r="CY28" i="117"/>
  <c r="CX29" i="117"/>
  <c r="CY29" i="117"/>
  <c r="AG43" i="4" s="1"/>
  <c r="CX30" i="117"/>
  <c r="CY30" i="117"/>
  <c r="AG44" i="4" s="1"/>
  <c r="CX31" i="117"/>
  <c r="CY31" i="117"/>
  <c r="AG45" i="4" s="1"/>
  <c r="CX32" i="117"/>
  <c r="CY32" i="117"/>
  <c r="AG46" i="4" s="1"/>
  <c r="CX33" i="117"/>
  <c r="CY33" i="117"/>
  <c r="AG48" i="4" s="1"/>
  <c r="CX34" i="117"/>
  <c r="CY34" i="117"/>
  <c r="AG49" i="4" s="1"/>
  <c r="CX35" i="117"/>
  <c r="CY35" i="117"/>
  <c r="AG50" i="4" s="1"/>
  <c r="CX36" i="117"/>
  <c r="CY36" i="117"/>
  <c r="AG51" i="4" s="1"/>
  <c r="CX37" i="117"/>
  <c r="CY37" i="117"/>
  <c r="AG52" i="4" s="1"/>
  <c r="CX38" i="117"/>
  <c r="CY38" i="117"/>
  <c r="AG53" i="4" s="1"/>
  <c r="CX39" i="117"/>
  <c r="CY39" i="117"/>
  <c r="CX40" i="117"/>
  <c r="CY40" i="117"/>
  <c r="AG57" i="4" s="1"/>
  <c r="CX41" i="117"/>
  <c r="CY41" i="117"/>
  <c r="AG58" i="4" s="1"/>
  <c r="CX42" i="117"/>
  <c r="CY42" i="117"/>
  <c r="CX43" i="117"/>
  <c r="CY43" i="117"/>
  <c r="AG60" i="4" s="1"/>
  <c r="CX44" i="117"/>
  <c r="CY44" i="117"/>
  <c r="AG61" i="4" s="1"/>
  <c r="CX45" i="117"/>
  <c r="CY45" i="117"/>
  <c r="CX46" i="117"/>
  <c r="CY46" i="117"/>
  <c r="AG64" i="4" s="1"/>
  <c r="CX47" i="117"/>
  <c r="CY47" i="117"/>
  <c r="AG65" i="4" s="1"/>
  <c r="CX48" i="117"/>
  <c r="CY48" i="117"/>
  <c r="AG66" i="4" s="1"/>
  <c r="CX49" i="117"/>
  <c r="CY49" i="117"/>
  <c r="CX50" i="117"/>
  <c r="CY50" i="117"/>
  <c r="CX51" i="117"/>
  <c r="CY51" i="117"/>
  <c r="CX52" i="117"/>
  <c r="CY52" i="117"/>
  <c r="CX53" i="117"/>
  <c r="CY53" i="117"/>
  <c r="AG74" i="4" s="1"/>
  <c r="CX54" i="117"/>
  <c r="CY54" i="117"/>
  <c r="AG75" i="4" s="1"/>
  <c r="CX55" i="117"/>
  <c r="CY55" i="117"/>
  <c r="CX56" i="117"/>
  <c r="CY56" i="117"/>
  <c r="CX57" i="117"/>
  <c r="CY57" i="117"/>
  <c r="AG81" i="4" s="1"/>
  <c r="CX58" i="117"/>
  <c r="CY58" i="117"/>
  <c r="AG82" i="4" s="1"/>
  <c r="CX59" i="117"/>
  <c r="CY59" i="117"/>
  <c r="CX60" i="117"/>
  <c r="CY60" i="117"/>
  <c r="AG86" i="4" s="1"/>
  <c r="CX61" i="117"/>
  <c r="CY61" i="117"/>
  <c r="AG87" i="4" s="1"/>
  <c r="CX62" i="117"/>
  <c r="CY62" i="117"/>
  <c r="AG89" i="4" s="1"/>
  <c r="CX63" i="117"/>
  <c r="CY63" i="117"/>
  <c r="AG90" i="4" s="1"/>
  <c r="CX64" i="117"/>
  <c r="CY64" i="117"/>
  <c r="AG93" i="4" s="1"/>
  <c r="CX65" i="117"/>
  <c r="CY65" i="117"/>
  <c r="AG94" i="4" s="1"/>
  <c r="CX66" i="117"/>
  <c r="CY66" i="117"/>
  <c r="AG95" i="4" s="1"/>
  <c r="CX67" i="117"/>
  <c r="CY67" i="117"/>
  <c r="AG96" i="4" s="1"/>
  <c r="CX68" i="117"/>
  <c r="CY68" i="117"/>
  <c r="AG97" i="4" s="1"/>
  <c r="CX69" i="117"/>
  <c r="CY69" i="117"/>
  <c r="CX70" i="117"/>
  <c r="CY70" i="117"/>
  <c r="AG99" i="4" s="1"/>
  <c r="CX71" i="117"/>
  <c r="CY71" i="117"/>
  <c r="AG100" i="4" s="1"/>
  <c r="CX72" i="117"/>
  <c r="CY72" i="117"/>
  <c r="AG101" i="4" s="1"/>
  <c r="CX73" i="117"/>
  <c r="CY73" i="117"/>
  <c r="AG102" i="4" s="1"/>
  <c r="CX74" i="117"/>
  <c r="CY74" i="117"/>
  <c r="AG103" i="4" s="1"/>
  <c r="CX75" i="117"/>
  <c r="CY75" i="117"/>
  <c r="AG104" i="4" s="1"/>
  <c r="CX76" i="117"/>
  <c r="CY76" i="117"/>
  <c r="AG105" i="4" s="1"/>
  <c r="CX77" i="117"/>
  <c r="CY77" i="117"/>
  <c r="AG106" i="4" s="1"/>
  <c r="CX78" i="117"/>
  <c r="CY78" i="117"/>
  <c r="CX79" i="117"/>
  <c r="CY79" i="117"/>
  <c r="AG108" i="4" s="1"/>
  <c r="CX80" i="117"/>
  <c r="CY80" i="117"/>
  <c r="AG109" i="4" s="1"/>
  <c r="CX81" i="117"/>
  <c r="CY81" i="117"/>
  <c r="AG112" i="4" s="1"/>
  <c r="CX82" i="117"/>
  <c r="CY82" i="117"/>
  <c r="AG113" i="4" s="1"/>
  <c r="CX83" i="117"/>
  <c r="CY83" i="117"/>
  <c r="CX84" i="117"/>
  <c r="CY84" i="117"/>
  <c r="AG116" i="4" s="1"/>
  <c r="CX85" i="117"/>
  <c r="CY85" i="117"/>
  <c r="AG117" i="4" s="1"/>
  <c r="CX86" i="117"/>
  <c r="CY86" i="117"/>
  <c r="CX87" i="117"/>
  <c r="CY87" i="117"/>
  <c r="AG119" i="4" s="1"/>
  <c r="CX88" i="117"/>
  <c r="CY88" i="117"/>
  <c r="AG121" i="4" s="1"/>
  <c r="CX89" i="117"/>
  <c r="CY89" i="117"/>
  <c r="AG122" i="4" s="1"/>
  <c r="CX90" i="117"/>
  <c r="CY90" i="117"/>
  <c r="AG124" i="4" s="1"/>
  <c r="CX91" i="117"/>
  <c r="CY91" i="117"/>
  <c r="CX92" i="117"/>
  <c r="CY92" i="117"/>
  <c r="AG126" i="4" s="1"/>
  <c r="CX93" i="117"/>
  <c r="CY93" i="117"/>
  <c r="AG127" i="4" s="1"/>
  <c r="CX94" i="117"/>
  <c r="CY94" i="117"/>
  <c r="AG128" i="4" s="1"/>
  <c r="CX95" i="117"/>
  <c r="CY95" i="117"/>
  <c r="AG129" i="4" s="1"/>
  <c r="CX96" i="117"/>
  <c r="CY96" i="117"/>
  <c r="CX97" i="117"/>
  <c r="CY97" i="117"/>
  <c r="AG131" i="4" s="1"/>
  <c r="CX98" i="117"/>
  <c r="CY98" i="117"/>
  <c r="CX99" i="117"/>
  <c r="CY99" i="117"/>
  <c r="AG134" i="4" s="1"/>
  <c r="CX100" i="117"/>
  <c r="CY100" i="117"/>
  <c r="AG135" i="4" s="1"/>
  <c r="CX101" i="117"/>
  <c r="CY101" i="117"/>
  <c r="AG136" i="4" s="1"/>
  <c r="CX102" i="117"/>
  <c r="CY102" i="117"/>
  <c r="AG137" i="4" s="1"/>
  <c r="CX103" i="117"/>
  <c r="CY103" i="117"/>
  <c r="CX104" i="117"/>
  <c r="CY104" i="117"/>
  <c r="AG139" i="4" s="1"/>
  <c r="CX105" i="117"/>
  <c r="CY105" i="117"/>
  <c r="CX106" i="117"/>
  <c r="CY106" i="117"/>
  <c r="CX107" i="117"/>
  <c r="CY107" i="117"/>
  <c r="CX108" i="117"/>
  <c r="CY108" i="117"/>
  <c r="AG159" i="4" s="1"/>
  <c r="CX109" i="117"/>
  <c r="CY109" i="117"/>
  <c r="CX110" i="117"/>
  <c r="CY110" i="117"/>
  <c r="AG169" i="4" s="1"/>
  <c r="CX111" i="117"/>
  <c r="CY111" i="117"/>
  <c r="CX112" i="117"/>
  <c r="CY112" i="117"/>
  <c r="CX113" i="117"/>
  <c r="CY113" i="117"/>
  <c r="AG180" i="4" s="1"/>
  <c r="AG179" i="4" s="1"/>
  <c r="CX114" i="117"/>
  <c r="CY114" i="117"/>
  <c r="CX115" i="117"/>
  <c r="CY115" i="117"/>
  <c r="CX116" i="117"/>
  <c r="CY116" i="117"/>
  <c r="CX117" i="117"/>
  <c r="CY117" i="117"/>
  <c r="AG184" i="4" s="1"/>
  <c r="CX118" i="117"/>
  <c r="CY118" i="117"/>
  <c r="CX119" i="117"/>
  <c r="CY119" i="117"/>
  <c r="CX120" i="117"/>
  <c r="CY120" i="117"/>
  <c r="AG185" i="4" s="1"/>
  <c r="CX121" i="117"/>
  <c r="CY121" i="117"/>
  <c r="CY3" i="117"/>
  <c r="CX3" i="117"/>
  <c r="DG4" i="117"/>
  <c r="DH4" i="117"/>
  <c r="DI4" i="117"/>
  <c r="DJ4" i="117"/>
  <c r="DG5" i="117"/>
  <c r="DH5" i="117"/>
  <c r="DI5" i="117"/>
  <c r="DJ5" i="117"/>
  <c r="DG6" i="117"/>
  <c r="DH6" i="117"/>
  <c r="DI6" i="117"/>
  <c r="DJ6" i="117"/>
  <c r="DG7" i="117"/>
  <c r="DH7" i="117"/>
  <c r="DI7" i="117"/>
  <c r="DJ7" i="117"/>
  <c r="DG8" i="117"/>
  <c r="DH8" i="117"/>
  <c r="DI8" i="117"/>
  <c r="DJ8" i="117"/>
  <c r="DG9" i="117"/>
  <c r="DH9" i="117"/>
  <c r="DI9" i="117"/>
  <c r="DJ9" i="117"/>
  <c r="DG10" i="117"/>
  <c r="DH10" i="117"/>
  <c r="DI10" i="117"/>
  <c r="DJ10" i="117"/>
  <c r="DG11" i="117"/>
  <c r="DH11" i="117"/>
  <c r="DI11" i="117"/>
  <c r="DJ11" i="117"/>
  <c r="DG12" i="117"/>
  <c r="DH12" i="117"/>
  <c r="DI12" i="117"/>
  <c r="DJ12" i="117"/>
  <c r="DG13" i="117"/>
  <c r="DH13" i="117"/>
  <c r="DI13" i="117"/>
  <c r="DJ13" i="117"/>
  <c r="DG14" i="117"/>
  <c r="DH14" i="117"/>
  <c r="DI14" i="117"/>
  <c r="DJ14" i="117"/>
  <c r="DG15" i="117"/>
  <c r="DH15" i="117"/>
  <c r="DI15" i="117"/>
  <c r="DJ15" i="117"/>
  <c r="DG16" i="117"/>
  <c r="DH16" i="117"/>
  <c r="DI16" i="117"/>
  <c r="DJ16" i="117"/>
  <c r="DG17" i="117"/>
  <c r="DH17" i="117"/>
  <c r="DI17" i="117"/>
  <c r="DJ17" i="117"/>
  <c r="DG18" i="117"/>
  <c r="DH18" i="117"/>
  <c r="DI18" i="117"/>
  <c r="DJ18" i="117"/>
  <c r="DG19" i="117"/>
  <c r="DH19" i="117"/>
  <c r="DI19" i="117"/>
  <c r="DJ19" i="117"/>
  <c r="DG20" i="117"/>
  <c r="DH20" i="117"/>
  <c r="DI20" i="117"/>
  <c r="DJ20" i="117"/>
  <c r="DG21" i="117"/>
  <c r="DH21" i="117"/>
  <c r="DI21" i="117"/>
  <c r="DJ21" i="117"/>
  <c r="DG22" i="117"/>
  <c r="DH22" i="117"/>
  <c r="DI22" i="117"/>
  <c r="DJ22" i="117"/>
  <c r="DG23" i="117"/>
  <c r="DH23" i="117"/>
  <c r="DI23" i="117"/>
  <c r="DJ23" i="117"/>
  <c r="DG24" i="117"/>
  <c r="DH24" i="117"/>
  <c r="DI24" i="117"/>
  <c r="DJ24" i="117"/>
  <c r="DG25" i="117"/>
  <c r="DH25" i="117"/>
  <c r="DI25" i="117"/>
  <c r="DJ25" i="117"/>
  <c r="DG26" i="117"/>
  <c r="DH26" i="117"/>
  <c r="DI26" i="117"/>
  <c r="DJ26" i="117"/>
  <c r="DG27" i="117"/>
  <c r="DH27" i="117"/>
  <c r="DI27" i="117"/>
  <c r="DJ27" i="117"/>
  <c r="DG28" i="117"/>
  <c r="DH28" i="117"/>
  <c r="DI28" i="117"/>
  <c r="DJ28" i="117"/>
  <c r="DG29" i="117"/>
  <c r="DH29" i="117"/>
  <c r="DI29" i="117"/>
  <c r="DJ29" i="117"/>
  <c r="DG30" i="117"/>
  <c r="DH30" i="117"/>
  <c r="DI30" i="117"/>
  <c r="DJ30" i="117"/>
  <c r="DG31" i="117"/>
  <c r="DH31" i="117"/>
  <c r="DI31" i="117"/>
  <c r="DJ31" i="117"/>
  <c r="DG32" i="117"/>
  <c r="DH32" i="117"/>
  <c r="DI32" i="117"/>
  <c r="DJ32" i="117"/>
  <c r="DG33" i="117"/>
  <c r="DH33" i="117"/>
  <c r="DI33" i="117"/>
  <c r="DJ33" i="117"/>
  <c r="DG34" i="117"/>
  <c r="DH34" i="117"/>
  <c r="DI34" i="117"/>
  <c r="DJ34" i="117"/>
  <c r="DG35" i="117"/>
  <c r="DH35" i="117"/>
  <c r="DI35" i="117"/>
  <c r="DJ35" i="117"/>
  <c r="DG36" i="117"/>
  <c r="DH36" i="117"/>
  <c r="DI36" i="117"/>
  <c r="DJ36" i="117"/>
  <c r="DG37" i="117"/>
  <c r="DH37" i="117"/>
  <c r="DI37" i="117"/>
  <c r="DJ37" i="117"/>
  <c r="DG38" i="117"/>
  <c r="DH38" i="117"/>
  <c r="DI38" i="117"/>
  <c r="DJ38" i="117"/>
  <c r="DG39" i="117"/>
  <c r="DH39" i="117"/>
  <c r="DI39" i="117"/>
  <c r="DJ39" i="117"/>
  <c r="DG40" i="117"/>
  <c r="DH40" i="117"/>
  <c r="DI40" i="117"/>
  <c r="DJ40" i="117"/>
  <c r="DG41" i="117"/>
  <c r="DH41" i="117"/>
  <c r="DI41" i="117"/>
  <c r="DJ41" i="117"/>
  <c r="DG42" i="117"/>
  <c r="DH42" i="117"/>
  <c r="DI42" i="117"/>
  <c r="DJ42" i="117"/>
  <c r="DG43" i="117"/>
  <c r="DH43" i="117"/>
  <c r="DI43" i="117"/>
  <c r="DJ43" i="117"/>
  <c r="DG44" i="117"/>
  <c r="DH44" i="117"/>
  <c r="DI44" i="117"/>
  <c r="DJ44" i="117"/>
  <c r="DG45" i="117"/>
  <c r="DH45" i="117"/>
  <c r="DI45" i="117"/>
  <c r="DJ45" i="117"/>
  <c r="DG46" i="117"/>
  <c r="DH46" i="117"/>
  <c r="DI46" i="117"/>
  <c r="DJ46" i="117"/>
  <c r="DG47" i="117"/>
  <c r="DH47" i="117"/>
  <c r="DI47" i="117"/>
  <c r="DJ47" i="117"/>
  <c r="DG48" i="117"/>
  <c r="DH48" i="117"/>
  <c r="DI48" i="117"/>
  <c r="DJ48" i="117"/>
  <c r="DG49" i="117"/>
  <c r="DH49" i="117"/>
  <c r="DI49" i="117"/>
  <c r="DJ49" i="117"/>
  <c r="DG50" i="117"/>
  <c r="DH50" i="117"/>
  <c r="DI50" i="117"/>
  <c r="DJ50" i="117"/>
  <c r="DG51" i="117"/>
  <c r="DH51" i="117"/>
  <c r="DI51" i="117"/>
  <c r="DJ51" i="117"/>
  <c r="DG52" i="117"/>
  <c r="DH52" i="117"/>
  <c r="DI52" i="117"/>
  <c r="DJ52" i="117"/>
  <c r="DG53" i="117"/>
  <c r="DH53" i="117"/>
  <c r="DI53" i="117"/>
  <c r="DJ53" i="117"/>
  <c r="DG54" i="117"/>
  <c r="DH54" i="117"/>
  <c r="DI54" i="117"/>
  <c r="DJ54" i="117"/>
  <c r="DG55" i="117"/>
  <c r="DH55" i="117"/>
  <c r="DI55" i="117"/>
  <c r="DJ55" i="117"/>
  <c r="DG56" i="117"/>
  <c r="DH56" i="117"/>
  <c r="DI56" i="117"/>
  <c r="DJ56" i="117"/>
  <c r="DG57" i="117"/>
  <c r="DH57" i="117"/>
  <c r="DI57" i="117"/>
  <c r="DJ57" i="117"/>
  <c r="DG58" i="117"/>
  <c r="DH58" i="117"/>
  <c r="DI58" i="117"/>
  <c r="DJ58" i="117"/>
  <c r="DG59" i="117"/>
  <c r="DH59" i="117"/>
  <c r="DI59" i="117"/>
  <c r="DJ59" i="117"/>
  <c r="DG60" i="117"/>
  <c r="DH60" i="117"/>
  <c r="DI60" i="117"/>
  <c r="DJ60" i="117"/>
  <c r="DG61" i="117"/>
  <c r="DH61" i="117"/>
  <c r="DI61" i="117"/>
  <c r="DJ61" i="117"/>
  <c r="DG62" i="117"/>
  <c r="DH62" i="117"/>
  <c r="DI62" i="117"/>
  <c r="DJ62" i="117"/>
  <c r="DG63" i="117"/>
  <c r="DH63" i="117"/>
  <c r="DI63" i="117"/>
  <c r="DJ63" i="117"/>
  <c r="DG64" i="117"/>
  <c r="DH64" i="117"/>
  <c r="DI64" i="117"/>
  <c r="DJ64" i="117"/>
  <c r="DG65" i="117"/>
  <c r="DH65" i="117"/>
  <c r="DI65" i="117"/>
  <c r="DJ65" i="117"/>
  <c r="DG66" i="117"/>
  <c r="DH66" i="117"/>
  <c r="DI66" i="117"/>
  <c r="DJ66" i="117"/>
  <c r="DG67" i="117"/>
  <c r="DH67" i="117"/>
  <c r="DI67" i="117"/>
  <c r="DJ67" i="117"/>
  <c r="DG68" i="117"/>
  <c r="DH68" i="117"/>
  <c r="DI68" i="117"/>
  <c r="DJ68" i="117"/>
  <c r="DG69" i="117"/>
  <c r="DH69" i="117"/>
  <c r="DI69" i="117"/>
  <c r="DJ69" i="117"/>
  <c r="DG70" i="117"/>
  <c r="DH70" i="117"/>
  <c r="DI70" i="117"/>
  <c r="DJ70" i="117"/>
  <c r="DG71" i="117"/>
  <c r="DH71" i="117"/>
  <c r="DI71" i="117"/>
  <c r="DJ71" i="117"/>
  <c r="DG72" i="117"/>
  <c r="DH72" i="117"/>
  <c r="DI72" i="117"/>
  <c r="DJ72" i="117"/>
  <c r="DG73" i="117"/>
  <c r="DH73" i="117"/>
  <c r="DI73" i="117"/>
  <c r="DJ73" i="117"/>
  <c r="DG74" i="117"/>
  <c r="DH74" i="117"/>
  <c r="DI74" i="117"/>
  <c r="DJ74" i="117"/>
  <c r="DG75" i="117"/>
  <c r="DH75" i="117"/>
  <c r="DI75" i="117"/>
  <c r="DJ75" i="117"/>
  <c r="DG76" i="117"/>
  <c r="DH76" i="117"/>
  <c r="DI76" i="117"/>
  <c r="DJ76" i="117"/>
  <c r="DG77" i="117"/>
  <c r="DH77" i="117"/>
  <c r="DI77" i="117"/>
  <c r="DJ77" i="117"/>
  <c r="DG78" i="117"/>
  <c r="DH78" i="117"/>
  <c r="DI78" i="117"/>
  <c r="DJ78" i="117"/>
  <c r="DG79" i="117"/>
  <c r="DH79" i="117"/>
  <c r="DI79" i="117"/>
  <c r="DJ79" i="117"/>
  <c r="DG80" i="117"/>
  <c r="DH80" i="117"/>
  <c r="DI80" i="117"/>
  <c r="DJ80" i="117"/>
  <c r="DG81" i="117"/>
  <c r="DH81" i="117"/>
  <c r="DI81" i="117"/>
  <c r="DJ81" i="117"/>
  <c r="DG82" i="117"/>
  <c r="DH82" i="117"/>
  <c r="DI82" i="117"/>
  <c r="DJ82" i="117"/>
  <c r="DG83" i="117"/>
  <c r="DH83" i="117"/>
  <c r="DI83" i="117"/>
  <c r="DJ83" i="117"/>
  <c r="DG84" i="117"/>
  <c r="DH84" i="117"/>
  <c r="DI84" i="117"/>
  <c r="DJ84" i="117"/>
  <c r="DG85" i="117"/>
  <c r="DH85" i="117"/>
  <c r="DI85" i="117"/>
  <c r="DJ85" i="117"/>
  <c r="DG86" i="117"/>
  <c r="DH86" i="117"/>
  <c r="DI86" i="117"/>
  <c r="DJ86" i="117"/>
  <c r="DG87" i="117"/>
  <c r="DH87" i="117"/>
  <c r="DI87" i="117"/>
  <c r="DJ87" i="117"/>
  <c r="DG88" i="117"/>
  <c r="DH88" i="117"/>
  <c r="DI88" i="117"/>
  <c r="DJ88" i="117"/>
  <c r="DG89" i="117"/>
  <c r="DH89" i="117"/>
  <c r="DI89" i="117"/>
  <c r="DJ89" i="117"/>
  <c r="DG90" i="117"/>
  <c r="DH90" i="117"/>
  <c r="DI90" i="117"/>
  <c r="DJ90" i="117"/>
  <c r="DG91" i="117"/>
  <c r="DH91" i="117"/>
  <c r="DI91" i="117"/>
  <c r="DJ91" i="117"/>
  <c r="DG92" i="117"/>
  <c r="DH92" i="117"/>
  <c r="DI92" i="117"/>
  <c r="DJ92" i="117"/>
  <c r="DG93" i="117"/>
  <c r="DH93" i="117"/>
  <c r="DI93" i="117"/>
  <c r="DJ93" i="117"/>
  <c r="DG94" i="117"/>
  <c r="DH94" i="117"/>
  <c r="DI94" i="117"/>
  <c r="DJ94" i="117"/>
  <c r="DG95" i="117"/>
  <c r="DH95" i="117"/>
  <c r="DI95" i="117"/>
  <c r="DJ95" i="117"/>
  <c r="DG96" i="117"/>
  <c r="DH96" i="117"/>
  <c r="DI96" i="117"/>
  <c r="DJ96" i="117"/>
  <c r="DG97" i="117"/>
  <c r="DH97" i="117"/>
  <c r="DI97" i="117"/>
  <c r="DJ97" i="117"/>
  <c r="DG98" i="117"/>
  <c r="DH98" i="117"/>
  <c r="DI98" i="117"/>
  <c r="DJ98" i="117"/>
  <c r="DG99" i="117"/>
  <c r="DH99" i="117"/>
  <c r="DI99" i="117"/>
  <c r="DJ99" i="117"/>
  <c r="DG100" i="117"/>
  <c r="DH100" i="117"/>
  <c r="DI100" i="117"/>
  <c r="DJ100" i="117"/>
  <c r="DG101" i="117"/>
  <c r="DH101" i="117"/>
  <c r="DI101" i="117"/>
  <c r="DJ101" i="117"/>
  <c r="DG102" i="117"/>
  <c r="DH102" i="117"/>
  <c r="DI102" i="117"/>
  <c r="DJ102" i="117"/>
  <c r="DG103" i="117"/>
  <c r="DH103" i="117"/>
  <c r="DI103" i="117"/>
  <c r="DJ103" i="117"/>
  <c r="DG104" i="117"/>
  <c r="DH104" i="117"/>
  <c r="DI104" i="117"/>
  <c r="DJ104" i="117"/>
  <c r="DG105" i="117"/>
  <c r="DH105" i="117"/>
  <c r="DI105" i="117"/>
  <c r="DJ105" i="117"/>
  <c r="DG106" i="117"/>
  <c r="DH106" i="117"/>
  <c r="DI106" i="117"/>
  <c r="DJ106" i="117"/>
  <c r="DG107" i="117"/>
  <c r="DH107" i="117"/>
  <c r="DI107" i="117"/>
  <c r="DJ107" i="117"/>
  <c r="DG108" i="117"/>
  <c r="DH108" i="117"/>
  <c r="DI108" i="117"/>
  <c r="DJ108" i="117"/>
  <c r="DG109" i="117"/>
  <c r="DH109" i="117"/>
  <c r="DI109" i="117"/>
  <c r="DJ109" i="117"/>
  <c r="DG110" i="117"/>
  <c r="DH110" i="117"/>
  <c r="DI110" i="117"/>
  <c r="DJ110" i="117"/>
  <c r="DG111" i="117"/>
  <c r="DH111" i="117"/>
  <c r="DI111" i="117"/>
  <c r="DJ111" i="117"/>
  <c r="DG112" i="117"/>
  <c r="DH112" i="117"/>
  <c r="DI112" i="117"/>
  <c r="DJ112" i="117"/>
  <c r="DG113" i="117"/>
  <c r="DH113" i="117"/>
  <c r="DI113" i="117"/>
  <c r="DJ113" i="117"/>
  <c r="DG114" i="117"/>
  <c r="DH114" i="117"/>
  <c r="DI114" i="117"/>
  <c r="DJ114" i="117"/>
  <c r="DG115" i="117"/>
  <c r="DH115" i="117"/>
  <c r="DI115" i="117"/>
  <c r="DJ115" i="117"/>
  <c r="DG116" i="117"/>
  <c r="DH116" i="117"/>
  <c r="DI116" i="117"/>
  <c r="DJ116" i="117"/>
  <c r="DG117" i="117"/>
  <c r="DH117" i="117"/>
  <c r="DI117" i="117"/>
  <c r="DJ117" i="117"/>
  <c r="DG118" i="117"/>
  <c r="DH118" i="117"/>
  <c r="DI118" i="117"/>
  <c r="DJ118" i="117"/>
  <c r="DG119" i="117"/>
  <c r="DH119" i="117"/>
  <c r="DI119" i="117"/>
  <c r="DJ119" i="117"/>
  <c r="DG120" i="117"/>
  <c r="DH120" i="117"/>
  <c r="DI120" i="117"/>
  <c r="DJ120" i="117"/>
  <c r="DG121" i="117"/>
  <c r="DH121" i="117"/>
  <c r="DI121" i="117"/>
  <c r="DJ121" i="117"/>
  <c r="DG122" i="117"/>
  <c r="DH122" i="117"/>
  <c r="DI122" i="117"/>
  <c r="DJ122" i="117"/>
  <c r="DG123" i="117"/>
  <c r="DH123" i="117"/>
  <c r="DI123" i="117"/>
  <c r="DJ123" i="117"/>
  <c r="DG124" i="117"/>
  <c r="DH124" i="117"/>
  <c r="DI124" i="117"/>
  <c r="DJ124" i="117"/>
  <c r="DG125" i="117"/>
  <c r="DH125" i="117"/>
  <c r="DI125" i="117"/>
  <c r="DJ125" i="117"/>
  <c r="DG126" i="117"/>
  <c r="DH126" i="117"/>
  <c r="DI126" i="117"/>
  <c r="DJ126" i="117"/>
  <c r="DG127" i="117"/>
  <c r="DH127" i="117"/>
  <c r="DI127" i="117"/>
  <c r="DJ127" i="117"/>
  <c r="DG128" i="117"/>
  <c r="DH128" i="117"/>
  <c r="DI128" i="117"/>
  <c r="DJ128" i="117"/>
  <c r="DG129" i="117"/>
  <c r="DH129" i="117"/>
  <c r="DI129" i="117"/>
  <c r="DJ129" i="117"/>
  <c r="DG130" i="117"/>
  <c r="DH130" i="117"/>
  <c r="DI130" i="117"/>
  <c r="DJ130" i="117"/>
  <c r="DG131" i="117"/>
  <c r="DH131" i="117"/>
  <c r="DI131" i="117"/>
  <c r="DJ131" i="117"/>
  <c r="DG132" i="117"/>
  <c r="DH132" i="117"/>
  <c r="DI132" i="117"/>
  <c r="DJ132" i="117"/>
  <c r="DG133" i="117"/>
  <c r="DH133" i="117"/>
  <c r="DI133" i="117"/>
  <c r="DJ133" i="117"/>
  <c r="DG134" i="117"/>
  <c r="DH134" i="117"/>
  <c r="DI134" i="117"/>
  <c r="DJ134" i="117"/>
  <c r="DG135" i="117"/>
  <c r="DH135" i="117"/>
  <c r="DI135" i="117"/>
  <c r="DJ135" i="117"/>
  <c r="DG136" i="117"/>
  <c r="DH136" i="117"/>
  <c r="DI136" i="117"/>
  <c r="DJ136" i="117"/>
  <c r="DG137" i="117"/>
  <c r="DH137" i="117"/>
  <c r="DI137" i="117"/>
  <c r="DJ137" i="117"/>
  <c r="DG138" i="117"/>
  <c r="DH138" i="117"/>
  <c r="DI138" i="117"/>
  <c r="DJ138" i="117"/>
  <c r="DG139" i="117"/>
  <c r="DH139" i="117"/>
  <c r="DI139" i="117"/>
  <c r="DJ139" i="117"/>
  <c r="DG140" i="117"/>
  <c r="DH140" i="117"/>
  <c r="DI140" i="117"/>
  <c r="DJ140" i="117"/>
  <c r="DG141" i="117"/>
  <c r="DH141" i="117"/>
  <c r="DI141" i="117"/>
  <c r="DJ141" i="117"/>
  <c r="DG142" i="117"/>
  <c r="DH142" i="117"/>
  <c r="DI142" i="117"/>
  <c r="DJ142" i="117"/>
  <c r="DG143" i="117"/>
  <c r="DH143" i="117"/>
  <c r="DI143" i="117"/>
  <c r="DJ143" i="117"/>
  <c r="DG144" i="117"/>
  <c r="DH144" i="117"/>
  <c r="DI144" i="117"/>
  <c r="DJ144" i="117"/>
  <c r="DG145" i="117"/>
  <c r="DH145" i="117"/>
  <c r="DI145" i="117"/>
  <c r="DJ145" i="117"/>
  <c r="DG146" i="117"/>
  <c r="DH146" i="117"/>
  <c r="DI146" i="117"/>
  <c r="DJ146" i="117"/>
  <c r="DG147" i="117"/>
  <c r="DH147" i="117"/>
  <c r="DI147" i="117"/>
  <c r="DJ147" i="117"/>
  <c r="DG148" i="117"/>
  <c r="DH148" i="117"/>
  <c r="DI148" i="117"/>
  <c r="DJ148" i="117"/>
  <c r="DG149" i="117"/>
  <c r="DH149" i="117"/>
  <c r="DI149" i="117"/>
  <c r="DJ149" i="117"/>
  <c r="DG150" i="117"/>
  <c r="DH150" i="117"/>
  <c r="DI150" i="117"/>
  <c r="DJ150" i="117"/>
  <c r="DG151" i="117"/>
  <c r="DH151" i="117"/>
  <c r="DI151" i="117"/>
  <c r="DJ151" i="117"/>
  <c r="DG152" i="117"/>
  <c r="DH152" i="117"/>
  <c r="DI152" i="117"/>
  <c r="DJ152" i="117"/>
  <c r="DG153" i="117"/>
  <c r="DH153" i="117"/>
  <c r="DI153" i="117"/>
  <c r="DJ153" i="117"/>
  <c r="DG154" i="117"/>
  <c r="DH154" i="117"/>
  <c r="DI154" i="117"/>
  <c r="DJ154" i="117"/>
  <c r="DG155" i="117"/>
  <c r="DH155" i="117"/>
  <c r="DI155" i="117"/>
  <c r="DJ155" i="117"/>
  <c r="DG156" i="117"/>
  <c r="DH156" i="117"/>
  <c r="DI156" i="117"/>
  <c r="DJ156" i="117"/>
  <c r="DG157" i="117"/>
  <c r="DH157" i="117"/>
  <c r="DI157" i="117"/>
  <c r="DJ157" i="117"/>
  <c r="DG158" i="117"/>
  <c r="DH158" i="117"/>
  <c r="DI158" i="117"/>
  <c r="DJ158" i="117"/>
  <c r="DG159" i="117"/>
  <c r="DH159" i="117"/>
  <c r="DI159" i="117"/>
  <c r="DJ159" i="117"/>
  <c r="DG160" i="117"/>
  <c r="DH160" i="117"/>
  <c r="DI160" i="117"/>
  <c r="DJ160" i="117"/>
  <c r="DG161" i="117"/>
  <c r="DH161" i="117"/>
  <c r="DI161" i="117"/>
  <c r="DJ161" i="117"/>
  <c r="DG162" i="117"/>
  <c r="DH162" i="117"/>
  <c r="DI162" i="117"/>
  <c r="DJ162" i="117"/>
  <c r="DG163" i="117"/>
  <c r="DH163" i="117"/>
  <c r="DI163" i="117"/>
  <c r="DJ163" i="117"/>
  <c r="DG164" i="117"/>
  <c r="DH164" i="117"/>
  <c r="DI164" i="117"/>
  <c r="DJ164" i="117"/>
  <c r="DG165" i="117"/>
  <c r="DH165" i="117"/>
  <c r="DI165" i="117"/>
  <c r="DJ165" i="117"/>
  <c r="DG166" i="117"/>
  <c r="DH166" i="117"/>
  <c r="DI166" i="117"/>
  <c r="DJ166" i="117"/>
  <c r="DG167" i="117"/>
  <c r="DH167" i="117"/>
  <c r="DI167" i="117"/>
  <c r="DJ167" i="117"/>
  <c r="DG168" i="117"/>
  <c r="DH168" i="117"/>
  <c r="DI168" i="117"/>
  <c r="DJ168" i="117"/>
  <c r="DG169" i="117"/>
  <c r="DH169" i="117"/>
  <c r="DI169" i="117"/>
  <c r="DJ169" i="117"/>
  <c r="DG170" i="117"/>
  <c r="DH170" i="117"/>
  <c r="DI170" i="117"/>
  <c r="DJ170" i="117"/>
  <c r="DG171" i="117"/>
  <c r="DH171" i="117"/>
  <c r="DI171" i="117"/>
  <c r="DJ171" i="117"/>
  <c r="DG172" i="117"/>
  <c r="DH172" i="117"/>
  <c r="DI172" i="117"/>
  <c r="DJ172" i="117"/>
  <c r="DG173" i="117"/>
  <c r="DH173" i="117"/>
  <c r="DI173" i="117"/>
  <c r="DJ173" i="117"/>
  <c r="DG174" i="117"/>
  <c r="DH174" i="117"/>
  <c r="DI174" i="117"/>
  <c r="DJ174" i="117"/>
  <c r="DG175" i="117"/>
  <c r="DH175" i="117"/>
  <c r="DI175" i="117"/>
  <c r="DJ175" i="117"/>
  <c r="DG176" i="117"/>
  <c r="DH176" i="117"/>
  <c r="DI176" i="117"/>
  <c r="DJ176" i="117"/>
  <c r="DG177" i="117"/>
  <c r="DH177" i="117"/>
  <c r="DI177" i="117"/>
  <c r="DJ177" i="117"/>
  <c r="DG178" i="117"/>
  <c r="DH178" i="117"/>
  <c r="DI178" i="117"/>
  <c r="DJ178" i="117"/>
  <c r="DG179" i="117"/>
  <c r="DH179" i="117"/>
  <c r="DI179" i="117"/>
  <c r="DJ179" i="117"/>
  <c r="DG180" i="117"/>
  <c r="DH180" i="117"/>
  <c r="DI180" i="117"/>
  <c r="DJ180" i="117"/>
  <c r="DG181" i="117"/>
  <c r="DH181" i="117"/>
  <c r="DI181" i="117"/>
  <c r="DJ181" i="117"/>
  <c r="DG182" i="117"/>
  <c r="DH182" i="117"/>
  <c r="DI182" i="117"/>
  <c r="DJ182" i="117"/>
  <c r="DG183" i="117"/>
  <c r="DH183" i="117"/>
  <c r="DI183" i="117"/>
  <c r="DJ183" i="117"/>
  <c r="DG184" i="117"/>
  <c r="DH184" i="117"/>
  <c r="DI184" i="117"/>
  <c r="DJ184" i="117"/>
  <c r="DG185" i="117"/>
  <c r="DH185" i="117"/>
  <c r="DI185" i="117"/>
  <c r="DJ185" i="117"/>
  <c r="DG186" i="117"/>
  <c r="DH186" i="117"/>
  <c r="DI186" i="117"/>
  <c r="DJ186" i="117"/>
  <c r="DG187" i="117"/>
  <c r="DH187" i="117"/>
  <c r="DI187" i="117"/>
  <c r="DJ187" i="117"/>
  <c r="DG188" i="117"/>
  <c r="DH188" i="117"/>
  <c r="DI188" i="117"/>
  <c r="DJ188" i="117"/>
  <c r="DG189" i="117"/>
  <c r="DH189" i="117"/>
  <c r="DI189" i="117"/>
  <c r="DJ189" i="117"/>
  <c r="DG190" i="117"/>
  <c r="DH190" i="117"/>
  <c r="DI190" i="117"/>
  <c r="DJ190" i="117"/>
  <c r="DG191" i="117"/>
  <c r="DH191" i="117"/>
  <c r="DI191" i="117"/>
  <c r="DJ191" i="117"/>
  <c r="DG192" i="117"/>
  <c r="DH192" i="117"/>
  <c r="DI192" i="117"/>
  <c r="DJ192" i="117"/>
  <c r="DG193" i="117"/>
  <c r="DH193" i="117"/>
  <c r="DI193" i="117"/>
  <c r="DJ193" i="117"/>
  <c r="DG194" i="117"/>
  <c r="DH194" i="117"/>
  <c r="DI194" i="117"/>
  <c r="DJ194" i="117"/>
  <c r="DG195" i="117"/>
  <c r="DH195" i="117"/>
  <c r="DI195" i="117"/>
  <c r="DJ195" i="117"/>
  <c r="DG196" i="117"/>
  <c r="DH196" i="117"/>
  <c r="DI196" i="117"/>
  <c r="DJ196" i="117"/>
  <c r="DG197" i="117"/>
  <c r="DH197" i="117"/>
  <c r="DI197" i="117"/>
  <c r="DJ197" i="117"/>
  <c r="DG198" i="117"/>
  <c r="DH198" i="117"/>
  <c r="DI198" i="117"/>
  <c r="DJ198" i="117"/>
  <c r="DG199" i="117"/>
  <c r="DH199" i="117"/>
  <c r="DI199" i="117"/>
  <c r="DJ199" i="117"/>
  <c r="DG200" i="117"/>
  <c r="DH200" i="117"/>
  <c r="DI200" i="117"/>
  <c r="DJ200" i="117"/>
  <c r="DG201" i="117"/>
  <c r="DH201" i="117"/>
  <c r="DI201" i="117"/>
  <c r="DJ201" i="117"/>
  <c r="DG202" i="117"/>
  <c r="DH202" i="117"/>
  <c r="DI202" i="117"/>
  <c r="DJ202" i="117"/>
  <c r="DG203" i="117"/>
  <c r="DH203" i="117"/>
  <c r="DI203" i="117"/>
  <c r="DJ203" i="117"/>
  <c r="DG204" i="117"/>
  <c r="DH204" i="117"/>
  <c r="DI204" i="117"/>
  <c r="DJ204" i="117"/>
  <c r="DG205" i="117"/>
  <c r="DH205" i="117"/>
  <c r="DI205" i="117"/>
  <c r="DJ205" i="117"/>
  <c r="DG206" i="117"/>
  <c r="DH206" i="117"/>
  <c r="DI206" i="117"/>
  <c r="DJ206" i="117"/>
  <c r="DG207" i="117"/>
  <c r="DH207" i="117"/>
  <c r="DI207" i="117"/>
  <c r="DJ207" i="117"/>
  <c r="DG208" i="117"/>
  <c r="DH208" i="117"/>
  <c r="DI208" i="117"/>
  <c r="DJ208" i="117"/>
  <c r="DG209" i="117"/>
  <c r="DH209" i="117"/>
  <c r="DI209" i="117"/>
  <c r="DJ209" i="117"/>
  <c r="DG210" i="117"/>
  <c r="DH210" i="117"/>
  <c r="DI210" i="117"/>
  <c r="DJ210" i="117"/>
  <c r="DG211" i="117"/>
  <c r="DH211" i="117"/>
  <c r="DI211" i="117"/>
  <c r="DJ211" i="117"/>
  <c r="DG212" i="117"/>
  <c r="DH212" i="117"/>
  <c r="DI212" i="117"/>
  <c r="DJ212" i="117"/>
  <c r="DG213" i="117"/>
  <c r="DH213" i="117"/>
  <c r="DI213" i="117"/>
  <c r="DJ213" i="117"/>
  <c r="DG214" i="117"/>
  <c r="DH214" i="117"/>
  <c r="DI214" i="117"/>
  <c r="DJ214" i="117"/>
  <c r="DG215" i="117"/>
  <c r="DH215" i="117"/>
  <c r="DI215" i="117"/>
  <c r="DJ215" i="117"/>
  <c r="DG216" i="117"/>
  <c r="DH216" i="117"/>
  <c r="DI216" i="117"/>
  <c r="DJ216" i="117"/>
  <c r="DG217" i="117"/>
  <c r="DH217" i="117"/>
  <c r="DI217" i="117"/>
  <c r="DJ217" i="117"/>
  <c r="DG218" i="117"/>
  <c r="DH218" i="117"/>
  <c r="DI218" i="117"/>
  <c r="DJ218" i="117"/>
  <c r="DG219" i="117"/>
  <c r="DH219" i="117"/>
  <c r="DI219" i="117"/>
  <c r="DJ219" i="117"/>
  <c r="DG220" i="117"/>
  <c r="DH220" i="117"/>
  <c r="DI220" i="117"/>
  <c r="DJ220" i="117"/>
  <c r="DG221" i="117"/>
  <c r="DH221" i="117"/>
  <c r="DI221" i="117"/>
  <c r="DJ221" i="117"/>
  <c r="DG222" i="117"/>
  <c r="DH222" i="117"/>
  <c r="DI222" i="117"/>
  <c r="DJ222" i="117"/>
  <c r="DG223" i="117"/>
  <c r="DH223" i="117"/>
  <c r="DI223" i="117"/>
  <c r="DJ223" i="117"/>
  <c r="DG224" i="117"/>
  <c r="DH224" i="117"/>
  <c r="DI224" i="117"/>
  <c r="DJ224" i="117"/>
  <c r="DG225" i="117"/>
  <c r="DH225" i="117"/>
  <c r="DI225" i="117"/>
  <c r="DJ225" i="117"/>
  <c r="DG226" i="117"/>
  <c r="DH226" i="117"/>
  <c r="DI226" i="117"/>
  <c r="DJ226" i="117"/>
  <c r="DG227" i="117"/>
  <c r="DH227" i="117"/>
  <c r="DI227" i="117"/>
  <c r="DJ227" i="117"/>
  <c r="DG228" i="117"/>
  <c r="DH228" i="117"/>
  <c r="DI228" i="117"/>
  <c r="DJ228" i="117"/>
  <c r="DG229" i="117"/>
  <c r="DH229" i="117"/>
  <c r="DI229" i="117"/>
  <c r="DJ229" i="117"/>
  <c r="DG230" i="117"/>
  <c r="DH230" i="117"/>
  <c r="DI230" i="117"/>
  <c r="DJ230" i="117"/>
  <c r="DG231" i="117"/>
  <c r="DH231" i="117"/>
  <c r="DI231" i="117"/>
  <c r="DJ231" i="117"/>
  <c r="DG232" i="117"/>
  <c r="DH232" i="117"/>
  <c r="DI232" i="117"/>
  <c r="DJ232" i="117"/>
  <c r="DG233" i="117"/>
  <c r="DH233" i="117"/>
  <c r="DI233" i="117"/>
  <c r="DJ233" i="117"/>
  <c r="DH3" i="117"/>
  <c r="DI3" i="117"/>
  <c r="DJ3" i="117"/>
  <c r="DG3" i="117"/>
  <c r="AG182" i="4" l="1"/>
  <c r="AG174" i="4" s="1"/>
  <c r="AG168" i="4" s="1"/>
  <c r="AG155" i="4" s="1"/>
  <c r="AG146" i="4" s="1"/>
  <c r="AG138" i="4" s="1"/>
  <c r="AG133" i="4" s="1"/>
  <c r="AG130" i="4" s="1"/>
  <c r="AG125" i="4" s="1"/>
  <c r="AG118" i="4" s="1"/>
  <c r="AG115" i="4" s="1"/>
  <c r="AG107" i="4" s="1"/>
  <c r="AG98" i="4" s="1"/>
  <c r="AG85" i="4" s="1"/>
  <c r="AG79" i="4" s="1"/>
  <c r="EQ4" i="116"/>
  <c r="ER4" i="116"/>
  <c r="ES4" i="116"/>
  <c r="EQ5" i="116"/>
  <c r="ER5" i="116"/>
  <c r="ES5" i="116"/>
  <c r="EQ6" i="116"/>
  <c r="ER6" i="116"/>
  <c r="ES6" i="116"/>
  <c r="EQ7" i="116"/>
  <c r="ER7" i="116"/>
  <c r="ES7" i="116"/>
  <c r="EQ8" i="116"/>
  <c r="ER8" i="116"/>
  <c r="ES8" i="116"/>
  <c r="EQ9" i="116"/>
  <c r="ER9" i="116"/>
  <c r="ES9" i="116"/>
  <c r="EQ10" i="116"/>
  <c r="ER10" i="116"/>
  <c r="ES10" i="116"/>
  <c r="EQ11" i="116"/>
  <c r="ER11" i="116"/>
  <c r="ES11" i="116"/>
  <c r="EQ12" i="116"/>
  <c r="ER12" i="116"/>
  <c r="ES12" i="116"/>
  <c r="EQ13" i="116"/>
  <c r="ER13" i="116"/>
  <c r="ES13" i="116"/>
  <c r="EQ14" i="116"/>
  <c r="ER14" i="116"/>
  <c r="ES14" i="116"/>
  <c r="EQ15" i="116"/>
  <c r="ER15" i="116"/>
  <c r="ES15" i="116"/>
  <c r="EQ16" i="116"/>
  <c r="ER16" i="116"/>
  <c r="ES16" i="116"/>
  <c r="EQ17" i="116"/>
  <c r="ER17" i="116"/>
  <c r="ES17" i="116"/>
  <c r="EQ18" i="116"/>
  <c r="ER18" i="116"/>
  <c r="ES18" i="116"/>
  <c r="EQ19" i="116"/>
  <c r="ER19" i="116"/>
  <c r="ES19" i="116"/>
  <c r="EQ20" i="116"/>
  <c r="ER20" i="116"/>
  <c r="ES20" i="116"/>
  <c r="EQ21" i="116"/>
  <c r="ER21" i="116"/>
  <c r="ES21" i="116"/>
  <c r="EQ22" i="116"/>
  <c r="ER22" i="116"/>
  <c r="ES22" i="116"/>
  <c r="EQ23" i="116"/>
  <c r="ER23" i="116"/>
  <c r="ES23" i="116"/>
  <c r="EQ24" i="116"/>
  <c r="ER24" i="116"/>
  <c r="ES24" i="116"/>
  <c r="EQ25" i="116"/>
  <c r="ER25" i="116"/>
  <c r="ES25" i="116"/>
  <c r="EQ26" i="116"/>
  <c r="ER26" i="116"/>
  <c r="ES26" i="116"/>
  <c r="EQ27" i="116"/>
  <c r="ER27" i="116"/>
  <c r="ES27" i="116"/>
  <c r="EQ28" i="116"/>
  <c r="ER28" i="116"/>
  <c r="ES28" i="116"/>
  <c r="EQ29" i="116"/>
  <c r="ER29" i="116"/>
  <c r="ES29" i="116"/>
  <c r="EQ30" i="116"/>
  <c r="ER30" i="116"/>
  <c r="ES30" i="116"/>
  <c r="EQ31" i="116"/>
  <c r="ER31" i="116"/>
  <c r="ES31" i="116"/>
  <c r="EQ32" i="116"/>
  <c r="ER32" i="116"/>
  <c r="ES32" i="116"/>
  <c r="EQ33" i="116"/>
  <c r="ER33" i="116"/>
  <c r="ES33" i="116"/>
  <c r="EQ34" i="116"/>
  <c r="ER34" i="116"/>
  <c r="ES34" i="116"/>
  <c r="EQ35" i="116"/>
  <c r="ER35" i="116"/>
  <c r="ES35" i="116"/>
  <c r="EQ36" i="116"/>
  <c r="ER36" i="116"/>
  <c r="ES36" i="116"/>
  <c r="EQ37" i="116"/>
  <c r="ER37" i="116"/>
  <c r="ES37" i="116"/>
  <c r="EQ38" i="116"/>
  <c r="ER38" i="116"/>
  <c r="ES38" i="116"/>
  <c r="EQ39" i="116"/>
  <c r="ER39" i="116"/>
  <c r="ES39" i="116"/>
  <c r="EQ40" i="116"/>
  <c r="ER40" i="116"/>
  <c r="ES40" i="116"/>
  <c r="EQ41" i="116"/>
  <c r="ER41" i="116"/>
  <c r="ES41" i="116"/>
  <c r="EQ42" i="116"/>
  <c r="ER42" i="116"/>
  <c r="ES42" i="116"/>
  <c r="EQ43" i="116"/>
  <c r="ER43" i="116"/>
  <c r="ES43" i="116"/>
  <c r="EQ44" i="116"/>
  <c r="ER44" i="116"/>
  <c r="ES44" i="116"/>
  <c r="EQ45" i="116"/>
  <c r="ER45" i="116"/>
  <c r="ES45" i="116"/>
  <c r="EQ46" i="116"/>
  <c r="ER46" i="116"/>
  <c r="ES46" i="116"/>
  <c r="EQ47" i="116"/>
  <c r="ER47" i="116"/>
  <c r="ES47" i="116"/>
  <c r="EQ48" i="116"/>
  <c r="ER48" i="116"/>
  <c r="ES48" i="116"/>
  <c r="EQ49" i="116"/>
  <c r="ER49" i="116"/>
  <c r="ES49" i="116"/>
  <c r="EQ50" i="116"/>
  <c r="ER50" i="116"/>
  <c r="ES50" i="116"/>
  <c r="EQ51" i="116"/>
  <c r="ER51" i="116"/>
  <c r="ES51" i="116"/>
  <c r="EQ52" i="116"/>
  <c r="ER52" i="116"/>
  <c r="ES52" i="116"/>
  <c r="ER3" i="116"/>
  <c r="ES3" i="116"/>
  <c r="EQ3" i="116"/>
  <c r="ED4" i="116"/>
  <c r="EE4" i="116"/>
  <c r="EF4" i="116"/>
  <c r="ED5" i="116"/>
  <c r="EE5" i="116"/>
  <c r="EF5" i="116"/>
  <c r="AF15" i="35" s="1"/>
  <c r="AF14" i="35" s="1"/>
  <c r="ED6" i="116"/>
  <c r="EE6" i="116"/>
  <c r="EF6" i="116"/>
  <c r="ED7" i="116"/>
  <c r="EE7" i="116"/>
  <c r="EF7" i="116"/>
  <c r="ED8" i="116"/>
  <c r="EE8" i="116"/>
  <c r="EF8" i="116"/>
  <c r="ED9" i="116"/>
  <c r="EE9" i="116"/>
  <c r="EF9" i="116"/>
  <c r="ED10" i="116"/>
  <c r="EE10" i="116"/>
  <c r="EF10" i="116"/>
  <c r="AF21" i="35" s="1"/>
  <c r="ED11" i="116"/>
  <c r="EE11" i="116"/>
  <c r="EF11" i="116"/>
  <c r="AF24" i="35" s="1"/>
  <c r="Q24" i="35" s="1"/>
  <c r="ED12" i="116"/>
  <c r="EE12" i="116"/>
  <c r="EF12" i="116"/>
  <c r="AF22" i="35" s="1"/>
  <c r="ED13" i="116"/>
  <c r="EE13" i="116"/>
  <c r="EF13" i="116"/>
  <c r="AF23" i="35" s="1"/>
  <c r="ED14" i="116"/>
  <c r="EE14" i="116"/>
  <c r="EF14" i="116"/>
  <c r="ED15" i="116"/>
  <c r="EE15" i="116"/>
  <c r="EF15" i="116"/>
  <c r="ED16" i="116"/>
  <c r="EE16" i="116"/>
  <c r="EF16" i="116"/>
  <c r="AF31" i="35" s="1"/>
  <c r="ED17" i="116"/>
  <c r="EE17" i="116"/>
  <c r="EF17" i="116"/>
  <c r="ED18" i="116"/>
  <c r="EE18" i="116"/>
  <c r="EF18" i="116"/>
  <c r="AF36" i="35" s="1"/>
  <c r="ED19" i="116"/>
  <c r="EE19" i="116"/>
  <c r="EF19" i="116"/>
  <c r="AF33" i="35" s="1"/>
  <c r="ED20" i="116"/>
  <c r="EE20" i="116"/>
  <c r="EF20" i="116"/>
  <c r="AF35" i="35" s="1"/>
  <c r="ED21" i="116"/>
  <c r="EE21" i="116"/>
  <c r="EF21" i="116"/>
  <c r="ED22" i="116"/>
  <c r="EE22" i="116"/>
  <c r="EF22" i="116"/>
  <c r="AF44" i="35" s="1"/>
  <c r="ED23" i="116"/>
  <c r="EE23" i="116"/>
  <c r="EF23" i="116"/>
  <c r="AF45" i="35" s="1"/>
  <c r="Q45" i="35" s="1"/>
  <c r="ED24" i="116"/>
  <c r="EE24" i="116"/>
  <c r="EF24" i="116"/>
  <c r="AF46" i="35" s="1"/>
  <c r="ED25" i="116"/>
  <c r="EE25" i="116"/>
  <c r="EF25" i="116"/>
  <c r="EE3" i="116"/>
  <c r="EF3" i="116"/>
  <c r="ED3" i="116"/>
  <c r="EF26" i="116" l="1"/>
  <c r="AG78" i="4"/>
  <c r="AG73" i="4" s="1"/>
  <c r="AG72" i="4" s="1"/>
  <c r="AG68" i="4" s="1"/>
  <c r="AG63" i="4" s="1"/>
  <c r="AG59" i="4" s="1"/>
  <c r="AG56" i="4" s="1"/>
  <c r="AG42" i="4" s="1"/>
  <c r="AG41" i="4" s="1"/>
  <c r="AG32" i="4" s="1"/>
  <c r="AG28" i="4" s="1"/>
  <c r="AG25" i="4" s="1"/>
  <c r="AG12" i="4" s="1"/>
  <c r="AG11" i="4" s="1"/>
  <c r="AF30" i="35"/>
  <c r="AF42" i="35"/>
  <c r="AF41" i="35" s="1"/>
  <c r="AF40" i="35" s="1"/>
  <c r="AF20" i="35"/>
  <c r="AG10" i="4" l="1"/>
  <c r="AG9" i="4" s="1"/>
  <c r="AF13" i="35"/>
  <c r="AF10" i="35" s="1"/>
  <c r="AF9" i="35" s="1"/>
  <c r="AF30" i="37"/>
  <c r="AF28" i="37"/>
  <c r="AF26" i="37"/>
  <c r="AF23" i="37"/>
  <c r="EQ4" i="115"/>
  <c r="ER4" i="115"/>
  <c r="ES4" i="115"/>
  <c r="EQ5" i="115"/>
  <c r="ER5" i="115"/>
  <c r="ES5" i="115"/>
  <c r="EQ6" i="115"/>
  <c r="ER6" i="115"/>
  <c r="ES6" i="115"/>
  <c r="EQ7" i="115"/>
  <c r="ER7" i="115"/>
  <c r="ES7" i="115"/>
  <c r="EQ8" i="115"/>
  <c r="ER8" i="115"/>
  <c r="ES8" i="115"/>
  <c r="EQ9" i="115"/>
  <c r="ER9" i="115"/>
  <c r="ES9" i="115"/>
  <c r="EQ10" i="115"/>
  <c r="ER10" i="115"/>
  <c r="ES10" i="115"/>
  <c r="EQ11" i="115"/>
  <c r="ER11" i="115"/>
  <c r="ES11" i="115"/>
  <c r="EQ12" i="115"/>
  <c r="ER12" i="115"/>
  <c r="ES12" i="115"/>
  <c r="EQ13" i="115"/>
  <c r="ER13" i="115"/>
  <c r="ES13" i="115"/>
  <c r="EQ14" i="115"/>
  <c r="ER14" i="115"/>
  <c r="ES14" i="115"/>
  <c r="EQ15" i="115"/>
  <c r="ER15" i="115"/>
  <c r="ES15" i="115"/>
  <c r="EQ16" i="115"/>
  <c r="ER16" i="115"/>
  <c r="ES16" i="115"/>
  <c r="EQ17" i="115"/>
  <c r="ER17" i="115"/>
  <c r="ES17" i="115"/>
  <c r="EQ18" i="115"/>
  <c r="ER18" i="115"/>
  <c r="ES18" i="115"/>
  <c r="EQ19" i="115"/>
  <c r="ER19" i="115"/>
  <c r="ES19" i="115"/>
  <c r="EQ20" i="115"/>
  <c r="ER20" i="115"/>
  <c r="ES20" i="115"/>
  <c r="EQ21" i="115"/>
  <c r="ER21" i="115"/>
  <c r="ES21" i="115"/>
  <c r="EQ22" i="115"/>
  <c r="ER22" i="115"/>
  <c r="ES22" i="115"/>
  <c r="EQ23" i="115"/>
  <c r="ER23" i="115"/>
  <c r="ES23" i="115"/>
  <c r="EQ24" i="115"/>
  <c r="ER24" i="115"/>
  <c r="ES24" i="115"/>
  <c r="EQ25" i="115"/>
  <c r="ER25" i="115"/>
  <c r="ES25" i="115"/>
  <c r="EQ26" i="115"/>
  <c r="ER26" i="115"/>
  <c r="ES26" i="115"/>
  <c r="EQ27" i="115"/>
  <c r="ER27" i="115"/>
  <c r="ES27" i="115"/>
  <c r="EQ28" i="115"/>
  <c r="ER28" i="115"/>
  <c r="ES28" i="115"/>
  <c r="EQ29" i="115"/>
  <c r="ER29" i="115"/>
  <c r="ES29" i="115"/>
  <c r="EQ30" i="115"/>
  <c r="ER30" i="115"/>
  <c r="ES30" i="115"/>
  <c r="EQ31" i="115"/>
  <c r="ER31" i="115"/>
  <c r="ES31" i="115"/>
  <c r="EQ32" i="115"/>
  <c r="ER32" i="115"/>
  <c r="ES32" i="115"/>
  <c r="EQ33" i="115"/>
  <c r="ER33" i="115"/>
  <c r="ES33" i="115"/>
  <c r="EQ34" i="115"/>
  <c r="ER34" i="115"/>
  <c r="ES34" i="115"/>
  <c r="EQ35" i="115"/>
  <c r="ER35" i="115"/>
  <c r="ES35" i="115"/>
  <c r="EQ36" i="115"/>
  <c r="ER36" i="115"/>
  <c r="ES36" i="115"/>
  <c r="EQ37" i="115"/>
  <c r="ER37" i="115"/>
  <c r="ES37" i="115"/>
  <c r="EQ38" i="115"/>
  <c r="ER38" i="115"/>
  <c r="ES38" i="115"/>
  <c r="EQ39" i="115"/>
  <c r="ER39" i="115"/>
  <c r="ES39" i="115"/>
  <c r="EQ40" i="115"/>
  <c r="ER40" i="115"/>
  <c r="ES40" i="115"/>
  <c r="EQ41" i="115"/>
  <c r="ER41" i="115"/>
  <c r="ES41" i="115"/>
  <c r="EQ42" i="115"/>
  <c r="ER42" i="115"/>
  <c r="ES42" i="115"/>
  <c r="EQ43" i="115"/>
  <c r="ER43" i="115"/>
  <c r="ES43" i="115"/>
  <c r="EQ44" i="115"/>
  <c r="ER44" i="115"/>
  <c r="ES44" i="115"/>
  <c r="EQ45" i="115"/>
  <c r="ER45" i="115"/>
  <c r="ES45" i="115"/>
  <c r="EQ46" i="115"/>
  <c r="ER46" i="115"/>
  <c r="ES46" i="115"/>
  <c r="EQ47" i="115"/>
  <c r="ER47" i="115"/>
  <c r="ES47" i="115"/>
  <c r="EQ48" i="115"/>
  <c r="ER48" i="115"/>
  <c r="ES48" i="115"/>
  <c r="EQ49" i="115"/>
  <c r="ER49" i="115"/>
  <c r="ES49" i="115"/>
  <c r="ER3" i="115"/>
  <c r="ES3" i="115"/>
  <c r="EQ3" i="115"/>
  <c r="EC4" i="115"/>
  <c r="ED4" i="115"/>
  <c r="EE4" i="115"/>
  <c r="EC5" i="115"/>
  <c r="ED5" i="115"/>
  <c r="EE5" i="115"/>
  <c r="AF18" i="37" s="1"/>
  <c r="EC6" i="115"/>
  <c r="ED6" i="115"/>
  <c r="EE6" i="115"/>
  <c r="AF17" i="37" s="1"/>
  <c r="EC7" i="115"/>
  <c r="ED7" i="115"/>
  <c r="EE7" i="115"/>
  <c r="AF51" i="37" s="1"/>
  <c r="Q51" i="37" s="1"/>
  <c r="EC8" i="115"/>
  <c r="ED8" i="115"/>
  <c r="EE8" i="115"/>
  <c r="AF52" i="37" s="1"/>
  <c r="EC9" i="115"/>
  <c r="ED9" i="115"/>
  <c r="EE9" i="115"/>
  <c r="AF39" i="37" s="1"/>
  <c r="EC10" i="115"/>
  <c r="ED10" i="115"/>
  <c r="EE10" i="115"/>
  <c r="AF40" i="37" s="1"/>
  <c r="EC11" i="115"/>
  <c r="ED11" i="115"/>
  <c r="EE11" i="115"/>
  <c r="AF41" i="37" s="1"/>
  <c r="EC12" i="115"/>
  <c r="ED12" i="115"/>
  <c r="EE12" i="115"/>
  <c r="AF44" i="37" s="1"/>
  <c r="EC13" i="115"/>
  <c r="ED13" i="115"/>
  <c r="EE13" i="115"/>
  <c r="AF46" i="37" s="1"/>
  <c r="EC14" i="115"/>
  <c r="ED14" i="115"/>
  <c r="EE14" i="115"/>
  <c r="AF47" i="37" s="1"/>
  <c r="EC15" i="115"/>
  <c r="ED15" i="115"/>
  <c r="EE15" i="115"/>
  <c r="EC16" i="115"/>
  <c r="ED16" i="115"/>
  <c r="EE16" i="115"/>
  <c r="AF49" i="37" s="1"/>
  <c r="EC17" i="115"/>
  <c r="ED17" i="115"/>
  <c r="EE17" i="115"/>
  <c r="AF50" i="37" s="1"/>
  <c r="Q50" i="37" s="1"/>
  <c r="ED3" i="115"/>
  <c r="EE3" i="115"/>
  <c r="EC3" i="115"/>
  <c r="CD7" i="114"/>
  <c r="CY4" i="114"/>
  <c r="CZ4" i="114"/>
  <c r="DA4" i="114"/>
  <c r="CY5" i="114"/>
  <c r="CZ5" i="114"/>
  <c r="DA5" i="114"/>
  <c r="CY6" i="114"/>
  <c r="CZ6" i="114"/>
  <c r="DA6" i="114"/>
  <c r="CY7" i="114"/>
  <c r="CZ7" i="114"/>
  <c r="DA7" i="114"/>
  <c r="CZ3" i="114"/>
  <c r="DA3" i="114"/>
  <c r="CY3" i="114"/>
  <c r="CO4" i="114"/>
  <c r="CO5" i="114"/>
  <c r="CO3" i="114"/>
  <c r="AF19" i="37" l="1"/>
  <c r="AF16" i="37" s="1"/>
  <c r="AF14" i="37" s="1"/>
  <c r="AF12" i="37" s="1"/>
  <c r="EE18" i="115"/>
  <c r="AF43" i="37"/>
  <c r="AF38" i="37"/>
  <c r="M33" i="54"/>
  <c r="M57" i="54"/>
  <c r="AF37" i="37" l="1"/>
  <c r="O57" i="54"/>
  <c r="Q206" i="39" l="1"/>
  <c r="P206" i="39"/>
  <c r="F140" i="39"/>
  <c r="F36" i="39"/>
  <c r="K211" i="39" l="1"/>
  <c r="M211" i="39"/>
  <c r="R206" i="39"/>
  <c r="O211" i="39"/>
  <c r="DD26" i="115"/>
  <c r="AD55" i="37" s="1"/>
  <c r="CN4" i="117" l="1"/>
  <c r="CO4" i="117"/>
  <c r="CP4" i="117"/>
  <c r="CQ4" i="117"/>
  <c r="CN5" i="117"/>
  <c r="CO5" i="117"/>
  <c r="CP5" i="117"/>
  <c r="CQ5" i="117"/>
  <c r="CN6" i="117"/>
  <c r="CO6" i="117"/>
  <c r="CP6" i="117"/>
  <c r="CQ6" i="117"/>
  <c r="CN7" i="117"/>
  <c r="CO7" i="117"/>
  <c r="CP7" i="117"/>
  <c r="CQ7" i="117"/>
  <c r="CN8" i="117"/>
  <c r="CO8" i="117"/>
  <c r="CP8" i="117"/>
  <c r="CQ8" i="117"/>
  <c r="CN9" i="117"/>
  <c r="CO9" i="117"/>
  <c r="CP9" i="117"/>
  <c r="CQ9" i="117"/>
  <c r="CN10" i="117"/>
  <c r="CO10" i="117"/>
  <c r="CP10" i="117"/>
  <c r="CQ10" i="117"/>
  <c r="CN11" i="117"/>
  <c r="CO11" i="117"/>
  <c r="CP11" i="117"/>
  <c r="CQ11" i="117"/>
  <c r="CN12" i="117"/>
  <c r="CO12" i="117"/>
  <c r="CP12" i="117"/>
  <c r="CQ12" i="117"/>
  <c r="CN13" i="117"/>
  <c r="CO13" i="117"/>
  <c r="CP13" i="117"/>
  <c r="CQ13" i="117"/>
  <c r="CN14" i="117"/>
  <c r="CO14" i="117"/>
  <c r="CP14" i="117"/>
  <c r="CQ14" i="117"/>
  <c r="CN15" i="117"/>
  <c r="CO15" i="117"/>
  <c r="CP15" i="117"/>
  <c r="CQ15" i="117"/>
  <c r="CN16" i="117"/>
  <c r="CO16" i="117"/>
  <c r="CP16" i="117"/>
  <c r="CQ16" i="117"/>
  <c r="CN17" i="117"/>
  <c r="CO17" i="117"/>
  <c r="CP17" i="117"/>
  <c r="CQ17" i="117"/>
  <c r="CN18" i="117"/>
  <c r="CO18" i="117"/>
  <c r="CP18" i="117"/>
  <c r="CQ18" i="117"/>
  <c r="CN19" i="117"/>
  <c r="CO19" i="117"/>
  <c r="CP19" i="117"/>
  <c r="CQ19" i="117"/>
  <c r="CN20" i="117"/>
  <c r="CO20" i="117"/>
  <c r="CP20" i="117"/>
  <c r="CQ20" i="117"/>
  <c r="CN21" i="117"/>
  <c r="CO21" i="117"/>
  <c r="CP21" i="117"/>
  <c r="CQ21" i="117"/>
  <c r="CN22" i="117"/>
  <c r="CO22" i="117"/>
  <c r="CP22" i="117"/>
  <c r="CQ22" i="117"/>
  <c r="CN23" i="117"/>
  <c r="CO23" i="117"/>
  <c r="CP23" i="117"/>
  <c r="CQ23" i="117"/>
  <c r="CN24" i="117"/>
  <c r="CO24" i="117"/>
  <c r="CP24" i="117"/>
  <c r="CQ24" i="117"/>
  <c r="CN25" i="117"/>
  <c r="CO25" i="117"/>
  <c r="CP25" i="117"/>
  <c r="CQ25" i="117"/>
  <c r="CN26" i="117"/>
  <c r="CO26" i="117"/>
  <c r="CP26" i="117"/>
  <c r="CQ26" i="117"/>
  <c r="CN27" i="117"/>
  <c r="CO27" i="117"/>
  <c r="CP27" i="117"/>
  <c r="CQ27" i="117"/>
  <c r="CN28" i="117"/>
  <c r="CO28" i="117"/>
  <c r="CP28" i="117"/>
  <c r="CQ28" i="117"/>
  <c r="CN29" i="117"/>
  <c r="CO29" i="117"/>
  <c r="CP29" i="117"/>
  <c r="CQ29" i="117"/>
  <c r="CN30" i="117"/>
  <c r="CO30" i="117"/>
  <c r="CP30" i="117"/>
  <c r="CQ30" i="117"/>
  <c r="CN31" i="117"/>
  <c r="CO31" i="117"/>
  <c r="CP31" i="117"/>
  <c r="CQ31" i="117"/>
  <c r="CN32" i="117"/>
  <c r="CO32" i="117"/>
  <c r="CP32" i="117"/>
  <c r="CQ32" i="117"/>
  <c r="CN33" i="117"/>
  <c r="CO33" i="117"/>
  <c r="CP33" i="117"/>
  <c r="CQ33" i="117"/>
  <c r="CN34" i="117"/>
  <c r="CO34" i="117"/>
  <c r="CP34" i="117"/>
  <c r="CQ34" i="117"/>
  <c r="CN35" i="117"/>
  <c r="CO35" i="117"/>
  <c r="CP35" i="117"/>
  <c r="CQ35" i="117"/>
  <c r="CN36" i="117"/>
  <c r="CO36" i="117"/>
  <c r="CP36" i="117"/>
  <c r="CQ36" i="117"/>
  <c r="CN37" i="117"/>
  <c r="CO37" i="117"/>
  <c r="CP37" i="117"/>
  <c r="CQ37" i="117"/>
  <c r="CN38" i="117"/>
  <c r="CO38" i="117"/>
  <c r="CP38" i="117"/>
  <c r="CQ38" i="117"/>
  <c r="CN39" i="117"/>
  <c r="CO39" i="117"/>
  <c r="CP39" i="117"/>
  <c r="CQ39" i="117"/>
  <c r="CN40" i="117"/>
  <c r="CO40" i="117"/>
  <c r="CP40" i="117"/>
  <c r="CQ40" i="117"/>
  <c r="CN41" i="117"/>
  <c r="CO41" i="117"/>
  <c r="CP41" i="117"/>
  <c r="CQ41" i="117"/>
  <c r="CN42" i="117"/>
  <c r="CO42" i="117"/>
  <c r="CP42" i="117"/>
  <c r="CQ42" i="117"/>
  <c r="CN43" i="117"/>
  <c r="CO43" i="117"/>
  <c r="CP43" i="117"/>
  <c r="CQ43" i="117"/>
  <c r="CN44" i="117"/>
  <c r="CO44" i="117"/>
  <c r="CP44" i="117"/>
  <c r="CQ44" i="117"/>
  <c r="CN45" i="117"/>
  <c r="CO45" i="117"/>
  <c r="CP45" i="117"/>
  <c r="CQ45" i="117"/>
  <c r="CN46" i="117"/>
  <c r="CO46" i="117"/>
  <c r="CP46" i="117"/>
  <c r="CQ46" i="117"/>
  <c r="CN47" i="117"/>
  <c r="CO47" i="117"/>
  <c r="CP47" i="117"/>
  <c r="CQ47" i="117"/>
  <c r="CN48" i="117"/>
  <c r="CO48" i="117"/>
  <c r="CP48" i="117"/>
  <c r="CQ48" i="117"/>
  <c r="CN49" i="117"/>
  <c r="CO49" i="117"/>
  <c r="CP49" i="117"/>
  <c r="CQ49" i="117"/>
  <c r="CN50" i="117"/>
  <c r="CO50" i="117"/>
  <c r="CP50" i="117"/>
  <c r="CQ50" i="117"/>
  <c r="CN51" i="117"/>
  <c r="CO51" i="117"/>
  <c r="CP51" i="117"/>
  <c r="CQ51" i="117"/>
  <c r="CN52" i="117"/>
  <c r="CO52" i="117"/>
  <c r="CP52" i="117"/>
  <c r="CQ52" i="117"/>
  <c r="CN53" i="117"/>
  <c r="CO53" i="117"/>
  <c r="CP53" i="117"/>
  <c r="CQ53" i="117"/>
  <c r="CN54" i="117"/>
  <c r="CO54" i="117"/>
  <c r="CP54" i="117"/>
  <c r="CQ54" i="117"/>
  <c r="CN55" i="117"/>
  <c r="CO55" i="117"/>
  <c r="CP55" i="117"/>
  <c r="CQ55" i="117"/>
  <c r="CN56" i="117"/>
  <c r="CO56" i="117"/>
  <c r="CP56" i="117"/>
  <c r="CQ56" i="117"/>
  <c r="CN57" i="117"/>
  <c r="CO57" i="117"/>
  <c r="CP57" i="117"/>
  <c r="CQ57" i="117"/>
  <c r="CN58" i="117"/>
  <c r="CO58" i="117"/>
  <c r="CP58" i="117"/>
  <c r="CQ58" i="117"/>
  <c r="CN59" i="117"/>
  <c r="CO59" i="117"/>
  <c r="CP59" i="117"/>
  <c r="CQ59" i="117"/>
  <c r="CN60" i="117"/>
  <c r="CO60" i="117"/>
  <c r="CP60" i="117"/>
  <c r="CQ60" i="117"/>
  <c r="CN61" i="117"/>
  <c r="CO61" i="117"/>
  <c r="CP61" i="117"/>
  <c r="CQ61" i="117"/>
  <c r="CN62" i="117"/>
  <c r="CO62" i="117"/>
  <c r="CP62" i="117"/>
  <c r="CQ62" i="117"/>
  <c r="CN63" i="117"/>
  <c r="CO63" i="117"/>
  <c r="CP63" i="117"/>
  <c r="CQ63" i="117"/>
  <c r="CN64" i="117"/>
  <c r="CO64" i="117"/>
  <c r="CP64" i="117"/>
  <c r="CQ64" i="117"/>
  <c r="CN65" i="117"/>
  <c r="CO65" i="117"/>
  <c r="CP65" i="117"/>
  <c r="CQ65" i="117"/>
  <c r="CN66" i="117"/>
  <c r="CO66" i="117"/>
  <c r="CP66" i="117"/>
  <c r="CQ66" i="117"/>
  <c r="CN67" i="117"/>
  <c r="CO67" i="117"/>
  <c r="CP67" i="117"/>
  <c r="CQ67" i="117"/>
  <c r="CN68" i="117"/>
  <c r="CO68" i="117"/>
  <c r="CP68" i="117"/>
  <c r="CQ68" i="117"/>
  <c r="CN69" i="117"/>
  <c r="CO69" i="117"/>
  <c r="CP69" i="117"/>
  <c r="CQ69" i="117"/>
  <c r="CN70" i="117"/>
  <c r="CO70" i="117"/>
  <c r="CP70" i="117"/>
  <c r="CQ70" i="117"/>
  <c r="CN71" i="117"/>
  <c r="P89" i="39" s="1"/>
  <c r="CO71" i="117"/>
  <c r="CP71" i="117"/>
  <c r="CQ71" i="117"/>
  <c r="CN72" i="117"/>
  <c r="CO72" i="117"/>
  <c r="CP72" i="117"/>
  <c r="CQ72" i="117"/>
  <c r="CN73" i="117"/>
  <c r="CO73" i="117"/>
  <c r="CP73" i="117"/>
  <c r="CQ73" i="117"/>
  <c r="CN74" i="117"/>
  <c r="CO74" i="117"/>
  <c r="CP74" i="117"/>
  <c r="CQ74" i="117"/>
  <c r="CN75" i="117"/>
  <c r="CO75" i="117"/>
  <c r="CP75" i="117"/>
  <c r="CQ75" i="117"/>
  <c r="CN76" i="117"/>
  <c r="CO76" i="117"/>
  <c r="CP76" i="117"/>
  <c r="CQ76" i="117"/>
  <c r="CN77" i="117"/>
  <c r="CO77" i="117"/>
  <c r="CP77" i="117"/>
  <c r="CQ77" i="117"/>
  <c r="CN78" i="117"/>
  <c r="CO78" i="117"/>
  <c r="CP78" i="117"/>
  <c r="CQ78" i="117"/>
  <c r="CN79" i="117"/>
  <c r="CO79" i="117"/>
  <c r="CP79" i="117"/>
  <c r="CQ79" i="117"/>
  <c r="CN80" i="117"/>
  <c r="CO80" i="117"/>
  <c r="CP80" i="117"/>
  <c r="CQ80" i="117"/>
  <c r="CN81" i="117"/>
  <c r="CO81" i="117"/>
  <c r="CP81" i="117"/>
  <c r="CQ81" i="117"/>
  <c r="CN82" i="117"/>
  <c r="CO82" i="117"/>
  <c r="CP82" i="117"/>
  <c r="CQ82" i="117"/>
  <c r="CN83" i="117"/>
  <c r="CO83" i="117"/>
  <c r="CP83" i="117"/>
  <c r="CQ83" i="117"/>
  <c r="CN84" i="117"/>
  <c r="CO84" i="117"/>
  <c r="CP84" i="117"/>
  <c r="CQ84" i="117"/>
  <c r="CN85" i="117"/>
  <c r="CO85" i="117"/>
  <c r="CP85" i="117"/>
  <c r="CQ85" i="117"/>
  <c r="CN86" i="117"/>
  <c r="CO86" i="117"/>
  <c r="CP86" i="117"/>
  <c r="CQ86" i="117"/>
  <c r="CN87" i="117"/>
  <c r="CO87" i="117"/>
  <c r="CP87" i="117"/>
  <c r="CQ87" i="117"/>
  <c r="CN88" i="117"/>
  <c r="CO88" i="117"/>
  <c r="CP88" i="117"/>
  <c r="CQ88" i="117"/>
  <c r="CN89" i="117"/>
  <c r="CO89" i="117"/>
  <c r="CP89" i="117"/>
  <c r="CQ89" i="117"/>
  <c r="CN90" i="117"/>
  <c r="CO90" i="117"/>
  <c r="CP90" i="117"/>
  <c r="CQ90" i="117"/>
  <c r="CN91" i="117"/>
  <c r="CO91" i="117"/>
  <c r="CP91" i="117"/>
  <c r="CQ91" i="117"/>
  <c r="CN92" i="117"/>
  <c r="CO92" i="117"/>
  <c r="CP92" i="117"/>
  <c r="CQ92" i="117"/>
  <c r="CN93" i="117"/>
  <c r="CO93" i="117"/>
  <c r="CP93" i="117"/>
  <c r="CQ93" i="117"/>
  <c r="CN94" i="117"/>
  <c r="CO94" i="117"/>
  <c r="CP94" i="117"/>
  <c r="CQ94" i="117"/>
  <c r="CN95" i="117"/>
  <c r="Q115" i="4" s="1"/>
  <c r="CO95" i="117"/>
  <c r="CP95" i="117"/>
  <c r="CQ95" i="117"/>
  <c r="CN96" i="117"/>
  <c r="CO96" i="117"/>
  <c r="CP96" i="117"/>
  <c r="CQ96" i="117"/>
  <c r="CN97" i="117"/>
  <c r="CO97" i="117"/>
  <c r="CP97" i="117"/>
  <c r="CQ97" i="117"/>
  <c r="CN98" i="117"/>
  <c r="CO98" i="117"/>
  <c r="CP98" i="117"/>
  <c r="CQ98" i="117"/>
  <c r="CN99" i="117"/>
  <c r="CO99" i="117"/>
  <c r="CP99" i="117"/>
  <c r="CQ99" i="117"/>
  <c r="CN100" i="117"/>
  <c r="CO100" i="117"/>
  <c r="CP100" i="117"/>
  <c r="CQ100" i="117"/>
  <c r="CN101" i="117"/>
  <c r="CO101" i="117"/>
  <c r="CP101" i="117"/>
  <c r="CQ101" i="117"/>
  <c r="CN102" i="117"/>
  <c r="CO102" i="117"/>
  <c r="CP102" i="117"/>
  <c r="CQ102" i="117"/>
  <c r="CN103" i="117"/>
  <c r="CO103" i="117"/>
  <c r="CP103" i="117"/>
  <c r="CQ103" i="117"/>
  <c r="CN104" i="117"/>
  <c r="CO104" i="117"/>
  <c r="CP104" i="117"/>
  <c r="CQ104" i="117"/>
  <c r="CN105" i="117"/>
  <c r="CO105" i="117"/>
  <c r="CP105" i="117"/>
  <c r="CQ105" i="117"/>
  <c r="CN106" i="117"/>
  <c r="CO106" i="117"/>
  <c r="CP106" i="117"/>
  <c r="CQ106" i="117"/>
  <c r="CN107" i="117"/>
  <c r="CO107" i="117"/>
  <c r="CP107" i="117"/>
  <c r="CQ107" i="117"/>
  <c r="CN108" i="117"/>
  <c r="CO108" i="117"/>
  <c r="CP108" i="117"/>
  <c r="CQ108" i="117"/>
  <c r="CN109" i="117"/>
  <c r="CO109" i="117"/>
  <c r="CP109" i="117"/>
  <c r="CQ109" i="117"/>
  <c r="CN110" i="117"/>
  <c r="CO110" i="117"/>
  <c r="CP110" i="117"/>
  <c r="CQ110" i="117"/>
  <c r="CN111" i="117"/>
  <c r="CO111" i="117"/>
  <c r="CP111" i="117"/>
  <c r="CQ111" i="117"/>
  <c r="CN112" i="117"/>
  <c r="CO112" i="117"/>
  <c r="CP112" i="117"/>
  <c r="CQ112" i="117"/>
  <c r="CN113" i="117"/>
  <c r="CO113" i="117"/>
  <c r="CP113" i="117"/>
  <c r="CQ113" i="117"/>
  <c r="CN114" i="117"/>
  <c r="CO114" i="117"/>
  <c r="CP114" i="117"/>
  <c r="CQ114" i="117"/>
  <c r="CN115" i="117"/>
  <c r="CO115" i="117"/>
  <c r="CP115" i="117"/>
  <c r="CQ115" i="117"/>
  <c r="CN116" i="117"/>
  <c r="CO116" i="117"/>
  <c r="CP116" i="117"/>
  <c r="CQ116" i="117"/>
  <c r="CN117" i="117"/>
  <c r="CO117" i="117"/>
  <c r="CP117" i="117"/>
  <c r="CQ117" i="117"/>
  <c r="CN118" i="117"/>
  <c r="CO118" i="117"/>
  <c r="CP118" i="117"/>
  <c r="CQ118" i="117"/>
  <c r="CN119" i="117"/>
  <c r="CO119" i="117"/>
  <c r="CP119" i="117"/>
  <c r="CQ119" i="117"/>
  <c r="CN120" i="117"/>
  <c r="CO120" i="117"/>
  <c r="CP120" i="117"/>
  <c r="CQ120" i="117"/>
  <c r="CN121" i="117"/>
  <c r="CO121" i="117"/>
  <c r="CP121" i="117"/>
  <c r="CQ121" i="117"/>
  <c r="CN122" i="117"/>
  <c r="CO122" i="117"/>
  <c r="CP122" i="117"/>
  <c r="CQ122" i="117"/>
  <c r="CN123" i="117"/>
  <c r="CO123" i="117"/>
  <c r="CP123" i="117"/>
  <c r="CQ123" i="117"/>
  <c r="CN124" i="117"/>
  <c r="CO124" i="117"/>
  <c r="CP124" i="117"/>
  <c r="CQ124" i="117"/>
  <c r="CN125" i="117"/>
  <c r="CO125" i="117"/>
  <c r="CP125" i="117"/>
  <c r="CQ125" i="117"/>
  <c r="CN126" i="117"/>
  <c r="CO126" i="117"/>
  <c r="CP126" i="117"/>
  <c r="CQ126" i="117"/>
  <c r="CN127" i="117"/>
  <c r="Q168" i="4" s="1"/>
  <c r="CO127" i="117"/>
  <c r="CP127" i="117"/>
  <c r="CQ127" i="117"/>
  <c r="CN128" i="117"/>
  <c r="CO128" i="117"/>
  <c r="CP128" i="117"/>
  <c r="CQ128" i="117"/>
  <c r="CN129" i="117"/>
  <c r="CO129" i="117"/>
  <c r="CP129" i="117"/>
  <c r="CQ129" i="117"/>
  <c r="CN130" i="117"/>
  <c r="CO130" i="117"/>
  <c r="CP130" i="117"/>
  <c r="CQ130" i="117"/>
  <c r="CN131" i="117"/>
  <c r="CO131" i="117"/>
  <c r="CP131" i="117"/>
  <c r="CQ131" i="117"/>
  <c r="CN132" i="117"/>
  <c r="CO132" i="117"/>
  <c r="CP132" i="117"/>
  <c r="CQ132" i="117"/>
  <c r="CN133" i="117"/>
  <c r="CO133" i="117"/>
  <c r="CP133" i="117"/>
  <c r="CQ133" i="117"/>
  <c r="CN134" i="117"/>
  <c r="CO134" i="117"/>
  <c r="CP134" i="117"/>
  <c r="CQ134" i="117"/>
  <c r="CN135" i="117"/>
  <c r="CO135" i="117"/>
  <c r="CP135" i="117"/>
  <c r="CQ135" i="117"/>
  <c r="CN136" i="117"/>
  <c r="CO136" i="117"/>
  <c r="CP136" i="117"/>
  <c r="CQ136" i="117"/>
  <c r="CN137" i="117"/>
  <c r="CO137" i="117"/>
  <c r="CP137" i="117"/>
  <c r="CQ137" i="117"/>
  <c r="CN138" i="117"/>
  <c r="CO138" i="117"/>
  <c r="CP138" i="117"/>
  <c r="CQ138" i="117"/>
  <c r="CN139" i="117"/>
  <c r="CO139" i="117"/>
  <c r="CP139" i="117"/>
  <c r="CQ139" i="117"/>
  <c r="CN140" i="117"/>
  <c r="CO140" i="117"/>
  <c r="CP140" i="117"/>
  <c r="CQ140" i="117"/>
  <c r="CN141" i="117"/>
  <c r="CO141" i="117"/>
  <c r="CP141" i="117"/>
  <c r="CQ141" i="117"/>
  <c r="CN142" i="117"/>
  <c r="CO142" i="117"/>
  <c r="CP142" i="117"/>
  <c r="CQ142" i="117"/>
  <c r="CQ3" i="117"/>
  <c r="CP3" i="117"/>
  <c r="CO3" i="117"/>
  <c r="CN3" i="117"/>
  <c r="CC4" i="117"/>
  <c r="CC5" i="117"/>
  <c r="CC6" i="117"/>
  <c r="AE13" i="4" s="1"/>
  <c r="CC7" i="117"/>
  <c r="AE14" i="4" s="1"/>
  <c r="CC8" i="117"/>
  <c r="AE15" i="4" s="1"/>
  <c r="CC9" i="117"/>
  <c r="AE16" i="4" s="1"/>
  <c r="CC10" i="117"/>
  <c r="AE17" i="4" s="1"/>
  <c r="CC11" i="117"/>
  <c r="AE18" i="4" s="1"/>
  <c r="CC12" i="117"/>
  <c r="AE19" i="4" s="1"/>
  <c r="CC13" i="117"/>
  <c r="AE20" i="4" s="1"/>
  <c r="CC14" i="117"/>
  <c r="AE21" i="4" s="1"/>
  <c r="CC15" i="117"/>
  <c r="AE22" i="4" s="1"/>
  <c r="CC16" i="117"/>
  <c r="CC17" i="117"/>
  <c r="AE26" i="4" s="1"/>
  <c r="CC18" i="117"/>
  <c r="AE27" i="4" s="1"/>
  <c r="CC19" i="117"/>
  <c r="CC20" i="117"/>
  <c r="AE29" i="4" s="1"/>
  <c r="CC21" i="117"/>
  <c r="AE30" i="4" s="1"/>
  <c r="CC22" i="117"/>
  <c r="CC23" i="117"/>
  <c r="AE33" i="4" s="1"/>
  <c r="CC24" i="117"/>
  <c r="AE35" i="4" s="1"/>
  <c r="CC25" i="117"/>
  <c r="CC26" i="117"/>
  <c r="CC27" i="117"/>
  <c r="AE39" i="4" s="1"/>
  <c r="CC28" i="117"/>
  <c r="CC29" i="117"/>
  <c r="CC30" i="117"/>
  <c r="AE43" i="4" s="1"/>
  <c r="CC31" i="117"/>
  <c r="AE44" i="4" s="1"/>
  <c r="CC32" i="117"/>
  <c r="AE45" i="4" s="1"/>
  <c r="CC33" i="117"/>
  <c r="AE46" i="4" s="1"/>
  <c r="CC34" i="117"/>
  <c r="AE47" i="4" s="1"/>
  <c r="CC35" i="117"/>
  <c r="AE48" i="4" s="1"/>
  <c r="CC36" i="117"/>
  <c r="AE49" i="4" s="1"/>
  <c r="CC37" i="117"/>
  <c r="AE50" i="4" s="1"/>
  <c r="CC38" i="117"/>
  <c r="AE51" i="4" s="1"/>
  <c r="CC39" i="117"/>
  <c r="AE52" i="4" s="1"/>
  <c r="CC40" i="117"/>
  <c r="AE53" i="4" s="1"/>
  <c r="CC41" i="117"/>
  <c r="CC42" i="117"/>
  <c r="AE57" i="4" s="1"/>
  <c r="CC43" i="117"/>
  <c r="AE58" i="4" s="1"/>
  <c r="CC44" i="117"/>
  <c r="CC45" i="117"/>
  <c r="AE60" i="4" s="1"/>
  <c r="CC46" i="117"/>
  <c r="AE61" i="4" s="1"/>
  <c r="CC47" i="117"/>
  <c r="CC48" i="117"/>
  <c r="AE64" i="4" s="1"/>
  <c r="CC49" i="117"/>
  <c r="AE65" i="4" s="1"/>
  <c r="CC50" i="117"/>
  <c r="AE66" i="4" s="1"/>
  <c r="CC51" i="117"/>
  <c r="CC52" i="117"/>
  <c r="AE70" i="4" s="1"/>
  <c r="CC53" i="117"/>
  <c r="CC54" i="117"/>
  <c r="CC55" i="117"/>
  <c r="AE74" i="4" s="1"/>
  <c r="CC56" i="117"/>
  <c r="AE75" i="4" s="1"/>
  <c r="CC57" i="117"/>
  <c r="AE76" i="4" s="1"/>
  <c r="CC58" i="117"/>
  <c r="CC59" i="117"/>
  <c r="CC60" i="117"/>
  <c r="AE81" i="4" s="1"/>
  <c r="CC61" i="117"/>
  <c r="AE82" i="4" s="1"/>
  <c r="CC62" i="117"/>
  <c r="CC63" i="117"/>
  <c r="AE86" i="4" s="1"/>
  <c r="CC64" i="117"/>
  <c r="CC65" i="117"/>
  <c r="AE90" i="4" s="1"/>
  <c r="CC66" i="117"/>
  <c r="CC67" i="117"/>
  <c r="CC68" i="117"/>
  <c r="CC69" i="117"/>
  <c r="AE96" i="4" s="1"/>
  <c r="CC70" i="117"/>
  <c r="AE97" i="4" s="1"/>
  <c r="CC71" i="117"/>
  <c r="CC72" i="117"/>
  <c r="AE99" i="4" s="1"/>
  <c r="CC73" i="117"/>
  <c r="AE100" i="4" s="1"/>
  <c r="CC74" i="117"/>
  <c r="AE101" i="4" s="1"/>
  <c r="CC75" i="117"/>
  <c r="AE102" i="4" s="1"/>
  <c r="CC76" i="117"/>
  <c r="AE103" i="4" s="1"/>
  <c r="CC77" i="117"/>
  <c r="AE104" i="4" s="1"/>
  <c r="CC78" i="117"/>
  <c r="AE105" i="4" s="1"/>
  <c r="CC79" i="117"/>
  <c r="AE106" i="4" s="1"/>
  <c r="CC80" i="117"/>
  <c r="CC81" i="117"/>
  <c r="AE108" i="4" s="1"/>
  <c r="CC82" i="117"/>
  <c r="AE109" i="4" s="1"/>
  <c r="CC83" i="117"/>
  <c r="AE113" i="4" s="1"/>
  <c r="CC84" i="117"/>
  <c r="CC85" i="117"/>
  <c r="AE116" i="4" s="1"/>
  <c r="CC86" i="117"/>
  <c r="CC87" i="117"/>
  <c r="AE119" i="4" s="1"/>
  <c r="CC88" i="117"/>
  <c r="AE121" i="4" s="1"/>
  <c r="CC89" i="117"/>
  <c r="AE122" i="4" s="1"/>
  <c r="CC90" i="117"/>
  <c r="AE123" i="4" s="1"/>
  <c r="CC91" i="117"/>
  <c r="AE124" i="4" s="1"/>
  <c r="CC92" i="117"/>
  <c r="CC93" i="117"/>
  <c r="AE126" i="4" s="1"/>
  <c r="CC94" i="117"/>
  <c r="AE127" i="4" s="1"/>
  <c r="CC95" i="117"/>
  <c r="AE128" i="4" s="1"/>
  <c r="CC96" i="117"/>
  <c r="AE129" i="4" s="1"/>
  <c r="CC97" i="117"/>
  <c r="CC98" i="117"/>
  <c r="CC99" i="117"/>
  <c r="CC100" i="117"/>
  <c r="AE134" i="4" s="1"/>
  <c r="CC101" i="117"/>
  <c r="AE135" i="4" s="1"/>
  <c r="CC102" i="117"/>
  <c r="AE136" i="4" s="1"/>
  <c r="CC103" i="117"/>
  <c r="AE137" i="4" s="1"/>
  <c r="CC104" i="117"/>
  <c r="CC105" i="117"/>
  <c r="AE139" i="4" s="1"/>
  <c r="CC106" i="117"/>
  <c r="CC107" i="117"/>
  <c r="AE141" i="4" s="1"/>
  <c r="CC108" i="117"/>
  <c r="CC109" i="117"/>
  <c r="CC110" i="117"/>
  <c r="CC111" i="117"/>
  <c r="AE159" i="4" s="1"/>
  <c r="CC112" i="117"/>
  <c r="CC113" i="117"/>
  <c r="CC114" i="117"/>
  <c r="AE180" i="4" s="1"/>
  <c r="AE179" i="4" s="1"/>
  <c r="CC115" i="117"/>
  <c r="CC116" i="117"/>
  <c r="AE183" i="4" s="1"/>
  <c r="CC117" i="117"/>
  <c r="CC118" i="117"/>
  <c r="AE184" i="4" s="1"/>
  <c r="CC119" i="117"/>
  <c r="CC120" i="117"/>
  <c r="CC121" i="117"/>
  <c r="CC3" i="117"/>
  <c r="AD48" i="35"/>
  <c r="AD37" i="35"/>
  <c r="AD28" i="35"/>
  <c r="AD26" i="35"/>
  <c r="DP4" i="116"/>
  <c r="DQ4" i="116"/>
  <c r="DR4" i="116"/>
  <c r="DP5" i="116"/>
  <c r="DQ5" i="116"/>
  <c r="DR5" i="116"/>
  <c r="DP6" i="116"/>
  <c r="DQ6" i="116"/>
  <c r="DR6" i="116"/>
  <c r="DP7" i="116"/>
  <c r="DQ7" i="116"/>
  <c r="DR7" i="116"/>
  <c r="DP8" i="116"/>
  <c r="DQ8" i="116"/>
  <c r="DR8" i="116"/>
  <c r="DP9" i="116"/>
  <c r="DQ9" i="116"/>
  <c r="DR9" i="116"/>
  <c r="DP10" i="116"/>
  <c r="DQ10" i="116"/>
  <c r="DR10" i="116"/>
  <c r="DP11" i="116"/>
  <c r="DQ11" i="116"/>
  <c r="DR11" i="116"/>
  <c r="DP12" i="116"/>
  <c r="DQ12" i="116"/>
  <c r="DR12" i="116"/>
  <c r="DP13" i="116"/>
  <c r="DQ13" i="116"/>
  <c r="DR13" i="116"/>
  <c r="DP14" i="116"/>
  <c r="DQ14" i="116"/>
  <c r="DR14" i="116"/>
  <c r="DP15" i="116"/>
  <c r="DQ15" i="116"/>
  <c r="DR15" i="116"/>
  <c r="DP16" i="116"/>
  <c r="R24" i="35" s="1"/>
  <c r="DQ16" i="116"/>
  <c r="DR16" i="116"/>
  <c r="DP17" i="116"/>
  <c r="DQ17" i="116"/>
  <c r="DR17" i="116"/>
  <c r="DP18" i="116"/>
  <c r="DQ18" i="116"/>
  <c r="DR18" i="116"/>
  <c r="DP19" i="116"/>
  <c r="DQ19" i="116"/>
  <c r="DR19" i="116"/>
  <c r="DP20" i="116"/>
  <c r="DQ20" i="116"/>
  <c r="DR20" i="116"/>
  <c r="DP21" i="116"/>
  <c r="DQ21" i="116"/>
  <c r="DR21" i="116"/>
  <c r="DP22" i="116"/>
  <c r="DQ22" i="116"/>
  <c r="DR22" i="116"/>
  <c r="DP23" i="116"/>
  <c r="DQ23" i="116"/>
  <c r="DR23" i="116"/>
  <c r="DP24" i="116"/>
  <c r="DQ24" i="116"/>
  <c r="DR24" i="116"/>
  <c r="DP25" i="116"/>
  <c r="DQ25" i="116"/>
  <c r="DR25" i="116"/>
  <c r="DP26" i="116"/>
  <c r="DQ26" i="116"/>
  <c r="DR26" i="116"/>
  <c r="DP27" i="116"/>
  <c r="DQ27" i="116"/>
  <c r="DR27" i="116"/>
  <c r="DP28" i="116"/>
  <c r="DQ28" i="116"/>
  <c r="DR28" i="116"/>
  <c r="DP29" i="116"/>
  <c r="DQ29" i="116"/>
  <c r="DR29" i="116"/>
  <c r="DP30" i="116"/>
  <c r="DQ30" i="116"/>
  <c r="DR30" i="116"/>
  <c r="DP31" i="116"/>
  <c r="DQ31" i="116"/>
  <c r="DR31" i="116"/>
  <c r="DP32" i="116"/>
  <c r="DQ32" i="116"/>
  <c r="DR32" i="116"/>
  <c r="DP33" i="116"/>
  <c r="DQ33" i="116"/>
  <c r="DR33" i="116"/>
  <c r="DP34" i="116"/>
  <c r="DQ34" i="116"/>
  <c r="DR34" i="116"/>
  <c r="DP35" i="116"/>
  <c r="DQ35" i="116"/>
  <c r="DR35" i="116"/>
  <c r="DP36" i="116"/>
  <c r="DQ36" i="116"/>
  <c r="DR36" i="116"/>
  <c r="DP37" i="116"/>
  <c r="DQ37" i="116"/>
  <c r="DR37" i="116"/>
  <c r="DP38" i="116"/>
  <c r="DQ38" i="116"/>
  <c r="DR38" i="116"/>
  <c r="DP39" i="116"/>
  <c r="DQ39" i="116"/>
  <c r="DR39" i="116"/>
  <c r="DP40" i="116"/>
  <c r="DQ40" i="116"/>
  <c r="DR40" i="116"/>
  <c r="DP41" i="116"/>
  <c r="DQ41" i="116"/>
  <c r="DR41" i="116"/>
  <c r="DP42" i="116"/>
  <c r="DQ42" i="116"/>
  <c r="DR42" i="116"/>
  <c r="DP43" i="116"/>
  <c r="DQ43" i="116"/>
  <c r="DR43" i="116"/>
  <c r="DP44" i="116"/>
  <c r="DQ44" i="116"/>
  <c r="DR44" i="116"/>
  <c r="DP45" i="116"/>
  <c r="DQ45" i="116"/>
  <c r="DR45" i="116"/>
  <c r="DP46" i="116"/>
  <c r="DQ46" i="116"/>
  <c r="DR46" i="116"/>
  <c r="DP47" i="116"/>
  <c r="DQ47" i="116"/>
  <c r="DR47" i="116"/>
  <c r="DP48" i="116"/>
  <c r="DQ48" i="116"/>
  <c r="DR48" i="116"/>
  <c r="DP49" i="116"/>
  <c r="DQ49" i="116"/>
  <c r="DR49" i="116"/>
  <c r="DP50" i="116"/>
  <c r="DQ50" i="116"/>
  <c r="DR50" i="116"/>
  <c r="DP51" i="116"/>
  <c r="DQ51" i="116"/>
  <c r="DR51" i="116"/>
  <c r="DQ3" i="116"/>
  <c r="DR3" i="116"/>
  <c r="DP3" i="116"/>
  <c r="DC4" i="116"/>
  <c r="DD4" i="116"/>
  <c r="DE4" i="116"/>
  <c r="DC5" i="116"/>
  <c r="DD5" i="116"/>
  <c r="DE5" i="116"/>
  <c r="AD15" i="35" s="1"/>
  <c r="AD14" i="35" s="1"/>
  <c r="DC6" i="116"/>
  <c r="DD6" i="116"/>
  <c r="DE6" i="116"/>
  <c r="DC7" i="116"/>
  <c r="DD7" i="116"/>
  <c r="DE7" i="116"/>
  <c r="DC8" i="116"/>
  <c r="DD8" i="116"/>
  <c r="DE8" i="116"/>
  <c r="DC9" i="116"/>
  <c r="DD9" i="116"/>
  <c r="DE9" i="116"/>
  <c r="DC10" i="116"/>
  <c r="DD10" i="116"/>
  <c r="DE10" i="116"/>
  <c r="AD22" i="35" s="1"/>
  <c r="DC11" i="116"/>
  <c r="DD11" i="116"/>
  <c r="DE11" i="116"/>
  <c r="AD21" i="35" s="1"/>
  <c r="DC12" i="116"/>
  <c r="DD12" i="116"/>
  <c r="DE12" i="116"/>
  <c r="AD23" i="35" s="1"/>
  <c r="DC13" i="116"/>
  <c r="DD13" i="116"/>
  <c r="DE13" i="116"/>
  <c r="DC14" i="116"/>
  <c r="DD14" i="116"/>
  <c r="DE14" i="116"/>
  <c r="DC15" i="116"/>
  <c r="DD15" i="116"/>
  <c r="DE15" i="116"/>
  <c r="DC16" i="116"/>
  <c r="DD16" i="116"/>
  <c r="DE16" i="116"/>
  <c r="DC17" i="116"/>
  <c r="DD17" i="116"/>
  <c r="DE17" i="116"/>
  <c r="DC18" i="116"/>
  <c r="DD18" i="116"/>
  <c r="DE18" i="116"/>
  <c r="AD36" i="35" s="1"/>
  <c r="DC19" i="116"/>
  <c r="DD19" i="116"/>
  <c r="DE19" i="116"/>
  <c r="DC20" i="116"/>
  <c r="DD20" i="116"/>
  <c r="DE20" i="116"/>
  <c r="DC21" i="116"/>
  <c r="DD21" i="116"/>
  <c r="DE21" i="116"/>
  <c r="AD44" i="35" s="1"/>
  <c r="AD42" i="35" s="1"/>
  <c r="AD41" i="35" s="1"/>
  <c r="AD40" i="35" s="1"/>
  <c r="DC22" i="116"/>
  <c r="DD22" i="116"/>
  <c r="DE22" i="116"/>
  <c r="DC23" i="116"/>
  <c r="DD23" i="116"/>
  <c r="DE23" i="116"/>
  <c r="DC24" i="116"/>
  <c r="DD24" i="116"/>
  <c r="DE24" i="116"/>
  <c r="DD3" i="116"/>
  <c r="DE3" i="116"/>
  <c r="DC3" i="116"/>
  <c r="AD30" i="37"/>
  <c r="AD28" i="37"/>
  <c r="AD26" i="37"/>
  <c r="AD23" i="37"/>
  <c r="DO4" i="115"/>
  <c r="DP4" i="115"/>
  <c r="DQ4" i="115"/>
  <c r="DO5" i="115"/>
  <c r="DP5" i="115"/>
  <c r="DQ5" i="115"/>
  <c r="DO6" i="115"/>
  <c r="DP6" i="115"/>
  <c r="DQ6" i="115"/>
  <c r="DO7" i="115"/>
  <c r="DP7" i="115"/>
  <c r="DQ7" i="115"/>
  <c r="DO8" i="115"/>
  <c r="DP8" i="115"/>
  <c r="DQ8" i="115"/>
  <c r="DO9" i="115"/>
  <c r="DP9" i="115"/>
  <c r="DQ9" i="115"/>
  <c r="DO10" i="115"/>
  <c r="DP10" i="115"/>
  <c r="DQ10" i="115"/>
  <c r="DO11" i="115"/>
  <c r="DP11" i="115"/>
  <c r="DQ11" i="115"/>
  <c r="DO12" i="115"/>
  <c r="DP12" i="115"/>
  <c r="DQ12" i="115"/>
  <c r="DO13" i="115"/>
  <c r="DP13" i="115"/>
  <c r="DQ13" i="115"/>
  <c r="DO14" i="115"/>
  <c r="DP14" i="115"/>
  <c r="DQ14" i="115"/>
  <c r="DO15" i="115"/>
  <c r="DP15" i="115"/>
  <c r="DQ15" i="115"/>
  <c r="DO16" i="115"/>
  <c r="DP16" i="115"/>
  <c r="DQ16" i="115"/>
  <c r="DO17" i="115"/>
  <c r="DP17" i="115"/>
  <c r="DQ17" i="115"/>
  <c r="DO18" i="115"/>
  <c r="DP18" i="115"/>
  <c r="DQ18" i="115"/>
  <c r="DO19" i="115"/>
  <c r="DP19" i="115"/>
  <c r="DQ19" i="115"/>
  <c r="DO20" i="115"/>
  <c r="DP20" i="115"/>
  <c r="DQ20" i="115"/>
  <c r="DO21" i="115"/>
  <c r="DP21" i="115"/>
  <c r="DQ21" i="115"/>
  <c r="DO22" i="115"/>
  <c r="DP22" i="115"/>
  <c r="DQ22" i="115"/>
  <c r="DO23" i="115"/>
  <c r="DP23" i="115"/>
  <c r="DQ23" i="115"/>
  <c r="DO24" i="115"/>
  <c r="DP24" i="115"/>
  <c r="DQ24" i="115"/>
  <c r="DO25" i="115"/>
  <c r="DP25" i="115"/>
  <c r="DQ25" i="115"/>
  <c r="DO26" i="115"/>
  <c r="DP26" i="115"/>
  <c r="DQ26" i="115"/>
  <c r="DO27" i="115"/>
  <c r="DP27" i="115"/>
  <c r="DQ27" i="115"/>
  <c r="DO28" i="115"/>
  <c r="DP28" i="115"/>
  <c r="DQ28" i="115"/>
  <c r="DO29" i="115"/>
  <c r="DP29" i="115"/>
  <c r="DQ29" i="115"/>
  <c r="DO30" i="115"/>
  <c r="DP30" i="115"/>
  <c r="DQ30" i="115"/>
  <c r="DO31" i="115"/>
  <c r="DP31" i="115"/>
  <c r="DQ31" i="115"/>
  <c r="DO32" i="115"/>
  <c r="DP32" i="115"/>
  <c r="DQ32" i="115"/>
  <c r="DO33" i="115"/>
  <c r="DP33" i="115"/>
  <c r="DQ33" i="115"/>
  <c r="DO34" i="115"/>
  <c r="DP34" i="115"/>
  <c r="DQ34" i="115"/>
  <c r="DO35" i="115"/>
  <c r="DP35" i="115"/>
  <c r="DQ35" i="115"/>
  <c r="DO36" i="115"/>
  <c r="DP36" i="115"/>
  <c r="DQ36" i="115"/>
  <c r="DO37" i="115"/>
  <c r="DP37" i="115"/>
  <c r="DQ37" i="115"/>
  <c r="DO38" i="115"/>
  <c r="DP38" i="115"/>
  <c r="DQ38" i="115"/>
  <c r="DO39" i="115"/>
  <c r="DP39" i="115"/>
  <c r="DQ39" i="115"/>
  <c r="DO40" i="115"/>
  <c r="DP40" i="115"/>
  <c r="DQ40" i="115"/>
  <c r="DO41" i="115"/>
  <c r="DP41" i="115"/>
  <c r="DQ41" i="115"/>
  <c r="DO42" i="115"/>
  <c r="DP42" i="115"/>
  <c r="DQ42" i="115"/>
  <c r="DO43" i="115"/>
  <c r="DP43" i="115"/>
  <c r="DQ43" i="115"/>
  <c r="DO44" i="115"/>
  <c r="DP44" i="115"/>
  <c r="DQ44" i="115"/>
  <c r="DO45" i="115"/>
  <c r="DP45" i="115"/>
  <c r="DQ45" i="115"/>
  <c r="DO46" i="115"/>
  <c r="DP46" i="115"/>
  <c r="DQ46" i="115"/>
  <c r="DO47" i="115"/>
  <c r="DP47" i="115"/>
  <c r="DQ47" i="115"/>
  <c r="DO48" i="115"/>
  <c r="DP48" i="115"/>
  <c r="DQ48" i="115"/>
  <c r="DP3" i="115"/>
  <c r="DQ3" i="115"/>
  <c r="DO3" i="115"/>
  <c r="DB4" i="115"/>
  <c r="DC4" i="115"/>
  <c r="AC15" i="37" s="1"/>
  <c r="DD4" i="115"/>
  <c r="AD15" i="37" s="1"/>
  <c r="DB5" i="115"/>
  <c r="DC5" i="115"/>
  <c r="DD5" i="115"/>
  <c r="AD21" i="37" s="1"/>
  <c r="DB6" i="115"/>
  <c r="DC6" i="115"/>
  <c r="DD6" i="115"/>
  <c r="AD18" i="37" s="1"/>
  <c r="DB7" i="115"/>
  <c r="DC7" i="115"/>
  <c r="DD7" i="115"/>
  <c r="DB8" i="115"/>
  <c r="DC8" i="115"/>
  <c r="DD8" i="115"/>
  <c r="DB9" i="115"/>
  <c r="DC9" i="115"/>
  <c r="DD9" i="115"/>
  <c r="AD17" i="37" s="1"/>
  <c r="DB10" i="115"/>
  <c r="DC10" i="115"/>
  <c r="DD10" i="115"/>
  <c r="DB11" i="115"/>
  <c r="DC11" i="115"/>
  <c r="DD11" i="115"/>
  <c r="AD52" i="37" s="1"/>
  <c r="DB12" i="115"/>
  <c r="DC12" i="115"/>
  <c r="DD12" i="115"/>
  <c r="AD39" i="37" s="1"/>
  <c r="DB13" i="115"/>
  <c r="DC13" i="115"/>
  <c r="DD13" i="115"/>
  <c r="DB14" i="115"/>
  <c r="DC14" i="115"/>
  <c r="DD14" i="115"/>
  <c r="AD40" i="37" s="1"/>
  <c r="DB15" i="115"/>
  <c r="DC15" i="115"/>
  <c r="DD15" i="115"/>
  <c r="DB16" i="115"/>
  <c r="DC16" i="115"/>
  <c r="DD16" i="115"/>
  <c r="AD41" i="37" s="1"/>
  <c r="DB17" i="115"/>
  <c r="DC17" i="115"/>
  <c r="DD17" i="115"/>
  <c r="AD44" i="37" s="1"/>
  <c r="DB18" i="115"/>
  <c r="DC18" i="115"/>
  <c r="DD18" i="115"/>
  <c r="DB19" i="115"/>
  <c r="DC19" i="115"/>
  <c r="DD19" i="115"/>
  <c r="AD45" i="37" s="1"/>
  <c r="DB20" i="115"/>
  <c r="DC20" i="115"/>
  <c r="DD20" i="115"/>
  <c r="AD46" i="37" s="1"/>
  <c r="DB21" i="115"/>
  <c r="DC21" i="115"/>
  <c r="DD21" i="115"/>
  <c r="AD47" i="37" s="1"/>
  <c r="DB22" i="115"/>
  <c r="DC22" i="115"/>
  <c r="DD22" i="115"/>
  <c r="AD48" i="37" s="1"/>
  <c r="DB23" i="115"/>
  <c r="DC23" i="115"/>
  <c r="DD23" i="115"/>
  <c r="DB24" i="115"/>
  <c r="DC24" i="115"/>
  <c r="DD24" i="115"/>
  <c r="AD49" i="37" s="1"/>
  <c r="DB25" i="115"/>
  <c r="DC25" i="115"/>
  <c r="DD25" i="115"/>
  <c r="DB26" i="115"/>
  <c r="DC26" i="115"/>
  <c r="AD54" i="37"/>
  <c r="DC3" i="115"/>
  <c r="DD3" i="115"/>
  <c r="DB3" i="115"/>
  <c r="CD4" i="114"/>
  <c r="CE4" i="114"/>
  <c r="CF4" i="114"/>
  <c r="CD5" i="114"/>
  <c r="CE5" i="114"/>
  <c r="CF5" i="114"/>
  <c r="CD6" i="114"/>
  <c r="CE6" i="114"/>
  <c r="CF6" i="114"/>
  <c r="CE7" i="114"/>
  <c r="CF7" i="114"/>
  <c r="CE3" i="114"/>
  <c r="CF3" i="114"/>
  <c r="CD3" i="114"/>
  <c r="AD58" i="54"/>
  <c r="AD35" i="54"/>
  <c r="AD10" i="54"/>
  <c r="BR4" i="114"/>
  <c r="BS4" i="114"/>
  <c r="BT4" i="114"/>
  <c r="AD33" i="54" s="1"/>
  <c r="AD32" i="54" s="1"/>
  <c r="BR5" i="114"/>
  <c r="BS5" i="114"/>
  <c r="BT5" i="114"/>
  <c r="BS3" i="114"/>
  <c r="BT3" i="114"/>
  <c r="BR3" i="114"/>
  <c r="Q182" i="4" l="1"/>
  <c r="P80" i="39"/>
  <c r="R80" i="39" s="1"/>
  <c r="AC14" i="37"/>
  <c r="AC12" i="37" s="1"/>
  <c r="AC11" i="37" s="1"/>
  <c r="CV19" i="132" s="1"/>
  <c r="J15" i="37"/>
  <c r="K15" i="37" s="1"/>
  <c r="AD30" i="35"/>
  <c r="Q36" i="35"/>
  <c r="AE12" i="4"/>
  <c r="N197" i="39"/>
  <c r="N196" i="39" s="1"/>
  <c r="AD38" i="37"/>
  <c r="AD43" i="37"/>
  <c r="CC122" i="117"/>
  <c r="AD34" i="54"/>
  <c r="AD9" i="54" s="1"/>
  <c r="AE182" i="4"/>
  <c r="AE174" i="4" s="1"/>
  <c r="AE162" i="4" s="1"/>
  <c r="AE155" i="4" s="1"/>
  <c r="AE147" i="4" s="1"/>
  <c r="AE146" i="4" s="1"/>
  <c r="AE138" i="4" s="1"/>
  <c r="AE133" i="4" s="1"/>
  <c r="AE125" i="4" s="1"/>
  <c r="AE118" i="4" s="1"/>
  <c r="AE115" i="4" s="1"/>
  <c r="AE107" i="4" s="1"/>
  <c r="AE98" i="4" s="1"/>
  <c r="AE85" i="4" s="1"/>
  <c r="AE79" i="4" s="1"/>
  <c r="L14" i="35"/>
  <c r="N14" i="35" s="1"/>
  <c r="AD20" i="35"/>
  <c r="DQ49" i="115"/>
  <c r="AD16" i="37"/>
  <c r="AD14" i="37" s="1"/>
  <c r="AD12" i="37" s="1"/>
  <c r="AD13" i="35" l="1"/>
  <c r="AD10" i="35" s="1"/>
  <c r="AD9" i="35" s="1"/>
  <c r="O197" i="39"/>
  <c r="AD37" i="37"/>
  <c r="M14" i="35"/>
  <c r="AE78" i="4"/>
  <c r="AE73" i="4" s="1"/>
  <c r="AE72" i="4" s="1"/>
  <c r="AE68" i="4" s="1"/>
  <c r="AE63" i="4" s="1"/>
  <c r="AE59" i="4" s="1"/>
  <c r="AE56" i="4" s="1"/>
  <c r="AE42" i="4" s="1"/>
  <c r="AE41" i="4" s="1"/>
  <c r="AE37" i="4" s="1"/>
  <c r="AE32" i="4" s="1"/>
  <c r="AE28" i="4" s="1"/>
  <c r="AE25" i="4" s="1"/>
  <c r="AE11" i="4" s="1"/>
  <c r="AE10" i="4" l="1"/>
  <c r="AE9" i="4" l="1"/>
  <c r="L10" i="54"/>
  <c r="O62" i="54"/>
  <c r="O63" i="54"/>
  <c r="O64" i="54"/>
  <c r="O65" i="54"/>
  <c r="O66" i="54"/>
  <c r="O67" i="54"/>
  <c r="O68" i="54"/>
  <c r="O69" i="54"/>
  <c r="O61" i="54"/>
  <c r="M61" i="54"/>
  <c r="M62" i="54"/>
  <c r="M63" i="54"/>
  <c r="M64" i="54"/>
  <c r="M65" i="54"/>
  <c r="M66" i="54"/>
  <c r="M67" i="54"/>
  <c r="M68" i="54"/>
  <c r="M69" i="54"/>
  <c r="M37" i="54"/>
  <c r="M38" i="54"/>
  <c r="M39" i="54"/>
  <c r="M40" i="54"/>
  <c r="M41" i="54"/>
  <c r="M42" i="54"/>
  <c r="M43" i="54"/>
  <c r="M44" i="54"/>
  <c r="M45" i="54"/>
  <c r="M46" i="54"/>
  <c r="M47" i="54"/>
  <c r="M48" i="54"/>
  <c r="M49" i="54"/>
  <c r="M50" i="54"/>
  <c r="M51" i="54"/>
  <c r="M52" i="54"/>
  <c r="M54" i="54"/>
  <c r="M55" i="54"/>
  <c r="M56" i="54"/>
  <c r="M36" i="54"/>
  <c r="O37" i="54"/>
  <c r="O38" i="54"/>
  <c r="O39" i="54"/>
  <c r="O40" i="54"/>
  <c r="O41" i="54"/>
  <c r="O42" i="54"/>
  <c r="O43" i="54"/>
  <c r="O44" i="54"/>
  <c r="O45" i="54"/>
  <c r="O46" i="54"/>
  <c r="O47" i="54"/>
  <c r="O48" i="54"/>
  <c r="O49" i="54"/>
  <c r="O50" i="54"/>
  <c r="O51" i="54"/>
  <c r="O52" i="54"/>
  <c r="O54" i="54"/>
  <c r="O55" i="54"/>
  <c r="O56" i="54"/>
  <c r="O36" i="54"/>
  <c r="O12" i="54"/>
  <c r="M12" i="54"/>
  <c r="F230" i="39" l="1"/>
  <c r="F80" i="39"/>
  <c r="M222" i="39"/>
  <c r="O229" i="39"/>
  <c r="AB35" i="54" l="1"/>
  <c r="AB34" i="54" s="1"/>
  <c r="AR4" i="114"/>
  <c r="AB33" i="54" s="1"/>
  <c r="Q33" i="54" s="1"/>
  <c r="AR3" i="114"/>
  <c r="BE4" i="114"/>
  <c r="BF4" i="114"/>
  <c r="BG4" i="114"/>
  <c r="BE5" i="114"/>
  <c r="BF5" i="114"/>
  <c r="BG5" i="114"/>
  <c r="BE6" i="114"/>
  <c r="M59" i="54" s="1"/>
  <c r="BF6" i="114"/>
  <c r="BG6" i="114"/>
  <c r="BE7" i="114"/>
  <c r="M60" i="54" s="1"/>
  <c r="BF7" i="114"/>
  <c r="BG7" i="114"/>
  <c r="BF3" i="114"/>
  <c r="BG3" i="114"/>
  <c r="BE3" i="114"/>
  <c r="AQ4" i="114"/>
  <c r="AS4" i="114"/>
  <c r="AS3" i="114"/>
  <c r="AQ3" i="114"/>
  <c r="AB23" i="37"/>
  <c r="CO4" i="115"/>
  <c r="CP4" i="115"/>
  <c r="CQ4" i="115"/>
  <c r="CO5" i="115"/>
  <c r="CP5" i="115"/>
  <c r="CQ5" i="115"/>
  <c r="CO6" i="115"/>
  <c r="CP6" i="115"/>
  <c r="CQ6" i="115"/>
  <c r="CO7" i="115"/>
  <c r="CP7" i="115"/>
  <c r="CQ7" i="115"/>
  <c r="CO8" i="115"/>
  <c r="CP8" i="115"/>
  <c r="CQ8" i="115"/>
  <c r="CO9" i="115"/>
  <c r="CP9" i="115"/>
  <c r="CQ9" i="115"/>
  <c r="CO10" i="115"/>
  <c r="CP10" i="115"/>
  <c r="CQ10" i="115"/>
  <c r="CO11" i="115"/>
  <c r="CP11" i="115"/>
  <c r="CQ11" i="115"/>
  <c r="CO12" i="115"/>
  <c r="CP12" i="115"/>
  <c r="CQ12" i="115"/>
  <c r="CO13" i="115"/>
  <c r="CP13" i="115"/>
  <c r="CQ13" i="115"/>
  <c r="CO14" i="115"/>
  <c r="CP14" i="115"/>
  <c r="CQ14" i="115"/>
  <c r="CO15" i="115"/>
  <c r="CP15" i="115"/>
  <c r="CQ15" i="115"/>
  <c r="CO16" i="115"/>
  <c r="CP16" i="115"/>
  <c r="CQ16" i="115"/>
  <c r="CO17" i="115"/>
  <c r="CP17" i="115"/>
  <c r="CQ17" i="115"/>
  <c r="CO18" i="115"/>
  <c r="CP18" i="115"/>
  <c r="CQ18" i="115"/>
  <c r="CO19" i="115"/>
  <c r="CP19" i="115"/>
  <c r="CQ19" i="115"/>
  <c r="CO20" i="115"/>
  <c r="CP20" i="115"/>
  <c r="CQ20" i="115"/>
  <c r="CO21" i="115"/>
  <c r="CP21" i="115"/>
  <c r="CQ21" i="115"/>
  <c r="CO22" i="115"/>
  <c r="CP22" i="115"/>
  <c r="CQ22" i="115"/>
  <c r="CO23" i="115"/>
  <c r="CP23" i="115"/>
  <c r="CQ23" i="115"/>
  <c r="CO24" i="115"/>
  <c r="CP24" i="115"/>
  <c r="CQ24" i="115"/>
  <c r="CO25" i="115"/>
  <c r="CP25" i="115"/>
  <c r="CQ25" i="115"/>
  <c r="CO26" i="115"/>
  <c r="CP26" i="115"/>
  <c r="CQ26" i="115"/>
  <c r="CO27" i="115"/>
  <c r="CP27" i="115"/>
  <c r="CQ27" i="115"/>
  <c r="CO28" i="115"/>
  <c r="CP28" i="115"/>
  <c r="CQ28" i="115"/>
  <c r="CO29" i="115"/>
  <c r="CP29" i="115"/>
  <c r="CQ29" i="115"/>
  <c r="CO30" i="115"/>
  <c r="CP30" i="115"/>
  <c r="CQ30" i="115"/>
  <c r="CO31" i="115"/>
  <c r="CP31" i="115"/>
  <c r="CQ31" i="115"/>
  <c r="CO32" i="115"/>
  <c r="CP32" i="115"/>
  <c r="CQ32" i="115"/>
  <c r="CO33" i="115"/>
  <c r="CP33" i="115"/>
  <c r="CQ33" i="115"/>
  <c r="CO34" i="115"/>
  <c r="CP34" i="115"/>
  <c r="CQ34" i="115"/>
  <c r="CO35" i="115"/>
  <c r="CP35" i="115"/>
  <c r="CQ35" i="115"/>
  <c r="CO36" i="115"/>
  <c r="CP36" i="115"/>
  <c r="CQ36" i="115"/>
  <c r="CO37" i="115"/>
  <c r="CP37" i="115"/>
  <c r="CQ37" i="115"/>
  <c r="CO38" i="115"/>
  <c r="CP38" i="115"/>
  <c r="CQ38" i="115"/>
  <c r="CO39" i="115"/>
  <c r="CP39" i="115"/>
  <c r="CQ39" i="115"/>
  <c r="CO40" i="115"/>
  <c r="CP40" i="115"/>
  <c r="CQ40" i="115"/>
  <c r="CO41" i="115"/>
  <c r="CP41" i="115"/>
  <c r="CQ41" i="115"/>
  <c r="CO42" i="115"/>
  <c r="CP42" i="115"/>
  <c r="CQ42" i="115"/>
  <c r="CO43" i="115"/>
  <c r="CP43" i="115"/>
  <c r="CQ43" i="115"/>
  <c r="CO44" i="115"/>
  <c r="CP44" i="115"/>
  <c r="CQ44" i="115"/>
  <c r="CO45" i="115"/>
  <c r="CP45" i="115"/>
  <c r="CQ45" i="115"/>
  <c r="CO46" i="115"/>
  <c r="CP46" i="115"/>
  <c r="CQ46" i="115"/>
  <c r="CO47" i="115"/>
  <c r="CP47" i="115"/>
  <c r="CQ47" i="115"/>
  <c r="CO48" i="115"/>
  <c r="CP48" i="115"/>
  <c r="CQ48" i="115"/>
  <c r="CO49" i="115"/>
  <c r="CP49" i="115"/>
  <c r="CQ49" i="115"/>
  <c r="CP3" i="115"/>
  <c r="CQ3" i="115"/>
  <c r="CO3" i="115"/>
  <c r="CB4" i="115"/>
  <c r="CC4" i="115"/>
  <c r="CD4" i="115"/>
  <c r="CB5" i="115"/>
  <c r="CC5" i="115"/>
  <c r="CD5" i="115"/>
  <c r="AB15" i="37" s="1"/>
  <c r="CB6" i="115"/>
  <c r="CC6" i="115"/>
  <c r="CD6" i="115"/>
  <c r="CB7" i="115"/>
  <c r="CC7" i="115"/>
  <c r="CD7" i="115"/>
  <c r="AB17" i="37" s="1"/>
  <c r="CB8" i="115"/>
  <c r="CC8" i="115"/>
  <c r="CD8" i="115"/>
  <c r="AB18" i="37" s="1"/>
  <c r="CB9" i="115"/>
  <c r="CC9" i="115"/>
  <c r="CD9" i="115"/>
  <c r="CB10" i="115"/>
  <c r="CC10" i="115"/>
  <c r="CD10" i="115"/>
  <c r="AB52" i="37" s="1"/>
  <c r="CB11" i="115"/>
  <c r="CC11" i="115"/>
  <c r="CD11" i="115"/>
  <c r="AB39" i="37" s="1"/>
  <c r="Q39" i="37" s="1"/>
  <c r="CB12" i="115"/>
  <c r="CC12" i="115"/>
  <c r="CD12" i="115"/>
  <c r="AB40" i="37" s="1"/>
  <c r="CB13" i="115"/>
  <c r="CC13" i="115"/>
  <c r="CD13" i="115"/>
  <c r="AB41" i="37" s="1"/>
  <c r="CB14" i="115"/>
  <c r="CC14" i="115"/>
  <c r="CD14" i="115"/>
  <c r="AB44" i="37" s="1"/>
  <c r="CB15" i="115"/>
  <c r="CC15" i="115"/>
  <c r="CD15" i="115"/>
  <c r="AB46" i="37" s="1"/>
  <c r="CB16" i="115"/>
  <c r="CC16" i="115"/>
  <c r="CD16" i="115"/>
  <c r="AB48" i="37" s="1"/>
  <c r="CB17" i="115"/>
  <c r="CC17" i="115"/>
  <c r="CD17" i="115"/>
  <c r="AB49" i="37" s="1"/>
  <c r="CC3" i="115"/>
  <c r="CD3" i="115"/>
  <c r="CB3" i="115"/>
  <c r="AB32" i="54" l="1"/>
  <c r="AB9" i="54" s="1"/>
  <c r="AB43" i="37"/>
  <c r="AB38" i="37"/>
  <c r="L32" i="54"/>
  <c r="L9" i="54" s="1"/>
  <c r="AB16" i="37"/>
  <c r="AB14" i="37" s="1"/>
  <c r="AB12" i="37" s="1"/>
  <c r="CP4" i="116"/>
  <c r="CQ4" i="116"/>
  <c r="CR4" i="116"/>
  <c r="AB21" i="35" s="1"/>
  <c r="CP5" i="116"/>
  <c r="CQ5" i="116"/>
  <c r="CR5" i="116"/>
  <c r="CP6" i="116"/>
  <c r="CQ6" i="116"/>
  <c r="CR6" i="116"/>
  <c r="AB23" i="35" s="1"/>
  <c r="CP7" i="116"/>
  <c r="CQ7" i="116"/>
  <c r="CR7" i="116"/>
  <c r="AB25" i="35" s="1"/>
  <c r="CP8" i="116"/>
  <c r="CQ8" i="116"/>
  <c r="CR8" i="116"/>
  <c r="CP9" i="116"/>
  <c r="CQ9" i="116"/>
  <c r="CR9" i="116"/>
  <c r="AB27" i="35" s="1"/>
  <c r="CP10" i="116"/>
  <c r="CQ10" i="116"/>
  <c r="CR10" i="116"/>
  <c r="CP11" i="116"/>
  <c r="CQ11" i="116"/>
  <c r="CR11" i="116"/>
  <c r="CP12" i="116"/>
  <c r="CQ12" i="116"/>
  <c r="CR12" i="116"/>
  <c r="CP13" i="116"/>
  <c r="CQ13" i="116"/>
  <c r="CR13" i="116"/>
  <c r="CP14" i="116"/>
  <c r="CQ14" i="116"/>
  <c r="CR14" i="116"/>
  <c r="CP15" i="116"/>
  <c r="CQ15" i="116"/>
  <c r="CR15" i="116"/>
  <c r="AB44" i="35" s="1"/>
  <c r="CP16" i="116"/>
  <c r="CQ16" i="116"/>
  <c r="CR16" i="116"/>
  <c r="AB46" i="35" s="1"/>
  <c r="CQ3" i="116"/>
  <c r="CR3" i="116"/>
  <c r="AB15" i="35" s="1"/>
  <c r="CP3" i="116"/>
  <c r="CB4" i="116"/>
  <c r="CC4" i="116"/>
  <c r="CD4" i="116"/>
  <c r="CB5" i="116"/>
  <c r="CC5" i="116"/>
  <c r="CD5" i="116"/>
  <c r="CB6" i="116"/>
  <c r="CC6" i="116"/>
  <c r="CD6" i="116"/>
  <c r="CB7" i="116"/>
  <c r="CC7" i="116"/>
  <c r="CD7" i="116"/>
  <c r="CB8" i="116"/>
  <c r="CC8" i="116"/>
  <c r="CD8" i="116"/>
  <c r="CB9" i="116"/>
  <c r="CC9" i="116"/>
  <c r="CD9" i="116"/>
  <c r="CB10" i="116"/>
  <c r="CC10" i="116"/>
  <c r="CD10" i="116"/>
  <c r="CB11" i="116"/>
  <c r="CC11" i="116"/>
  <c r="CD11" i="116"/>
  <c r="CB12" i="116"/>
  <c r="CC12" i="116"/>
  <c r="CD12" i="116"/>
  <c r="CB13" i="116"/>
  <c r="CC13" i="116"/>
  <c r="CD13" i="116"/>
  <c r="CB14" i="116"/>
  <c r="CC14" i="116"/>
  <c r="CD14" i="116"/>
  <c r="CB15" i="116"/>
  <c r="CC15" i="116"/>
  <c r="CD15" i="116"/>
  <c r="CB16" i="116"/>
  <c r="CC16" i="116"/>
  <c r="CD16" i="116"/>
  <c r="CB17" i="116"/>
  <c r="CC17" i="116"/>
  <c r="CD17" i="116"/>
  <c r="CB18" i="116"/>
  <c r="CC18" i="116"/>
  <c r="CD18" i="116"/>
  <c r="CB19" i="116"/>
  <c r="CC19" i="116"/>
  <c r="CD19" i="116"/>
  <c r="CB20" i="116"/>
  <c r="CC20" i="116"/>
  <c r="CD20" i="116"/>
  <c r="CB21" i="116"/>
  <c r="CC21" i="116"/>
  <c r="CD21" i="116"/>
  <c r="CB22" i="116"/>
  <c r="CC22" i="116"/>
  <c r="CD22" i="116"/>
  <c r="CB23" i="116"/>
  <c r="CC23" i="116"/>
  <c r="CD23" i="116"/>
  <c r="CB24" i="116"/>
  <c r="CC24" i="116"/>
  <c r="CD24" i="116"/>
  <c r="CB25" i="116"/>
  <c r="CC25" i="116"/>
  <c r="CD25" i="116"/>
  <c r="CB26" i="116"/>
  <c r="CC26" i="116"/>
  <c r="CD26" i="116"/>
  <c r="CB27" i="116"/>
  <c r="CC27" i="116"/>
  <c r="CD27" i="116"/>
  <c r="CB28" i="116"/>
  <c r="CC28" i="116"/>
  <c r="CD28" i="116"/>
  <c r="CB29" i="116"/>
  <c r="CC29" i="116"/>
  <c r="CD29" i="116"/>
  <c r="CB30" i="116"/>
  <c r="CC30" i="116"/>
  <c r="CD30" i="116"/>
  <c r="CB31" i="116"/>
  <c r="CC31" i="116"/>
  <c r="CD31" i="116"/>
  <c r="CB32" i="116"/>
  <c r="CC32" i="116"/>
  <c r="CD32" i="116"/>
  <c r="CB33" i="116"/>
  <c r="CC33" i="116"/>
  <c r="CD33" i="116"/>
  <c r="CB34" i="116"/>
  <c r="CC34" i="116"/>
  <c r="CD34" i="116"/>
  <c r="CB35" i="116"/>
  <c r="CC35" i="116"/>
  <c r="CD35" i="116"/>
  <c r="CB36" i="116"/>
  <c r="CC36" i="116"/>
  <c r="CD36" i="116"/>
  <c r="CB37" i="116"/>
  <c r="CC37" i="116"/>
  <c r="CD37" i="116"/>
  <c r="CB38" i="116"/>
  <c r="CC38" i="116"/>
  <c r="CD38" i="116"/>
  <c r="CB39" i="116"/>
  <c r="CC39" i="116"/>
  <c r="CD39" i="116"/>
  <c r="CB40" i="116"/>
  <c r="CC40" i="116"/>
  <c r="CD40" i="116"/>
  <c r="CB41" i="116"/>
  <c r="CC41" i="116"/>
  <c r="CD41" i="116"/>
  <c r="CB42" i="116"/>
  <c r="CC42" i="116"/>
  <c r="CD42" i="116"/>
  <c r="CB43" i="116"/>
  <c r="CC43" i="116"/>
  <c r="CD43" i="116"/>
  <c r="CB44" i="116"/>
  <c r="CC44" i="116"/>
  <c r="CD44" i="116"/>
  <c r="CB45" i="116"/>
  <c r="CC45" i="116"/>
  <c r="CD45" i="116"/>
  <c r="CB46" i="116"/>
  <c r="CC46" i="116"/>
  <c r="CD46" i="116"/>
  <c r="CB47" i="116"/>
  <c r="CC47" i="116"/>
  <c r="CD47" i="116"/>
  <c r="CB48" i="116"/>
  <c r="CC48" i="116"/>
  <c r="CD48" i="116"/>
  <c r="CC3" i="116"/>
  <c r="CD3" i="116"/>
  <c r="CB3" i="116"/>
  <c r="AB37" i="37" l="1"/>
  <c r="AB33" i="37" s="1"/>
  <c r="N16" i="37"/>
  <c r="M16" i="37"/>
  <c r="M14" i="37"/>
  <c r="M45" i="35"/>
  <c r="AB30" i="35"/>
  <c r="AB28" i="35"/>
  <c r="AB42" i="35"/>
  <c r="AB41" i="35" s="1"/>
  <c r="AB40" i="35" s="1"/>
  <c r="AB26" i="35"/>
  <c r="AB20" i="35"/>
  <c r="AB14" i="35"/>
  <c r="AB13" i="35" l="1"/>
  <c r="O16" i="37"/>
  <c r="N184" i="39"/>
  <c r="N12" i="37"/>
  <c r="O12" i="37" s="1"/>
  <c r="N14" i="37"/>
  <c r="O14" i="37" s="1"/>
  <c r="L292" i="39"/>
  <c r="AC177" i="4"/>
  <c r="AB10" i="35" l="1"/>
  <c r="AB9" i="35" s="1"/>
  <c r="BW3" i="117"/>
  <c r="BT4" i="117"/>
  <c r="BU4" i="117"/>
  <c r="BV4" i="117"/>
  <c r="BW4" i="117"/>
  <c r="BT5" i="117"/>
  <c r="BU5" i="117"/>
  <c r="BV5" i="117"/>
  <c r="BW5" i="117"/>
  <c r="BT6" i="117"/>
  <c r="BU6" i="117"/>
  <c r="BV6" i="117"/>
  <c r="BW6" i="117"/>
  <c r="BT7" i="117"/>
  <c r="BU7" i="117"/>
  <c r="BV7" i="117"/>
  <c r="BW7" i="117"/>
  <c r="BT8" i="117"/>
  <c r="BU8" i="117"/>
  <c r="BV8" i="117"/>
  <c r="BW8" i="117"/>
  <c r="BT9" i="117"/>
  <c r="BU9" i="117"/>
  <c r="BV9" i="117"/>
  <c r="BW9" i="117"/>
  <c r="BT10" i="117"/>
  <c r="BU10" i="117"/>
  <c r="BV10" i="117"/>
  <c r="BW10" i="117"/>
  <c r="BT11" i="117"/>
  <c r="BU11" i="117"/>
  <c r="BV11" i="117"/>
  <c r="BW11" i="117"/>
  <c r="BT12" i="117"/>
  <c r="BU12" i="117"/>
  <c r="BV12" i="117"/>
  <c r="BW12" i="117"/>
  <c r="BT13" i="117"/>
  <c r="BU13" i="117"/>
  <c r="BV13" i="117"/>
  <c r="BW13" i="117"/>
  <c r="BT14" i="117"/>
  <c r="BU14" i="117"/>
  <c r="BV14" i="117"/>
  <c r="BW14" i="117"/>
  <c r="BT15" i="117"/>
  <c r="BU15" i="117"/>
  <c r="BV15" i="117"/>
  <c r="BW15" i="117"/>
  <c r="BT16" i="117"/>
  <c r="BU16" i="117"/>
  <c r="BV16" i="117"/>
  <c r="BW16" i="117"/>
  <c r="BT17" i="117"/>
  <c r="BU17" i="117"/>
  <c r="BV17" i="117"/>
  <c r="BW17" i="117"/>
  <c r="BT18" i="117"/>
  <c r="BU18" i="117"/>
  <c r="BV18" i="117"/>
  <c r="BW18" i="117"/>
  <c r="BT19" i="117"/>
  <c r="BU19" i="117"/>
  <c r="BV19" i="117"/>
  <c r="BW19" i="117"/>
  <c r="BT20" i="117"/>
  <c r="BU20" i="117"/>
  <c r="BV20" i="117"/>
  <c r="BW20" i="117"/>
  <c r="BT21" i="117"/>
  <c r="BU21" i="117"/>
  <c r="BV21" i="117"/>
  <c r="BW21" i="117"/>
  <c r="BT22" i="117"/>
  <c r="BU22" i="117"/>
  <c r="BV22" i="117"/>
  <c r="BW22" i="117"/>
  <c r="BT23" i="117"/>
  <c r="BU23" i="117"/>
  <c r="BV23" i="117"/>
  <c r="BW23" i="117"/>
  <c r="BT24" i="117"/>
  <c r="BU24" i="117"/>
  <c r="BV24" i="117"/>
  <c r="BW24" i="117"/>
  <c r="BT25" i="117"/>
  <c r="BU25" i="117"/>
  <c r="BV25" i="117"/>
  <c r="BW25" i="117"/>
  <c r="BT26" i="117"/>
  <c r="BU26" i="117"/>
  <c r="BV26" i="117"/>
  <c r="BW26" i="117"/>
  <c r="BT27" i="117"/>
  <c r="BU27" i="117"/>
  <c r="BV27" i="117"/>
  <c r="BW27" i="117"/>
  <c r="BT28" i="117"/>
  <c r="BU28" i="117"/>
  <c r="BV28" i="117"/>
  <c r="BW28" i="117"/>
  <c r="BT29" i="117"/>
  <c r="BU29" i="117"/>
  <c r="BV29" i="117"/>
  <c r="BW29" i="117"/>
  <c r="BT30" i="117"/>
  <c r="BU30" i="117"/>
  <c r="BV30" i="117"/>
  <c r="BW30" i="117"/>
  <c r="BT31" i="117"/>
  <c r="BU31" i="117"/>
  <c r="BV31" i="117"/>
  <c r="BW31" i="117"/>
  <c r="BT32" i="117"/>
  <c r="BU32" i="117"/>
  <c r="BV32" i="117"/>
  <c r="BW32" i="117"/>
  <c r="BT33" i="117"/>
  <c r="BU33" i="117"/>
  <c r="BV33" i="117"/>
  <c r="BW33" i="117"/>
  <c r="BT34" i="117"/>
  <c r="BU34" i="117"/>
  <c r="BV34" i="117"/>
  <c r="BW34" i="117"/>
  <c r="BT35" i="117"/>
  <c r="BU35" i="117"/>
  <c r="BV35" i="117"/>
  <c r="BW35" i="117"/>
  <c r="BT36" i="117"/>
  <c r="BU36" i="117"/>
  <c r="BV36" i="117"/>
  <c r="BW36" i="117"/>
  <c r="BT37" i="117"/>
  <c r="BU37" i="117"/>
  <c r="BV37" i="117"/>
  <c r="BW37" i="117"/>
  <c r="BT38" i="117"/>
  <c r="BU38" i="117"/>
  <c r="BV38" i="117"/>
  <c r="BW38" i="117"/>
  <c r="BT39" i="117"/>
  <c r="BU39" i="117"/>
  <c r="BV39" i="117"/>
  <c r="BW39" i="117"/>
  <c r="BT40" i="117"/>
  <c r="BU40" i="117"/>
  <c r="BV40" i="117"/>
  <c r="BW40" i="117"/>
  <c r="BT41" i="117"/>
  <c r="BU41" i="117"/>
  <c r="BV41" i="117"/>
  <c r="BW41" i="117"/>
  <c r="BT42" i="117"/>
  <c r="BU42" i="117"/>
  <c r="BV42" i="117"/>
  <c r="BW42" i="117"/>
  <c r="BT43" i="117"/>
  <c r="BU43" i="117"/>
  <c r="BV43" i="117"/>
  <c r="BW43" i="117"/>
  <c r="BT44" i="117"/>
  <c r="BU44" i="117"/>
  <c r="BV44" i="117"/>
  <c r="BW44" i="117"/>
  <c r="BT45" i="117"/>
  <c r="BU45" i="117"/>
  <c r="BV45" i="117"/>
  <c r="BW45" i="117"/>
  <c r="BT46" i="117"/>
  <c r="BU46" i="117"/>
  <c r="BV46" i="117"/>
  <c r="BW46" i="117"/>
  <c r="BT47" i="117"/>
  <c r="BU47" i="117"/>
  <c r="BV47" i="117"/>
  <c r="BW47" i="117"/>
  <c r="BT48" i="117"/>
  <c r="BU48" i="117"/>
  <c r="BV48" i="117"/>
  <c r="BW48" i="117"/>
  <c r="BT49" i="117"/>
  <c r="BU49" i="117"/>
  <c r="BV49" i="117"/>
  <c r="BW49" i="117"/>
  <c r="BT50" i="117"/>
  <c r="BU50" i="117"/>
  <c r="BV50" i="117"/>
  <c r="BW50" i="117"/>
  <c r="BT51" i="117"/>
  <c r="BU51" i="117"/>
  <c r="BV51" i="117"/>
  <c r="BW51" i="117"/>
  <c r="BT52" i="117"/>
  <c r="BU52" i="117"/>
  <c r="BV52" i="117"/>
  <c r="BW52" i="117"/>
  <c r="BT53" i="117"/>
  <c r="BU53" i="117"/>
  <c r="BV53" i="117"/>
  <c r="BW53" i="117"/>
  <c r="BT54" i="117"/>
  <c r="BU54" i="117"/>
  <c r="BV54" i="117"/>
  <c r="BW54" i="117"/>
  <c r="BT55" i="117"/>
  <c r="BU55" i="117"/>
  <c r="BV55" i="117"/>
  <c r="BW55" i="117"/>
  <c r="BT56" i="117"/>
  <c r="BU56" i="117"/>
  <c r="BV56" i="117"/>
  <c r="BW56" i="117"/>
  <c r="BT57" i="117"/>
  <c r="BU57" i="117"/>
  <c r="BV57" i="117"/>
  <c r="BW57" i="117"/>
  <c r="BT58" i="117"/>
  <c r="BU58" i="117"/>
  <c r="BV58" i="117"/>
  <c r="BW58" i="117"/>
  <c r="BT59" i="117"/>
  <c r="BU59" i="117"/>
  <c r="BV59" i="117"/>
  <c r="BW59" i="117"/>
  <c r="BT60" i="117"/>
  <c r="BU60" i="117"/>
  <c r="BV60" i="117"/>
  <c r="BW60" i="117"/>
  <c r="BT61" i="117"/>
  <c r="BU61" i="117"/>
  <c r="BV61" i="117"/>
  <c r="BW61" i="117"/>
  <c r="BT62" i="117"/>
  <c r="BU62" i="117"/>
  <c r="BV62" i="117"/>
  <c r="BW62" i="117"/>
  <c r="BT63" i="117"/>
  <c r="BU63" i="117"/>
  <c r="BV63" i="117"/>
  <c r="BW63" i="117"/>
  <c r="BT64" i="117"/>
  <c r="BU64" i="117"/>
  <c r="BV64" i="117"/>
  <c r="BW64" i="117"/>
  <c r="BT65" i="117"/>
  <c r="BU65" i="117"/>
  <c r="BV65" i="117"/>
  <c r="BW65" i="117"/>
  <c r="BT66" i="117"/>
  <c r="BU66" i="117"/>
  <c r="BV66" i="117"/>
  <c r="BW66" i="117"/>
  <c r="BT67" i="117"/>
  <c r="BU67" i="117"/>
  <c r="BV67" i="117"/>
  <c r="BW67" i="117"/>
  <c r="BT68" i="117"/>
  <c r="BU68" i="117"/>
  <c r="BV68" i="117"/>
  <c r="BW68" i="117"/>
  <c r="BT69" i="117"/>
  <c r="BU69" i="117"/>
  <c r="BV69" i="117"/>
  <c r="BW69" i="117"/>
  <c r="BT70" i="117"/>
  <c r="BU70" i="117"/>
  <c r="BV70" i="117"/>
  <c r="BW70" i="117"/>
  <c r="BT71" i="117"/>
  <c r="BU71" i="117"/>
  <c r="BV71" i="117"/>
  <c r="BW71" i="117"/>
  <c r="BT72" i="117"/>
  <c r="BU72" i="117"/>
  <c r="BV72" i="117"/>
  <c r="BW72" i="117"/>
  <c r="BT73" i="117"/>
  <c r="BU73" i="117"/>
  <c r="BV73" i="117"/>
  <c r="BW73" i="117"/>
  <c r="BT74" i="117"/>
  <c r="BU74" i="117"/>
  <c r="BV74" i="117"/>
  <c r="BW74" i="117"/>
  <c r="BT75" i="117"/>
  <c r="BU75" i="117"/>
  <c r="BV75" i="117"/>
  <c r="BW75" i="117"/>
  <c r="BT76" i="117"/>
  <c r="BU76" i="117"/>
  <c r="BV76" i="117"/>
  <c r="BW76" i="117"/>
  <c r="BT77" i="117"/>
  <c r="BU77" i="117"/>
  <c r="BV77" i="117"/>
  <c r="BW77" i="117"/>
  <c r="BT78" i="117"/>
  <c r="BU78" i="117"/>
  <c r="BV78" i="117"/>
  <c r="BW78" i="117"/>
  <c r="BT79" i="117"/>
  <c r="BU79" i="117"/>
  <c r="BV79" i="117"/>
  <c r="BW79" i="117"/>
  <c r="BT80" i="117"/>
  <c r="BU80" i="117"/>
  <c r="BV80" i="117"/>
  <c r="BW80" i="117"/>
  <c r="BT81" i="117"/>
  <c r="BU81" i="117"/>
  <c r="BV81" i="117"/>
  <c r="BW81" i="117"/>
  <c r="BT82" i="117"/>
  <c r="BU82" i="117"/>
  <c r="BV82" i="117"/>
  <c r="BW82" i="117"/>
  <c r="BT83" i="117"/>
  <c r="BU83" i="117"/>
  <c r="BV83" i="117"/>
  <c r="BW83" i="117"/>
  <c r="BT84" i="117"/>
  <c r="BU84" i="117"/>
  <c r="BV84" i="117"/>
  <c r="BW84" i="117"/>
  <c r="BT85" i="117"/>
  <c r="BU85" i="117"/>
  <c r="BV85" i="117"/>
  <c r="BW85" i="117"/>
  <c r="BT86" i="117"/>
  <c r="BU86" i="117"/>
  <c r="BV86" i="117"/>
  <c r="BW86" i="117"/>
  <c r="BT87" i="117"/>
  <c r="BU87" i="117"/>
  <c r="BV87" i="117"/>
  <c r="BW87" i="117"/>
  <c r="BT88" i="117"/>
  <c r="BU88" i="117"/>
  <c r="BV88" i="117"/>
  <c r="BW88" i="117"/>
  <c r="BT89" i="117"/>
  <c r="BU89" i="117"/>
  <c r="BV89" i="117"/>
  <c r="BW89" i="117"/>
  <c r="BT90" i="117"/>
  <c r="BU90" i="117"/>
  <c r="BV90" i="117"/>
  <c r="BW90" i="117"/>
  <c r="BT91" i="117"/>
  <c r="BU91" i="117"/>
  <c r="BV91" i="117"/>
  <c r="BW91" i="117"/>
  <c r="BT92" i="117"/>
  <c r="BU92" i="117"/>
  <c r="BV92" i="117"/>
  <c r="BW92" i="117"/>
  <c r="BT93" i="117"/>
  <c r="BU93" i="117"/>
  <c r="BV93" i="117"/>
  <c r="BW93" i="117"/>
  <c r="BT94" i="117"/>
  <c r="BU94" i="117"/>
  <c r="BV94" i="117"/>
  <c r="BW94" i="117"/>
  <c r="BT95" i="117"/>
  <c r="BU95" i="117"/>
  <c r="BV95" i="117"/>
  <c r="BW95" i="117"/>
  <c r="BT96" i="117"/>
  <c r="BU96" i="117"/>
  <c r="BV96" i="117"/>
  <c r="BW96" i="117"/>
  <c r="BT97" i="117"/>
  <c r="BU97" i="117"/>
  <c r="BV97" i="117"/>
  <c r="BW97" i="117"/>
  <c r="BT98" i="117"/>
  <c r="BU98" i="117"/>
  <c r="BV98" i="117"/>
  <c r="BW98" i="117"/>
  <c r="BT99" i="117"/>
  <c r="BU99" i="117"/>
  <c r="BV99" i="117"/>
  <c r="BW99" i="117"/>
  <c r="BT100" i="117"/>
  <c r="BU100" i="117"/>
  <c r="BV100" i="117"/>
  <c r="BW100" i="117"/>
  <c r="BT101" i="117"/>
  <c r="BU101" i="117"/>
  <c r="BV101" i="117"/>
  <c r="BW101" i="117"/>
  <c r="BT102" i="117"/>
  <c r="BU102" i="117"/>
  <c r="BV102" i="117"/>
  <c r="BW102" i="117"/>
  <c r="BT103" i="117"/>
  <c r="BU103" i="117"/>
  <c r="BV103" i="117"/>
  <c r="BW103" i="117"/>
  <c r="BT104" i="117"/>
  <c r="BU104" i="117"/>
  <c r="BV104" i="117"/>
  <c r="BW104" i="117"/>
  <c r="BT105" i="117"/>
  <c r="BU105" i="117"/>
  <c r="BV105" i="117"/>
  <c r="BW105" i="117"/>
  <c r="BT106" i="117"/>
  <c r="BU106" i="117"/>
  <c r="BV106" i="117"/>
  <c r="BW106" i="117"/>
  <c r="BT107" i="117"/>
  <c r="BU107" i="117"/>
  <c r="BV107" i="117"/>
  <c r="BW107" i="117"/>
  <c r="BT108" i="117"/>
  <c r="BU108" i="117"/>
  <c r="BV108" i="117"/>
  <c r="BW108" i="117"/>
  <c r="BT109" i="117"/>
  <c r="BU109" i="117"/>
  <c r="BV109" i="117"/>
  <c r="BW109" i="117"/>
  <c r="BT110" i="117"/>
  <c r="BU110" i="117"/>
  <c r="BV110" i="117"/>
  <c r="BW110" i="117"/>
  <c r="BT111" i="117"/>
  <c r="BU111" i="117"/>
  <c r="BV111" i="117"/>
  <c r="BW111" i="117"/>
  <c r="BT112" i="117"/>
  <c r="BU112" i="117"/>
  <c r="BV112" i="117"/>
  <c r="BW112" i="117"/>
  <c r="BT113" i="117"/>
  <c r="BU113" i="117"/>
  <c r="BV113" i="117"/>
  <c r="BW113" i="117"/>
  <c r="BT114" i="117"/>
  <c r="BU114" i="117"/>
  <c r="BV114" i="117"/>
  <c r="BW114" i="117"/>
  <c r="BT115" i="117"/>
  <c r="BU115" i="117"/>
  <c r="BV115" i="117"/>
  <c r="BW115" i="117"/>
  <c r="BT116" i="117"/>
  <c r="BU116" i="117"/>
  <c r="BV116" i="117"/>
  <c r="BW116" i="117"/>
  <c r="BT117" i="117"/>
  <c r="BU117" i="117"/>
  <c r="BV117" i="117"/>
  <c r="BW117" i="117"/>
  <c r="BT118" i="117"/>
  <c r="BU118" i="117"/>
  <c r="BV118" i="117"/>
  <c r="BW118" i="117"/>
  <c r="BT119" i="117"/>
  <c r="BU119" i="117"/>
  <c r="BV119" i="117"/>
  <c r="BW119" i="117"/>
  <c r="BT120" i="117"/>
  <c r="BU120" i="117"/>
  <c r="BV120" i="117"/>
  <c r="BW120" i="117"/>
  <c r="BT121" i="117"/>
  <c r="BU121" i="117"/>
  <c r="BV121" i="117"/>
  <c r="BW121" i="117"/>
  <c r="BT122" i="117"/>
  <c r="BU122" i="117"/>
  <c r="BV122" i="117"/>
  <c r="BW122" i="117"/>
  <c r="BT123" i="117"/>
  <c r="BU123" i="117"/>
  <c r="BV123" i="117"/>
  <c r="BW123" i="117"/>
  <c r="BT124" i="117"/>
  <c r="BU124" i="117"/>
  <c r="BV124" i="117"/>
  <c r="BW124" i="117"/>
  <c r="BT125" i="117"/>
  <c r="BU125" i="117"/>
  <c r="BV125" i="117"/>
  <c r="BW125" i="117"/>
  <c r="BT126" i="117"/>
  <c r="BU126" i="117"/>
  <c r="BV126" i="117"/>
  <c r="BW126" i="117"/>
  <c r="BT127" i="117"/>
  <c r="BU127" i="117"/>
  <c r="BV127" i="117"/>
  <c r="BW127" i="117"/>
  <c r="BT128" i="117"/>
  <c r="BU128" i="117"/>
  <c r="BV128" i="117"/>
  <c r="BW128" i="117"/>
  <c r="BT129" i="117"/>
  <c r="BU129" i="117"/>
  <c r="BV129" i="117"/>
  <c r="BW129" i="117"/>
  <c r="BT130" i="117"/>
  <c r="BU130" i="117"/>
  <c r="BV130" i="117"/>
  <c r="BW130" i="117"/>
  <c r="BT131" i="117"/>
  <c r="BU131" i="117"/>
  <c r="BV131" i="117"/>
  <c r="BW131" i="117"/>
  <c r="BT132" i="117"/>
  <c r="BU132" i="117"/>
  <c r="BV132" i="117"/>
  <c r="BW132" i="117"/>
  <c r="BT133" i="117"/>
  <c r="BU133" i="117"/>
  <c r="BV133" i="117"/>
  <c r="BW133" i="117"/>
  <c r="BT134" i="117"/>
  <c r="BU134" i="117"/>
  <c r="BV134" i="117"/>
  <c r="BW134" i="117"/>
  <c r="BT135" i="117"/>
  <c r="BU135" i="117"/>
  <c r="BV135" i="117"/>
  <c r="BW135" i="117"/>
  <c r="BT136" i="117"/>
  <c r="BU136" i="117"/>
  <c r="BV136" i="117"/>
  <c r="BW136" i="117"/>
  <c r="BT137" i="117"/>
  <c r="BU137" i="117"/>
  <c r="BV137" i="117"/>
  <c r="BW137" i="117"/>
  <c r="BT138" i="117"/>
  <c r="BU138" i="117"/>
  <c r="BV138" i="117"/>
  <c r="BW138" i="117"/>
  <c r="BT139" i="117"/>
  <c r="BU139" i="117"/>
  <c r="BV139" i="117"/>
  <c r="BW139" i="117"/>
  <c r="BT140" i="117"/>
  <c r="BU140" i="117"/>
  <c r="BV140" i="117"/>
  <c r="BW140" i="117"/>
  <c r="BU3" i="117"/>
  <c r="BV3" i="117"/>
  <c r="BT3" i="117"/>
  <c r="BI4" i="117" l="1"/>
  <c r="BI5" i="117"/>
  <c r="BI6" i="117"/>
  <c r="AC13" i="4" s="1"/>
  <c r="BI7" i="117"/>
  <c r="AC14" i="4" s="1"/>
  <c r="BI8" i="117"/>
  <c r="AC15" i="4" s="1"/>
  <c r="BI9" i="117"/>
  <c r="AC16" i="4" s="1"/>
  <c r="BI10" i="117"/>
  <c r="AC17" i="4" s="1"/>
  <c r="BI11" i="117"/>
  <c r="AC18" i="4" s="1"/>
  <c r="BI12" i="117"/>
  <c r="AC19" i="4" s="1"/>
  <c r="BI13" i="117"/>
  <c r="AC20" i="4" s="1"/>
  <c r="BI14" i="117"/>
  <c r="AC22" i="4" s="1"/>
  <c r="BI15" i="117"/>
  <c r="BI16" i="117"/>
  <c r="AC26" i="4" s="1"/>
  <c r="BI17" i="117"/>
  <c r="AC27" i="4" s="1"/>
  <c r="BI18" i="117"/>
  <c r="BI19" i="117"/>
  <c r="AC33" i="4" s="1"/>
  <c r="BI20" i="117"/>
  <c r="AC35" i="4" s="1"/>
  <c r="BI21" i="117"/>
  <c r="BI22" i="117"/>
  <c r="BI23" i="117"/>
  <c r="AC43" i="4" s="1"/>
  <c r="BI24" i="117"/>
  <c r="AC44" i="4" s="1"/>
  <c r="BI25" i="117"/>
  <c r="AC45" i="4" s="1"/>
  <c r="BI26" i="117"/>
  <c r="AC46" i="4" s="1"/>
  <c r="BI27" i="117"/>
  <c r="AC48" i="4" s="1"/>
  <c r="BI28" i="117"/>
  <c r="AC49" i="4" s="1"/>
  <c r="BI29" i="117"/>
  <c r="AC50" i="4" s="1"/>
  <c r="BI30" i="117"/>
  <c r="AC51" i="4" s="1"/>
  <c r="BI31" i="117"/>
  <c r="BI32" i="117"/>
  <c r="AC57" i="4" s="1"/>
  <c r="BI33" i="117"/>
  <c r="AC58" i="4" s="1"/>
  <c r="BI34" i="117"/>
  <c r="BI35" i="117"/>
  <c r="AC60" i="4" s="1"/>
  <c r="BI36" i="117"/>
  <c r="AC61" i="4" s="1"/>
  <c r="BI37" i="117"/>
  <c r="BI38" i="117"/>
  <c r="AC64" i="4" s="1"/>
  <c r="BI39" i="117"/>
  <c r="AC65" i="4" s="1"/>
  <c r="BI40" i="117"/>
  <c r="AC66" i="4" s="1"/>
  <c r="BI41" i="117"/>
  <c r="BI42" i="117"/>
  <c r="BI43" i="117"/>
  <c r="AC74" i="4" s="1"/>
  <c r="BI44" i="117"/>
  <c r="AC75" i="4" s="1"/>
  <c r="BI45" i="117"/>
  <c r="BI46" i="117"/>
  <c r="BI47" i="117"/>
  <c r="BI48" i="117"/>
  <c r="AC81" i="4" s="1"/>
  <c r="BI49" i="117"/>
  <c r="BI50" i="117"/>
  <c r="AC86" i="4" s="1"/>
  <c r="BI51" i="117"/>
  <c r="AC87" i="4" s="1"/>
  <c r="BI52" i="117"/>
  <c r="AC89" i="4" s="1"/>
  <c r="BI53" i="117"/>
  <c r="AC90" i="4" s="1"/>
  <c r="BI54" i="117"/>
  <c r="AC92" i="4" s="1"/>
  <c r="BI55" i="117"/>
  <c r="AC93" i="4" s="1"/>
  <c r="BI56" i="117"/>
  <c r="AC94" i="4" s="1"/>
  <c r="BI57" i="117"/>
  <c r="AC96" i="4" s="1"/>
  <c r="BI58" i="117"/>
  <c r="AC97" i="4" s="1"/>
  <c r="BI59" i="117"/>
  <c r="BI60" i="117"/>
  <c r="AC99" i="4" s="1"/>
  <c r="BI61" i="117"/>
  <c r="AC100" i="4" s="1"/>
  <c r="BI62" i="117"/>
  <c r="AC101" i="4" s="1"/>
  <c r="BI63" i="117"/>
  <c r="AC102" i="4" s="1"/>
  <c r="BI64" i="117"/>
  <c r="AC103" i="4" s="1"/>
  <c r="BI65" i="117"/>
  <c r="AC104" i="4" s="1"/>
  <c r="BI66" i="117"/>
  <c r="AC105" i="4" s="1"/>
  <c r="BI67" i="117"/>
  <c r="AC106" i="4" s="1"/>
  <c r="BI68" i="117"/>
  <c r="BI69" i="117"/>
  <c r="AC108" i="4" s="1"/>
  <c r="BI70" i="117"/>
  <c r="AC109" i="4" s="1"/>
  <c r="BI71" i="117"/>
  <c r="BI72" i="117"/>
  <c r="BI73" i="117"/>
  <c r="BI74" i="117"/>
  <c r="AC116" i="4" s="1"/>
  <c r="BI75" i="117"/>
  <c r="AC117" i="4" s="1"/>
  <c r="BI76" i="117"/>
  <c r="BI77" i="117"/>
  <c r="AC119" i="4" s="1"/>
  <c r="BI78" i="117"/>
  <c r="AC121" i="4" s="1"/>
  <c r="BI79" i="117"/>
  <c r="AC122" i="4" s="1"/>
  <c r="BI80" i="117"/>
  <c r="AC123" i="4" s="1"/>
  <c r="BI81" i="117"/>
  <c r="AC124" i="4" s="1"/>
  <c r="BI82" i="117"/>
  <c r="BI83" i="117"/>
  <c r="AC126" i="4" s="1"/>
  <c r="BI84" i="117"/>
  <c r="AC127" i="4" s="1"/>
  <c r="BI85" i="117"/>
  <c r="AC128" i="4" s="1"/>
  <c r="BI86" i="117"/>
  <c r="AC129" i="4" s="1"/>
  <c r="BI87" i="117"/>
  <c r="BI88" i="117"/>
  <c r="BI89" i="117"/>
  <c r="BI90" i="117"/>
  <c r="AC136" i="4" s="1"/>
  <c r="BI91" i="117"/>
  <c r="AC137" i="4" s="1"/>
  <c r="BI92" i="117"/>
  <c r="BI93" i="117"/>
  <c r="AC139" i="4" s="1"/>
  <c r="BI94" i="117"/>
  <c r="AC141" i="4" s="1"/>
  <c r="BI95" i="117"/>
  <c r="BI96" i="117"/>
  <c r="BI97" i="117"/>
  <c r="AC159" i="4" s="1"/>
  <c r="BI98" i="117"/>
  <c r="BI99" i="117"/>
  <c r="AC169" i="4" s="1"/>
  <c r="BI100" i="117"/>
  <c r="BI101" i="117"/>
  <c r="BI102" i="117"/>
  <c r="AC180" i="4" s="1"/>
  <c r="AC179" i="4" s="1"/>
  <c r="AC174" i="4" s="1"/>
  <c r="BI3" i="117"/>
  <c r="BB3" i="117"/>
  <c r="AC32" i="4" l="1"/>
  <c r="AC42" i="4"/>
  <c r="AC12" i="4"/>
  <c r="AC168" i="4"/>
  <c r="AC162" i="4" s="1"/>
  <c r="AC155" i="4" s="1"/>
  <c r="AC147" i="4" l="1"/>
  <c r="AC146" i="4" s="1"/>
  <c r="AC142" i="4" s="1"/>
  <c r="AC138" i="4" s="1"/>
  <c r="AC133" i="4" s="1"/>
  <c r="AC130" i="4" s="1"/>
  <c r="AC125" i="4" s="1"/>
  <c r="AC118" i="4" s="1"/>
  <c r="AC115" i="4" s="1"/>
  <c r="AC107" i="4" s="1"/>
  <c r="AC98" i="4" s="1"/>
  <c r="AC85" i="4" s="1"/>
  <c r="AC79" i="4" s="1"/>
  <c r="AC78" i="4" s="1"/>
  <c r="AC73" i="4" s="1"/>
  <c r="AC72" i="4" s="1"/>
  <c r="AC68" i="4" s="1"/>
  <c r="AC63" i="4" s="1"/>
  <c r="AC59" i="4" s="1"/>
  <c r="AC56" i="4" s="1"/>
  <c r="AC41" i="4" s="1"/>
  <c r="AC37" i="4" s="1"/>
  <c r="AC28" i="4" s="1"/>
  <c r="AC25" i="4" s="1"/>
  <c r="AC11" i="4" s="1"/>
  <c r="H166" i="39"/>
  <c r="M270" i="39"/>
  <c r="AC10" i="4" l="1"/>
  <c r="AC9" i="4" s="1"/>
  <c r="I10" i="54" l="1"/>
  <c r="AE4" i="114"/>
  <c r="AE5" i="114"/>
  <c r="AE3" i="114"/>
  <c r="P236" i="39" s="1"/>
  <c r="Z35" i="54"/>
  <c r="Z34" i="54" s="1"/>
  <c r="Z10" i="54"/>
  <c r="P269" i="39" l="1"/>
  <c r="R269" i="39" s="1"/>
  <c r="R60" i="54"/>
  <c r="R59" i="54"/>
  <c r="P58" i="54"/>
  <c r="P238" i="39"/>
  <c r="M253" i="39"/>
  <c r="M251" i="39"/>
  <c r="L206" i="39"/>
  <c r="O10" i="54"/>
  <c r="M10" i="54"/>
  <c r="M214" i="39"/>
  <c r="O35" i="54"/>
  <c r="I269" i="39"/>
  <c r="O60" i="54"/>
  <c r="O251" i="39"/>
  <c r="O270" i="39"/>
  <c r="I238" i="39"/>
  <c r="O59" i="54"/>
  <c r="Z9" i="54"/>
  <c r="N56" i="37"/>
  <c r="O56" i="37" s="1"/>
  <c r="L242" i="39"/>
  <c r="L248" i="39"/>
  <c r="Z30" i="37"/>
  <c r="BN5" i="115"/>
  <c r="BO5" i="115"/>
  <c r="BP5" i="115"/>
  <c r="BN4" i="115"/>
  <c r="BO4" i="115"/>
  <c r="L183" i="39" s="1"/>
  <c r="BP4" i="115"/>
  <c r="BN6" i="115"/>
  <c r="BO6" i="115"/>
  <c r="BP6" i="115"/>
  <c r="BN18" i="115"/>
  <c r="BO18" i="115"/>
  <c r="BP18" i="115"/>
  <c r="BN7" i="115"/>
  <c r="BO7" i="115"/>
  <c r="BP7" i="115"/>
  <c r="BN17" i="115"/>
  <c r="R22" i="37" s="1"/>
  <c r="BO17" i="115"/>
  <c r="BP17" i="115"/>
  <c r="BN9" i="115"/>
  <c r="BO9" i="115"/>
  <c r="BP9" i="115"/>
  <c r="BN15" i="115"/>
  <c r="BO15" i="115"/>
  <c r="BP15" i="115"/>
  <c r="BN13" i="115"/>
  <c r="BO13" i="115"/>
  <c r="BP13" i="115"/>
  <c r="BN11" i="115"/>
  <c r="BO11" i="115"/>
  <c r="BP11" i="115"/>
  <c r="BN19" i="115"/>
  <c r="BO19" i="115"/>
  <c r="BP19" i="115"/>
  <c r="BN12" i="115"/>
  <c r="BO12" i="115"/>
  <c r="BP12" i="115"/>
  <c r="BN16" i="115"/>
  <c r="BO16" i="115"/>
  <c r="BP16" i="115"/>
  <c r="BN10" i="115"/>
  <c r="BO10" i="115"/>
  <c r="BP10" i="115"/>
  <c r="BN8" i="115"/>
  <c r="BO8" i="115"/>
  <c r="BP8" i="115"/>
  <c r="BN14" i="115"/>
  <c r="BO14" i="115"/>
  <c r="BP14" i="115"/>
  <c r="BN20" i="115"/>
  <c r="R24" i="37" s="1"/>
  <c r="BO20" i="115"/>
  <c r="BP20" i="115"/>
  <c r="BN21" i="115"/>
  <c r="BO21" i="115"/>
  <c r="BP21" i="115"/>
  <c r="BN22" i="115"/>
  <c r="BO22" i="115"/>
  <c r="BP22" i="115"/>
  <c r="BN23" i="115"/>
  <c r="BO23" i="115"/>
  <c r="BP23" i="115"/>
  <c r="BN24" i="115"/>
  <c r="BO24" i="115"/>
  <c r="BP24" i="115"/>
  <c r="BN25" i="115"/>
  <c r="BO25" i="115"/>
  <c r="BP25" i="115"/>
  <c r="BN26" i="115"/>
  <c r="BO26" i="115"/>
  <c r="L258" i="39" s="1"/>
  <c r="BP26" i="115"/>
  <c r="BN27" i="115"/>
  <c r="BO27" i="115"/>
  <c r="L240" i="39" s="1"/>
  <c r="BP27" i="115"/>
  <c r="BN28" i="115"/>
  <c r="BO28" i="115"/>
  <c r="BP28" i="115"/>
  <c r="BN29" i="115"/>
  <c r="BO29" i="115"/>
  <c r="BP29" i="115"/>
  <c r="BN30" i="115"/>
  <c r="BO30" i="115"/>
  <c r="L241" i="39" s="1"/>
  <c r="BP30" i="115"/>
  <c r="BN31" i="115"/>
  <c r="BO31" i="115"/>
  <c r="BP31" i="115"/>
  <c r="BN32" i="115"/>
  <c r="BO32" i="115"/>
  <c r="BP32" i="115"/>
  <c r="BN33" i="115"/>
  <c r="BO33" i="115"/>
  <c r="BP33" i="115"/>
  <c r="BN34" i="115"/>
  <c r="BO34" i="115"/>
  <c r="L245" i="39" s="1"/>
  <c r="BP34" i="115"/>
  <c r="BN35" i="115"/>
  <c r="BO35" i="115"/>
  <c r="BP35" i="115"/>
  <c r="BN36" i="115"/>
  <c r="BO36" i="115"/>
  <c r="L246" i="39" s="1"/>
  <c r="BP36" i="115"/>
  <c r="BN37" i="115"/>
  <c r="BO37" i="115"/>
  <c r="BP37" i="115"/>
  <c r="BN38" i="115"/>
  <c r="BO38" i="115"/>
  <c r="L247" i="39" s="1"/>
  <c r="BP38" i="115"/>
  <c r="BN39" i="115"/>
  <c r="BO39" i="115"/>
  <c r="BP39" i="115"/>
  <c r="BN40" i="115"/>
  <c r="BO40" i="115"/>
  <c r="BP40" i="115"/>
  <c r="BN41" i="115"/>
  <c r="BO41" i="115"/>
  <c r="BP41" i="115"/>
  <c r="BN42" i="115"/>
  <c r="BO42" i="115"/>
  <c r="L249" i="39" s="1"/>
  <c r="BP42" i="115"/>
  <c r="BN43" i="115"/>
  <c r="BO43" i="115"/>
  <c r="BP43" i="115"/>
  <c r="BN44" i="115"/>
  <c r="BO44" i="115"/>
  <c r="L250" i="39" s="1"/>
  <c r="BP44" i="115"/>
  <c r="BN45" i="115"/>
  <c r="R50" i="37" s="1"/>
  <c r="BO45" i="115"/>
  <c r="BP45" i="115"/>
  <c r="BN46" i="115"/>
  <c r="BO46" i="115"/>
  <c r="L256" i="39" s="1"/>
  <c r="BP46" i="115"/>
  <c r="BN47" i="115"/>
  <c r="BO47" i="115"/>
  <c r="BP47" i="115"/>
  <c r="BN48" i="115"/>
  <c r="BO48" i="115"/>
  <c r="BP48" i="115"/>
  <c r="BO3" i="115"/>
  <c r="BP3" i="115"/>
  <c r="BN3" i="115"/>
  <c r="BC4" i="115"/>
  <c r="Z17" i="37" s="1"/>
  <c r="BC5" i="115"/>
  <c r="Z52" i="37" s="1"/>
  <c r="BC6" i="115"/>
  <c r="Z40" i="37" s="1"/>
  <c r="BC7" i="115"/>
  <c r="Z41" i="37" s="1"/>
  <c r="BC8" i="115"/>
  <c r="Z44" i="37" s="1"/>
  <c r="BC9" i="115"/>
  <c r="Z45" i="37" s="1"/>
  <c r="BC10" i="115"/>
  <c r="Z46" i="37" s="1"/>
  <c r="BC11" i="115"/>
  <c r="Z47" i="37" s="1"/>
  <c r="BC12" i="115"/>
  <c r="Z48" i="37" s="1"/>
  <c r="BC13" i="115"/>
  <c r="Z49" i="37" s="1"/>
  <c r="BC3" i="115"/>
  <c r="Z18" i="37" s="1"/>
  <c r="O24" i="35"/>
  <c r="O38" i="35"/>
  <c r="N50" i="35"/>
  <c r="O50" i="35" s="1"/>
  <c r="M24" i="35"/>
  <c r="M38" i="35"/>
  <c r="M50" i="35"/>
  <c r="R39" i="37" l="1"/>
  <c r="P38" i="37"/>
  <c r="R51" i="37"/>
  <c r="I183" i="39"/>
  <c r="M183" i="39" s="1"/>
  <c r="P43" i="37"/>
  <c r="P245" i="39"/>
  <c r="I258" i="39"/>
  <c r="M258" i="39" s="1"/>
  <c r="I208" i="39"/>
  <c r="I207" i="39" s="1"/>
  <c r="R31" i="37"/>
  <c r="L244" i="39"/>
  <c r="L239" i="39"/>
  <c r="Z38" i="37"/>
  <c r="Z43" i="37"/>
  <c r="M35" i="54"/>
  <c r="O214" i="39"/>
  <c r="I248" i="39"/>
  <c r="M248" i="39" s="1"/>
  <c r="L208" i="39"/>
  <c r="I256" i="39"/>
  <c r="M256" i="39" s="1"/>
  <c r="H90" i="37"/>
  <c r="H91" i="37" s="1"/>
  <c r="I247" i="39"/>
  <c r="M247" i="39" s="1"/>
  <c r="I241" i="39"/>
  <c r="M241" i="39" s="1"/>
  <c r="I250" i="39"/>
  <c r="M250" i="39" s="1"/>
  <c r="I246" i="39"/>
  <c r="M246" i="39" s="1"/>
  <c r="I240" i="39"/>
  <c r="I249" i="39"/>
  <c r="M249" i="39" s="1"/>
  <c r="I245" i="39"/>
  <c r="M245" i="39" s="1"/>
  <c r="I242" i="39"/>
  <c r="M242" i="39" s="1"/>
  <c r="Z16" i="37"/>
  <c r="Z14" i="37" s="1"/>
  <c r="Z12" i="37" s="1"/>
  <c r="BC14" i="115"/>
  <c r="M208" i="39" l="1"/>
  <c r="P37" i="37"/>
  <c r="I239" i="39"/>
  <c r="M240" i="39"/>
  <c r="I244" i="39"/>
  <c r="M244" i="39" s="1"/>
  <c r="Z37" i="37"/>
  <c r="M30" i="37"/>
  <c r="N30" i="37"/>
  <c r="O30" i="37" s="1"/>
  <c r="Z48" i="35"/>
  <c r="Z26" i="35"/>
  <c r="Z14" i="35"/>
  <c r="BO9" i="116"/>
  <c r="M239" i="39" l="1"/>
  <c r="BD5" i="116"/>
  <c r="BE5" i="116"/>
  <c r="BF5" i="116"/>
  <c r="BD7" i="116"/>
  <c r="BE7" i="116"/>
  <c r="BF7" i="116"/>
  <c r="BD9" i="116"/>
  <c r="R19" i="35" s="1"/>
  <c r="BE9" i="116"/>
  <c r="BF9" i="116"/>
  <c r="BD8" i="116"/>
  <c r="R18" i="35" s="1"/>
  <c r="BE8" i="116"/>
  <c r="BF8" i="116"/>
  <c r="BD10" i="116"/>
  <c r="BE10" i="116"/>
  <c r="BF10" i="116"/>
  <c r="BD4" i="116"/>
  <c r="BE4" i="116"/>
  <c r="BF4" i="116"/>
  <c r="BD6" i="116"/>
  <c r="BE6" i="116"/>
  <c r="BF6" i="116"/>
  <c r="BD11" i="116"/>
  <c r="BE11" i="116"/>
  <c r="BF11" i="116"/>
  <c r="BD13" i="116"/>
  <c r="BE13" i="116"/>
  <c r="BF13" i="116"/>
  <c r="BD15" i="116"/>
  <c r="BE15" i="116"/>
  <c r="BF15" i="116"/>
  <c r="BD19" i="116"/>
  <c r="BE19" i="116"/>
  <c r="BF19" i="116"/>
  <c r="BD16" i="116"/>
  <c r="BE16" i="116"/>
  <c r="BF16" i="116"/>
  <c r="BD21" i="116"/>
  <c r="BE21" i="116"/>
  <c r="BF21" i="116"/>
  <c r="BD22" i="116"/>
  <c r="BE22" i="116"/>
  <c r="BF22" i="116"/>
  <c r="BD12" i="116"/>
  <c r="BE12" i="116"/>
  <c r="BF12" i="116"/>
  <c r="BD14" i="116"/>
  <c r="BE14" i="116"/>
  <c r="BF14" i="116"/>
  <c r="BD20" i="116"/>
  <c r="BE20" i="116"/>
  <c r="BF20" i="116"/>
  <c r="BD17" i="116"/>
  <c r="BE17" i="116"/>
  <c r="BF17" i="116"/>
  <c r="BD18" i="116"/>
  <c r="BE18" i="116"/>
  <c r="BF18" i="116"/>
  <c r="BD23" i="116"/>
  <c r="BE23" i="116"/>
  <c r="BF23" i="116"/>
  <c r="BD24" i="116"/>
  <c r="BE24" i="116"/>
  <c r="BF24" i="116"/>
  <c r="BD25" i="116"/>
  <c r="P28" i="35" s="1"/>
  <c r="BE25" i="116"/>
  <c r="BF25" i="116"/>
  <c r="BD31" i="116"/>
  <c r="BE31" i="116"/>
  <c r="BF31" i="116"/>
  <c r="BD33" i="116"/>
  <c r="BE33" i="116"/>
  <c r="BF33" i="116"/>
  <c r="BD27" i="116"/>
  <c r="BE27" i="116"/>
  <c r="BF27" i="116"/>
  <c r="BD29" i="116"/>
  <c r="BE29" i="116"/>
  <c r="BF29" i="116"/>
  <c r="BD26" i="116"/>
  <c r="BE26" i="116"/>
  <c r="BF26" i="116"/>
  <c r="BD35" i="116"/>
  <c r="BE35" i="116"/>
  <c r="BF35" i="116"/>
  <c r="BD36" i="116"/>
  <c r="BE36" i="116"/>
  <c r="BF36" i="116"/>
  <c r="BD37" i="116"/>
  <c r="BE37" i="116"/>
  <c r="BF37" i="116"/>
  <c r="BD34" i="116"/>
  <c r="BE34" i="116"/>
  <c r="BF34" i="116"/>
  <c r="BD32" i="116"/>
  <c r="BE32" i="116"/>
  <c r="BF32" i="116"/>
  <c r="BD28" i="116"/>
  <c r="BE28" i="116"/>
  <c r="BF28" i="116"/>
  <c r="BD30" i="116"/>
  <c r="BE30" i="116"/>
  <c r="BF30" i="116"/>
  <c r="BD38" i="116"/>
  <c r="BE38" i="116"/>
  <c r="BF38" i="116"/>
  <c r="BD39" i="116"/>
  <c r="BE39" i="116"/>
  <c r="BF39" i="116"/>
  <c r="BD40" i="116"/>
  <c r="BE40" i="116"/>
  <c r="BF40" i="116"/>
  <c r="BD41" i="116"/>
  <c r="BE41" i="116"/>
  <c r="BF41" i="116"/>
  <c r="BD42" i="116"/>
  <c r="BE42" i="116"/>
  <c r="BF42" i="116"/>
  <c r="BD43" i="116"/>
  <c r="BE43" i="116"/>
  <c r="L274" i="39" s="1"/>
  <c r="BF43" i="116"/>
  <c r="BD44" i="116"/>
  <c r="BE44" i="116"/>
  <c r="BF44" i="116"/>
  <c r="BD45" i="116"/>
  <c r="BE45" i="116"/>
  <c r="BF45" i="116"/>
  <c r="BD46" i="116"/>
  <c r="R47" i="35" s="1"/>
  <c r="BE46" i="116"/>
  <c r="BF46" i="116"/>
  <c r="BD47" i="116"/>
  <c r="BE47" i="116"/>
  <c r="BF47" i="116"/>
  <c r="BD48" i="116"/>
  <c r="BE48" i="116"/>
  <c r="BF48" i="116"/>
  <c r="BD49" i="116"/>
  <c r="BE49" i="116"/>
  <c r="BF49" i="116"/>
  <c r="BD50" i="116"/>
  <c r="BE50" i="116"/>
  <c r="BF50" i="116"/>
  <c r="BD51" i="116"/>
  <c r="BE51" i="116"/>
  <c r="BF51" i="116"/>
  <c r="BE3" i="116"/>
  <c r="BF3" i="116"/>
  <c r="BD3" i="116"/>
  <c r="BP6" i="116"/>
  <c r="Z23" i="35" s="1"/>
  <c r="BP5" i="116"/>
  <c r="Z22" i="35" s="1"/>
  <c r="BP4" i="116"/>
  <c r="Z21" i="35" s="1"/>
  <c r="BP3" i="116"/>
  <c r="Z31" i="35" s="1"/>
  <c r="Z30" i="35" s="1"/>
  <c r="BP8" i="116"/>
  <c r="Z44" i="35" s="1"/>
  <c r="Z42" i="35" s="1"/>
  <c r="Z41" i="35" s="1"/>
  <c r="Z40" i="35" s="1"/>
  <c r="BP7" i="116"/>
  <c r="Z25" i="35" s="1"/>
  <c r="O183" i="39"/>
  <c r="L276" i="39"/>
  <c r="N269" i="39"/>
  <c r="O269" i="39" s="1"/>
  <c r="L269" i="39"/>
  <c r="M269" i="39" s="1"/>
  <c r="N261" i="39"/>
  <c r="N262" i="39"/>
  <c r="N263" i="39"/>
  <c r="N264" i="39"/>
  <c r="L261" i="39"/>
  <c r="L262" i="39"/>
  <c r="L263" i="39"/>
  <c r="L264" i="39"/>
  <c r="N260" i="39"/>
  <c r="L260" i="39"/>
  <c r="N258" i="39"/>
  <c r="O258" i="39" s="1"/>
  <c r="N240" i="39"/>
  <c r="N241" i="39"/>
  <c r="O241" i="39" s="1"/>
  <c r="N242" i="39"/>
  <c r="O242" i="39" s="1"/>
  <c r="P30" i="35" l="1"/>
  <c r="P20" i="35"/>
  <c r="O240" i="39"/>
  <c r="N239" i="39"/>
  <c r="O245" i="39"/>
  <c r="M25" i="35"/>
  <c r="M36" i="35"/>
  <c r="O15" i="35"/>
  <c r="M23" i="35"/>
  <c r="M35" i="35"/>
  <c r="M34" i="35"/>
  <c r="M32" i="35"/>
  <c r="M22" i="35"/>
  <c r="M33" i="35"/>
  <c r="I273" i="39"/>
  <c r="O44" i="35"/>
  <c r="L30" i="35"/>
  <c r="M31" i="35"/>
  <c r="O35" i="35"/>
  <c r="M21" i="35"/>
  <c r="O17" i="35"/>
  <c r="I274" i="39"/>
  <c r="O45" i="35"/>
  <c r="L272" i="39"/>
  <c r="M43" i="35"/>
  <c r="O33" i="35"/>
  <c r="O18" i="35"/>
  <c r="I275" i="39"/>
  <c r="O46" i="35"/>
  <c r="M44" i="35"/>
  <c r="O34" i="35"/>
  <c r="O32" i="35"/>
  <c r="L28" i="35"/>
  <c r="M29" i="35"/>
  <c r="O22" i="35"/>
  <c r="O16" i="35"/>
  <c r="I188" i="39"/>
  <c r="I28" i="35"/>
  <c r="L275" i="39"/>
  <c r="M46" i="35"/>
  <c r="I276" i="39"/>
  <c r="O47" i="35"/>
  <c r="M47" i="35"/>
  <c r="I272" i="39"/>
  <c r="O43" i="35"/>
  <c r="O36" i="35"/>
  <c r="O25" i="35"/>
  <c r="O19" i="35"/>
  <c r="Z20" i="35"/>
  <c r="O31" i="35"/>
  <c r="M27" i="35"/>
  <c r="O21" i="35"/>
  <c r="M12" i="37"/>
  <c r="BP9" i="116"/>
  <c r="N257" i="39"/>
  <c r="O257" i="39" s="1"/>
  <c r="N255" i="39"/>
  <c r="L255" i="39"/>
  <c r="N254" i="39"/>
  <c r="L254" i="39"/>
  <c r="O253" i="39"/>
  <c r="N252" i="39"/>
  <c r="L252" i="39"/>
  <c r="L238" i="39"/>
  <c r="M238" i="39" s="1"/>
  <c r="N238" i="39"/>
  <c r="O238" i="39" s="1"/>
  <c r="M229" i="39"/>
  <c r="O215" i="39"/>
  <c r="O216" i="39"/>
  <c r="O217" i="39"/>
  <c r="O218" i="39"/>
  <c r="O219" i="39"/>
  <c r="O220" i="39"/>
  <c r="O221" i="39"/>
  <c r="O222" i="39"/>
  <c r="O223" i="39"/>
  <c r="O224" i="39"/>
  <c r="O225" i="39"/>
  <c r="O226" i="39"/>
  <c r="O227" i="39"/>
  <c r="O228" i="39"/>
  <c r="M215" i="39"/>
  <c r="M216" i="39"/>
  <c r="M217" i="39"/>
  <c r="M218" i="39"/>
  <c r="M219" i="39"/>
  <c r="M220" i="39"/>
  <c r="M221" i="39"/>
  <c r="M223" i="39"/>
  <c r="M224" i="39"/>
  <c r="M225" i="39"/>
  <c r="M226" i="39"/>
  <c r="M227" i="39"/>
  <c r="M228" i="39"/>
  <c r="N208" i="39"/>
  <c r="O208" i="39" s="1"/>
  <c r="Z13" i="35" l="1"/>
  <c r="Z10" i="35" s="1"/>
  <c r="Z9" i="35" s="1"/>
  <c r="L271" i="39"/>
  <c r="L237" i="39" s="1"/>
  <c r="L41" i="35"/>
  <c r="N41" i="35" s="1"/>
  <c r="O239" i="39"/>
  <c r="M274" i="39"/>
  <c r="M276" i="39"/>
  <c r="M275" i="39"/>
  <c r="M272" i="39"/>
  <c r="N28" i="35"/>
  <c r="O28" i="35" s="1"/>
  <c r="O23" i="35"/>
  <c r="M26" i="35"/>
  <c r="L178" i="39"/>
  <c r="L188" i="39"/>
  <c r="M188" i="39" s="1"/>
  <c r="M28" i="35"/>
  <c r="I181" i="39"/>
  <c r="M181" i="39" s="1"/>
  <c r="O26" i="35"/>
  <c r="O29" i="35"/>
  <c r="N188" i="39"/>
  <c r="O188" i="39" s="1"/>
  <c r="O27" i="35"/>
  <c r="N181" i="39"/>
  <c r="N213" i="39"/>
  <c r="N207" i="39"/>
  <c r="O207" i="39" s="1"/>
  <c r="L207" i="39"/>
  <c r="M207" i="39" s="1"/>
  <c r="L151" i="39"/>
  <c r="L146" i="39" s="1"/>
  <c r="L175" i="39"/>
  <c r="L173" i="39"/>
  <c r="L172" i="39"/>
  <c r="L171" i="39"/>
  <c r="L189" i="39"/>
  <c r="L184" i="39"/>
  <c r="H168" i="39"/>
  <c r="L166" i="39"/>
  <c r="L157" i="39"/>
  <c r="L158" i="39"/>
  <c r="L160" i="39"/>
  <c r="L161" i="39"/>
  <c r="L163" i="39"/>
  <c r="L164" i="39"/>
  <c r="L167" i="39"/>
  <c r="L168" i="39"/>
  <c r="L156" i="39"/>
  <c r="L140" i="54"/>
  <c r="L154" i="39" l="1"/>
  <c r="L40" i="35"/>
  <c r="N40" i="35" s="1"/>
  <c r="M273" i="39"/>
  <c r="O213" i="39"/>
  <c r="O181" i="39"/>
  <c r="L13" i="35"/>
  <c r="L10" i="35" s="1"/>
  <c r="L9" i="35" s="1"/>
  <c r="L180" i="39"/>
  <c r="G13" i="4" l="1"/>
  <c r="G14" i="4"/>
  <c r="G15" i="4"/>
  <c r="G16" i="4"/>
  <c r="G17" i="4"/>
  <c r="G18" i="4"/>
  <c r="G19" i="4"/>
  <c r="G20" i="4"/>
  <c r="G21" i="4"/>
  <c r="G22" i="4"/>
  <c r="G26" i="4"/>
  <c r="G27" i="4"/>
  <c r="G29" i="4"/>
  <c r="G30" i="4"/>
  <c r="G33" i="4"/>
  <c r="G34" i="4"/>
  <c r="G35" i="4"/>
  <c r="G38" i="4"/>
  <c r="G39" i="4"/>
  <c r="G40" i="4"/>
  <c r="G43" i="4"/>
  <c r="G44" i="4"/>
  <c r="G45" i="4"/>
  <c r="G46" i="4"/>
  <c r="G47" i="4"/>
  <c r="G48" i="4"/>
  <c r="G49" i="4"/>
  <c r="G50" i="4"/>
  <c r="G51" i="4"/>
  <c r="G52" i="4"/>
  <c r="G53" i="4"/>
  <c r="G57" i="4"/>
  <c r="G58" i="4"/>
  <c r="G60" i="4"/>
  <c r="G61" i="4"/>
  <c r="G64" i="4"/>
  <c r="G65" i="4"/>
  <c r="G66" i="4"/>
  <c r="G69" i="4"/>
  <c r="G70" i="4"/>
  <c r="G71" i="4"/>
  <c r="G74" i="4"/>
  <c r="G75" i="4"/>
  <c r="G76" i="4"/>
  <c r="G81" i="4"/>
  <c r="G82" i="4"/>
  <c r="G84" i="4"/>
  <c r="G87" i="4"/>
  <c r="G89" i="4"/>
  <c r="G90" i="4"/>
  <c r="G91" i="4"/>
  <c r="G92" i="4"/>
  <c r="G93" i="4"/>
  <c r="G94" i="4"/>
  <c r="G95" i="4"/>
  <c r="G96" i="4"/>
  <c r="G97" i="4"/>
  <c r="G101" i="4"/>
  <c r="G102" i="4"/>
  <c r="G103" i="4"/>
  <c r="G104" i="4"/>
  <c r="G105" i="4"/>
  <c r="G106" i="4"/>
  <c r="G108" i="4"/>
  <c r="G109" i="4"/>
  <c r="G110" i="4"/>
  <c r="G113" i="4"/>
  <c r="G114" i="4"/>
  <c r="G116" i="4"/>
  <c r="G117" i="4"/>
  <c r="G119" i="4"/>
  <c r="G120" i="4"/>
  <c r="G121" i="4"/>
  <c r="G122" i="4"/>
  <c r="G123" i="4"/>
  <c r="G124" i="4"/>
  <c r="G126" i="4"/>
  <c r="G127" i="4"/>
  <c r="G128" i="4"/>
  <c r="G129" i="4"/>
  <c r="G131" i="4"/>
  <c r="G132" i="4"/>
  <c r="G134" i="4"/>
  <c r="G135" i="4"/>
  <c r="G136" i="4"/>
  <c r="G137" i="4"/>
  <c r="G139" i="4"/>
  <c r="G141" i="4"/>
  <c r="G156" i="4"/>
  <c r="G159" i="4"/>
  <c r="G161" i="4"/>
  <c r="G179" i="4"/>
  <c r="G180" i="4"/>
  <c r="AZ4" i="117"/>
  <c r="BA4" i="117"/>
  <c r="BB4" i="117"/>
  <c r="AZ5" i="117"/>
  <c r="BA5" i="117"/>
  <c r="BB5" i="117"/>
  <c r="AZ6" i="117"/>
  <c r="BA6" i="117"/>
  <c r="BB6" i="117"/>
  <c r="AZ7" i="117"/>
  <c r="BA7" i="117"/>
  <c r="BB7" i="117"/>
  <c r="AZ8" i="117"/>
  <c r="BA8" i="117"/>
  <c r="BB8" i="117"/>
  <c r="AZ9" i="117"/>
  <c r="BA9" i="117"/>
  <c r="BB9" i="117"/>
  <c r="AZ10" i="117"/>
  <c r="BA10" i="117"/>
  <c r="BB10" i="117"/>
  <c r="AZ11" i="117"/>
  <c r="BA11" i="117"/>
  <c r="BB11" i="117"/>
  <c r="AZ12" i="117"/>
  <c r="BA12" i="117"/>
  <c r="BB12" i="117"/>
  <c r="AZ13" i="117"/>
  <c r="BA13" i="117"/>
  <c r="BB13" i="117"/>
  <c r="AZ14" i="117"/>
  <c r="BA14" i="117"/>
  <c r="BB14" i="117"/>
  <c r="AZ15" i="117"/>
  <c r="BA15" i="117"/>
  <c r="BB15" i="117"/>
  <c r="AZ16" i="117"/>
  <c r="BA16" i="117"/>
  <c r="BB16" i="117"/>
  <c r="AZ17" i="117"/>
  <c r="BA17" i="117"/>
  <c r="BB17" i="117"/>
  <c r="AZ18" i="117"/>
  <c r="BA18" i="117"/>
  <c r="BB18" i="117"/>
  <c r="AZ19" i="117"/>
  <c r="BA19" i="117"/>
  <c r="BB19" i="117"/>
  <c r="AZ20" i="117"/>
  <c r="BA20" i="117"/>
  <c r="BB20" i="117"/>
  <c r="AZ21" i="117"/>
  <c r="BA21" i="117"/>
  <c r="BB21" i="117"/>
  <c r="AZ22" i="117"/>
  <c r="BA22" i="117"/>
  <c r="BB22" i="117"/>
  <c r="AZ23" i="117"/>
  <c r="BA23" i="117"/>
  <c r="BB23" i="117"/>
  <c r="AZ24" i="117"/>
  <c r="BA24" i="117"/>
  <c r="BB24" i="117"/>
  <c r="AZ25" i="117"/>
  <c r="BA25" i="117"/>
  <c r="BB25" i="117"/>
  <c r="AZ26" i="117"/>
  <c r="BA26" i="117"/>
  <c r="BB26" i="117"/>
  <c r="AZ27" i="117"/>
  <c r="BA27" i="117"/>
  <c r="BB27" i="117"/>
  <c r="AZ28" i="117"/>
  <c r="BA28" i="117"/>
  <c r="BB28" i="117"/>
  <c r="AZ29" i="117"/>
  <c r="BA29" i="117"/>
  <c r="BB29" i="117"/>
  <c r="AZ30" i="117"/>
  <c r="BA30" i="117"/>
  <c r="BB30" i="117"/>
  <c r="AZ31" i="117"/>
  <c r="BA31" i="117"/>
  <c r="BB31" i="117"/>
  <c r="AZ32" i="117"/>
  <c r="BA32" i="117"/>
  <c r="BB32" i="117"/>
  <c r="AZ33" i="117"/>
  <c r="BA33" i="117"/>
  <c r="BB33" i="117"/>
  <c r="AZ34" i="117"/>
  <c r="BA34" i="117"/>
  <c r="BB34" i="117"/>
  <c r="AZ35" i="117"/>
  <c r="BA35" i="117"/>
  <c r="BB35" i="117"/>
  <c r="AZ36" i="117"/>
  <c r="BA36" i="117"/>
  <c r="BB36" i="117"/>
  <c r="AZ37" i="117"/>
  <c r="BA37" i="117"/>
  <c r="BB37" i="117"/>
  <c r="AZ38" i="117"/>
  <c r="BA38" i="117"/>
  <c r="BB38" i="117"/>
  <c r="AZ39" i="117"/>
  <c r="BA39" i="117"/>
  <c r="BB39" i="117"/>
  <c r="AZ40" i="117"/>
  <c r="BA40" i="117"/>
  <c r="BB40" i="117"/>
  <c r="AZ41" i="117"/>
  <c r="BA41" i="117"/>
  <c r="BB41" i="117"/>
  <c r="AZ42" i="117"/>
  <c r="BA42" i="117"/>
  <c r="BB42" i="117"/>
  <c r="AZ43" i="117"/>
  <c r="BA43" i="117"/>
  <c r="BB43" i="117"/>
  <c r="AZ44" i="117"/>
  <c r="BA44" i="117"/>
  <c r="BB44" i="117"/>
  <c r="AZ45" i="117"/>
  <c r="BA45" i="117"/>
  <c r="BB45" i="117"/>
  <c r="AZ46" i="117"/>
  <c r="BA46" i="117"/>
  <c r="BB46" i="117"/>
  <c r="AZ47" i="117"/>
  <c r="BA47" i="117"/>
  <c r="BB47" i="117"/>
  <c r="AZ48" i="117"/>
  <c r="BA48" i="117"/>
  <c r="BB48" i="117"/>
  <c r="AZ49" i="117"/>
  <c r="BA49" i="117"/>
  <c r="BB49" i="117"/>
  <c r="AZ50" i="117"/>
  <c r="BA50" i="117"/>
  <c r="BB50" i="117"/>
  <c r="AZ51" i="117"/>
  <c r="BA51" i="117"/>
  <c r="BB51" i="117"/>
  <c r="AZ52" i="117"/>
  <c r="BA52" i="117"/>
  <c r="BB52" i="117"/>
  <c r="AZ53" i="117"/>
  <c r="BA53" i="117"/>
  <c r="BB53" i="117"/>
  <c r="AZ54" i="117"/>
  <c r="BA54" i="117"/>
  <c r="BB54" i="117"/>
  <c r="AZ55" i="117"/>
  <c r="BA55" i="117"/>
  <c r="BB55" i="117"/>
  <c r="AZ56" i="117"/>
  <c r="BA56" i="117"/>
  <c r="BB56" i="117"/>
  <c r="AZ57" i="117"/>
  <c r="BA57" i="117"/>
  <c r="BB57" i="117"/>
  <c r="AZ58" i="117"/>
  <c r="BA58" i="117"/>
  <c r="BB58" i="117"/>
  <c r="AZ59" i="117"/>
  <c r="BA59" i="117"/>
  <c r="BB59" i="117"/>
  <c r="AZ60" i="117"/>
  <c r="BA60" i="117"/>
  <c r="BB60" i="117"/>
  <c r="AZ61" i="117"/>
  <c r="BA61" i="117"/>
  <c r="L76" i="39" s="1"/>
  <c r="BB61" i="117"/>
  <c r="N76" i="39" s="1"/>
  <c r="AZ62" i="117"/>
  <c r="BA62" i="117"/>
  <c r="BB62" i="117"/>
  <c r="AZ63" i="117"/>
  <c r="BA63" i="117"/>
  <c r="BB63" i="117"/>
  <c r="AZ64" i="117"/>
  <c r="BA64" i="117"/>
  <c r="BB64" i="117"/>
  <c r="AZ65" i="117"/>
  <c r="BA65" i="117"/>
  <c r="BB65" i="117"/>
  <c r="AZ66" i="117"/>
  <c r="BA66" i="117"/>
  <c r="BB66" i="117"/>
  <c r="AZ67" i="117"/>
  <c r="BA67" i="117"/>
  <c r="BB67" i="117"/>
  <c r="AZ68" i="117"/>
  <c r="P87" i="39" s="1"/>
  <c r="BA68" i="117"/>
  <c r="BB68" i="117"/>
  <c r="AZ69" i="117"/>
  <c r="BA69" i="117"/>
  <c r="BB69" i="117"/>
  <c r="AZ70" i="117"/>
  <c r="BA70" i="117"/>
  <c r="BB70" i="117"/>
  <c r="AZ71" i="117"/>
  <c r="BA71" i="117"/>
  <c r="BB71" i="117"/>
  <c r="AZ72" i="117"/>
  <c r="BA72" i="117"/>
  <c r="BB72" i="117"/>
  <c r="AZ73" i="117"/>
  <c r="BA73" i="117"/>
  <c r="BB73" i="117"/>
  <c r="AZ74" i="117"/>
  <c r="BA74" i="117"/>
  <c r="BB74" i="117"/>
  <c r="AZ75" i="117"/>
  <c r="BA75" i="117"/>
  <c r="BB75" i="117"/>
  <c r="AZ76" i="117"/>
  <c r="BA76" i="117"/>
  <c r="BB76" i="117"/>
  <c r="AZ77" i="117"/>
  <c r="BA77" i="117"/>
  <c r="BB77" i="117"/>
  <c r="AZ78" i="117"/>
  <c r="BA78" i="117"/>
  <c r="BB78" i="117"/>
  <c r="AZ79" i="117"/>
  <c r="BA79" i="117"/>
  <c r="BB79" i="117"/>
  <c r="AZ80" i="117"/>
  <c r="BA80" i="117"/>
  <c r="BB80" i="117"/>
  <c r="AZ81" i="117"/>
  <c r="BA81" i="117"/>
  <c r="BB81" i="117"/>
  <c r="AZ82" i="117"/>
  <c r="BA82" i="117"/>
  <c r="BB82" i="117"/>
  <c r="AZ83" i="117"/>
  <c r="BA83" i="117"/>
  <c r="BB83" i="117"/>
  <c r="AZ84" i="117"/>
  <c r="BA84" i="117"/>
  <c r="BB84" i="117"/>
  <c r="AZ85" i="117"/>
  <c r="BA85" i="117"/>
  <c r="BB85" i="117"/>
  <c r="AZ86" i="117"/>
  <c r="BA86" i="117"/>
  <c r="BB86" i="117"/>
  <c r="AZ87" i="117"/>
  <c r="BA87" i="117"/>
  <c r="BB87" i="117"/>
  <c r="AZ88" i="117"/>
  <c r="BA88" i="117"/>
  <c r="BB88" i="117"/>
  <c r="AZ89" i="117"/>
  <c r="BA89" i="117"/>
  <c r="BB89" i="117"/>
  <c r="AZ90" i="117"/>
  <c r="BA90" i="117"/>
  <c r="BB90" i="117"/>
  <c r="AZ91" i="117"/>
  <c r="BA91" i="117"/>
  <c r="BB91" i="117"/>
  <c r="AZ92" i="117"/>
  <c r="BA92" i="117"/>
  <c r="BB92" i="117"/>
  <c r="AZ93" i="117"/>
  <c r="BA93" i="117"/>
  <c r="BB93" i="117"/>
  <c r="AZ94" i="117"/>
  <c r="BA94" i="117"/>
  <c r="BB94" i="117"/>
  <c r="AZ95" i="117"/>
  <c r="BA95" i="117"/>
  <c r="BB95" i="117"/>
  <c r="AZ96" i="117"/>
  <c r="BA96" i="117"/>
  <c r="BB96" i="117"/>
  <c r="AZ97" i="117"/>
  <c r="BA97" i="117"/>
  <c r="BB97" i="117"/>
  <c r="AZ98" i="117"/>
  <c r="BA98" i="117"/>
  <c r="BB98" i="117"/>
  <c r="AZ99" i="117"/>
  <c r="BA99" i="117"/>
  <c r="BB99" i="117"/>
  <c r="AZ100" i="117"/>
  <c r="BA100" i="117"/>
  <c r="BB100" i="117"/>
  <c r="AZ101" i="117"/>
  <c r="BA101" i="117"/>
  <c r="BB101" i="117"/>
  <c r="AZ102" i="117"/>
  <c r="BA102" i="117"/>
  <c r="BB102" i="117"/>
  <c r="AZ103" i="117"/>
  <c r="BA103" i="117"/>
  <c r="BB103" i="117"/>
  <c r="AZ104" i="117"/>
  <c r="BA104" i="117"/>
  <c r="BB104" i="117"/>
  <c r="AZ105" i="117"/>
  <c r="BA105" i="117"/>
  <c r="BB105" i="117"/>
  <c r="AZ106" i="117"/>
  <c r="BA106" i="117"/>
  <c r="BB106" i="117"/>
  <c r="AZ107" i="117"/>
  <c r="BA107" i="117"/>
  <c r="BB107" i="117"/>
  <c r="AZ108" i="117"/>
  <c r="BA108" i="117"/>
  <c r="BB108" i="117"/>
  <c r="AZ109" i="117"/>
  <c r="BA109" i="117"/>
  <c r="BB109" i="117"/>
  <c r="AZ110" i="117"/>
  <c r="BA110" i="117"/>
  <c r="BB110" i="117"/>
  <c r="AZ111" i="117"/>
  <c r="BA111" i="117"/>
  <c r="BB111" i="117"/>
  <c r="AZ112" i="117"/>
  <c r="BA112" i="117"/>
  <c r="BB112" i="117"/>
  <c r="AZ113" i="117"/>
  <c r="BA113" i="117"/>
  <c r="BB113" i="117"/>
  <c r="AZ114" i="117"/>
  <c r="BA114" i="117"/>
  <c r="BB114" i="117"/>
  <c r="AZ115" i="117"/>
  <c r="BA115" i="117"/>
  <c r="BB115" i="117"/>
  <c r="AZ116" i="117"/>
  <c r="BA116" i="117"/>
  <c r="BB116" i="117"/>
  <c r="AZ117" i="117"/>
  <c r="BA117" i="117"/>
  <c r="BB117" i="117"/>
  <c r="AZ118" i="117"/>
  <c r="BA118" i="117"/>
  <c r="BB118" i="117"/>
  <c r="AZ119" i="117"/>
  <c r="BA119" i="117"/>
  <c r="BB119" i="117"/>
  <c r="AZ120" i="117"/>
  <c r="BA120" i="117"/>
  <c r="BB120" i="117"/>
  <c r="AZ121" i="117"/>
  <c r="BA121" i="117"/>
  <c r="BB121" i="117"/>
  <c r="AZ122" i="117"/>
  <c r="BA122" i="117"/>
  <c r="BB122" i="117"/>
  <c r="AZ123" i="117"/>
  <c r="BA123" i="117"/>
  <c r="BB123" i="117"/>
  <c r="AZ124" i="117"/>
  <c r="BA124" i="117"/>
  <c r="BB124" i="117"/>
  <c r="AZ125" i="117"/>
  <c r="BA125" i="117"/>
  <c r="BB125" i="117"/>
  <c r="AZ126" i="117"/>
  <c r="BA126" i="117"/>
  <c r="BB126" i="117"/>
  <c r="AZ127" i="117"/>
  <c r="Q177" i="4" s="1"/>
  <c r="BA127" i="117"/>
  <c r="BB127" i="117"/>
  <c r="AZ128" i="117"/>
  <c r="BA128" i="117"/>
  <c r="BB128" i="117"/>
  <c r="AZ129" i="117"/>
  <c r="Q179" i="4" s="1"/>
  <c r="BA129" i="117"/>
  <c r="BB129" i="117"/>
  <c r="AZ130" i="117"/>
  <c r="BA130" i="117"/>
  <c r="BB130" i="117"/>
  <c r="AZ131" i="117"/>
  <c r="BA131" i="117"/>
  <c r="BB131" i="117"/>
  <c r="AZ132" i="117"/>
  <c r="BA132" i="117"/>
  <c r="BB132" i="117"/>
  <c r="AZ133" i="117"/>
  <c r="BA133" i="117"/>
  <c r="BB133" i="117"/>
  <c r="AZ134" i="117"/>
  <c r="BA134" i="117"/>
  <c r="BB134" i="117"/>
  <c r="AZ135" i="117"/>
  <c r="BA135" i="117"/>
  <c r="BB135" i="117"/>
  <c r="AZ136" i="117"/>
  <c r="BA136" i="117"/>
  <c r="BB136" i="117"/>
  <c r="AZ137" i="117"/>
  <c r="BA137" i="117"/>
  <c r="BB137" i="117"/>
  <c r="AZ138" i="117"/>
  <c r="BA138" i="117"/>
  <c r="BB138" i="117"/>
  <c r="AZ139" i="117"/>
  <c r="BA139" i="117"/>
  <c r="BB139" i="117"/>
  <c r="AZ140" i="117"/>
  <c r="BA140" i="117"/>
  <c r="BB140" i="117"/>
  <c r="BA3" i="117"/>
  <c r="AQ4" i="117"/>
  <c r="AQ5" i="117"/>
  <c r="AQ6" i="117"/>
  <c r="AA13" i="4" s="1"/>
  <c r="AQ7" i="117"/>
  <c r="AA14" i="4" s="1"/>
  <c r="AQ8" i="117"/>
  <c r="AA15" i="4" s="1"/>
  <c r="AQ9" i="117"/>
  <c r="AA16" i="4" s="1"/>
  <c r="AQ10" i="117"/>
  <c r="AA17" i="4" s="1"/>
  <c r="AQ11" i="117"/>
  <c r="AA18" i="4" s="1"/>
  <c r="AQ12" i="117"/>
  <c r="AA19" i="4" s="1"/>
  <c r="AQ13" i="117"/>
  <c r="AA20" i="4" s="1"/>
  <c r="AQ14" i="117"/>
  <c r="AA21" i="4" s="1"/>
  <c r="AQ15" i="117"/>
  <c r="AA22" i="4" s="1"/>
  <c r="AQ16" i="117"/>
  <c r="AQ17" i="117"/>
  <c r="AA26" i="4" s="1"/>
  <c r="AQ18" i="117"/>
  <c r="AA27" i="4" s="1"/>
  <c r="AQ19" i="117"/>
  <c r="AQ20" i="117"/>
  <c r="AA29" i="4" s="1"/>
  <c r="AQ21" i="117"/>
  <c r="AA30" i="4" s="1"/>
  <c r="AQ22" i="117"/>
  <c r="AQ23" i="117"/>
  <c r="AA33" i="4" s="1"/>
  <c r="AQ24" i="117"/>
  <c r="AA35" i="4" s="1"/>
  <c r="AQ25" i="117"/>
  <c r="AQ26" i="117"/>
  <c r="AA38" i="4" s="1"/>
  <c r="AA37" i="4" s="1"/>
  <c r="AQ27" i="117"/>
  <c r="AQ28" i="117"/>
  <c r="AQ29" i="117"/>
  <c r="AA43" i="4" s="1"/>
  <c r="AQ30" i="117"/>
  <c r="AA44" i="4" s="1"/>
  <c r="AQ31" i="117"/>
  <c r="AA45" i="4" s="1"/>
  <c r="AQ32" i="117"/>
  <c r="AA46" i="4" s="1"/>
  <c r="AQ33" i="117"/>
  <c r="AA47" i="4" s="1"/>
  <c r="AQ34" i="117"/>
  <c r="AA48" i="4" s="1"/>
  <c r="AQ35" i="117"/>
  <c r="AA49" i="4" s="1"/>
  <c r="AQ36" i="117"/>
  <c r="AA50" i="4" s="1"/>
  <c r="AQ37" i="117"/>
  <c r="AA51" i="4" s="1"/>
  <c r="AQ38" i="117"/>
  <c r="AA52" i="4" s="1"/>
  <c r="AQ39" i="117"/>
  <c r="AA53" i="4" s="1"/>
  <c r="AQ40" i="117"/>
  <c r="AQ41" i="117"/>
  <c r="AA57" i="4" s="1"/>
  <c r="AQ42" i="117"/>
  <c r="AA58" i="4" s="1"/>
  <c r="AQ43" i="117"/>
  <c r="AQ44" i="117"/>
  <c r="AA60" i="4" s="1"/>
  <c r="AQ45" i="117"/>
  <c r="AA61" i="4" s="1"/>
  <c r="AQ46" i="117"/>
  <c r="AQ47" i="117"/>
  <c r="AA64" i="4" s="1"/>
  <c r="AQ48" i="117"/>
  <c r="AA65" i="4" s="1"/>
  <c r="AQ49" i="117"/>
  <c r="AA66" i="4" s="1"/>
  <c r="AQ50" i="117"/>
  <c r="AQ51" i="117"/>
  <c r="AA69" i="4" s="1"/>
  <c r="AA68" i="4" s="1"/>
  <c r="AQ52" i="117"/>
  <c r="AQ53" i="117"/>
  <c r="AQ54" i="117"/>
  <c r="AA74" i="4" s="1"/>
  <c r="AQ55" i="117"/>
  <c r="AA75" i="4" s="1"/>
  <c r="AQ56" i="117"/>
  <c r="AA76" i="4" s="1"/>
  <c r="AQ57" i="117"/>
  <c r="AQ58" i="117"/>
  <c r="AQ59" i="117"/>
  <c r="AA81" i="4" s="1"/>
  <c r="AA79" i="4" s="1"/>
  <c r="AQ60" i="117"/>
  <c r="AQ61" i="117"/>
  <c r="AA86" i="4" s="1"/>
  <c r="AQ62" i="117"/>
  <c r="AA87" i="4" s="1"/>
  <c r="AQ63" i="117"/>
  <c r="AA89" i="4" s="1"/>
  <c r="AQ64" i="117"/>
  <c r="AA90" i="4" s="1"/>
  <c r="AQ65" i="117"/>
  <c r="AA91" i="4" s="1"/>
  <c r="AQ66" i="117"/>
  <c r="AA92" i="4" s="1"/>
  <c r="AQ67" i="117"/>
  <c r="AA93" i="4" s="1"/>
  <c r="AQ68" i="117"/>
  <c r="AA94" i="4" s="1"/>
  <c r="AQ69" i="117"/>
  <c r="AA95" i="4" s="1"/>
  <c r="AQ70" i="117"/>
  <c r="AA96" i="4" s="1"/>
  <c r="AQ71" i="117"/>
  <c r="AA97" i="4" s="1"/>
  <c r="AQ72" i="117"/>
  <c r="AQ73" i="117"/>
  <c r="AA99" i="4" s="1"/>
  <c r="AQ74" i="117"/>
  <c r="AA100" i="4" s="1"/>
  <c r="AQ75" i="117"/>
  <c r="AA102" i="4" s="1"/>
  <c r="AQ76" i="117"/>
  <c r="AA103" i="4" s="1"/>
  <c r="AQ77" i="117"/>
  <c r="AA104" i="4" s="1"/>
  <c r="AQ78" i="117"/>
  <c r="AA105" i="4" s="1"/>
  <c r="AQ79" i="117"/>
  <c r="AA106" i="4" s="1"/>
  <c r="AQ80" i="117"/>
  <c r="AQ81" i="117"/>
  <c r="AA108" i="4" s="1"/>
  <c r="AQ82" i="117"/>
  <c r="AA109" i="4" s="1"/>
  <c r="AQ83" i="117"/>
  <c r="AA110" i="4" s="1"/>
  <c r="AQ84" i="117"/>
  <c r="AA113" i="4" s="1"/>
  <c r="AQ85" i="117"/>
  <c r="AQ86" i="117"/>
  <c r="AA116" i="4" s="1"/>
  <c r="AA115" i="4" s="1"/>
  <c r="AQ87" i="117"/>
  <c r="AQ88" i="117"/>
  <c r="AA119" i="4" s="1"/>
  <c r="AQ89" i="117"/>
  <c r="AA121" i="4" s="1"/>
  <c r="AQ90" i="117"/>
  <c r="AA122" i="4" s="1"/>
  <c r="AQ91" i="117"/>
  <c r="AA123" i="4" s="1"/>
  <c r="AQ92" i="117"/>
  <c r="AA124" i="4" s="1"/>
  <c r="AQ93" i="117"/>
  <c r="AQ94" i="117"/>
  <c r="AA126" i="4" s="1"/>
  <c r="AQ95" i="117"/>
  <c r="AA127" i="4" s="1"/>
  <c r="AQ96" i="117"/>
  <c r="AA128" i="4" s="1"/>
  <c r="AQ97" i="117"/>
  <c r="AA129" i="4" s="1"/>
  <c r="AQ98" i="117"/>
  <c r="AQ99" i="117"/>
  <c r="AA131" i="4" s="1"/>
  <c r="AA130" i="4" s="1"/>
  <c r="AQ100" i="117"/>
  <c r="AQ101" i="117"/>
  <c r="AA134" i="4" s="1"/>
  <c r="AQ102" i="117"/>
  <c r="AA135" i="4" s="1"/>
  <c r="AQ103" i="117"/>
  <c r="AA136" i="4" s="1"/>
  <c r="AQ104" i="117"/>
  <c r="AQ105" i="117"/>
  <c r="AA139" i="4" s="1"/>
  <c r="AQ106" i="117"/>
  <c r="AA141" i="4" s="1"/>
  <c r="AQ107" i="117"/>
  <c r="AQ108" i="117"/>
  <c r="AA143" i="4" s="1"/>
  <c r="AA142" i="4" s="1"/>
  <c r="AQ109" i="117"/>
  <c r="AA144" i="4" s="1"/>
  <c r="AQ110" i="117"/>
  <c r="AQ111" i="117"/>
  <c r="AQ112" i="117"/>
  <c r="AA159" i="4" s="1"/>
  <c r="AQ113" i="117"/>
  <c r="AA161" i="4" s="1"/>
  <c r="AQ114" i="117"/>
  <c r="AQ115" i="117"/>
  <c r="AQ116" i="117"/>
  <c r="AA180" i="4" s="1"/>
  <c r="AA179" i="4" s="1"/>
  <c r="AA174" i="4" s="1"/>
  <c r="AQ117" i="117"/>
  <c r="AQ118" i="117"/>
  <c r="AA183" i="4" s="1"/>
  <c r="AQ119" i="117"/>
  <c r="AQ120" i="117"/>
  <c r="AA184" i="4" s="1"/>
  <c r="AQ121" i="117"/>
  <c r="AQ122" i="117"/>
  <c r="AQ123" i="117"/>
  <c r="AQ3" i="117"/>
  <c r="Q174" i="4" l="1"/>
  <c r="AA155" i="4"/>
  <c r="AA146" i="4" s="1"/>
  <c r="AA138" i="4"/>
  <c r="AA107" i="4"/>
  <c r="Q155" i="4"/>
  <c r="Q133" i="4"/>
  <c r="Q12" i="4"/>
  <c r="Q63" i="4"/>
  <c r="N110" i="39"/>
  <c r="O110" i="39" s="1"/>
  <c r="AA56" i="4"/>
  <c r="AA98" i="4"/>
  <c r="AA133" i="4"/>
  <c r="AA63" i="4"/>
  <c r="AA182" i="4"/>
  <c r="AA125" i="4"/>
  <c r="AA73" i="4"/>
  <c r="AA72" i="4" s="1"/>
  <c r="AA12" i="4"/>
  <c r="AA85" i="4"/>
  <c r="AA42" i="4"/>
  <c r="AA59" i="4"/>
  <c r="AA118" i="4"/>
  <c r="L290" i="39"/>
  <c r="H110" i="39"/>
  <c r="I80" i="39"/>
  <c r="L88" i="39"/>
  <c r="M88" i="39" s="1"/>
  <c r="N140" i="39"/>
  <c r="N36" i="39"/>
  <c r="I36" i="39"/>
  <c r="H36" i="39"/>
  <c r="I140" i="39"/>
  <c r="L36" i="39"/>
  <c r="H140" i="39"/>
  <c r="L140" i="39"/>
  <c r="H80" i="39"/>
  <c r="L80" i="39"/>
  <c r="N80" i="39"/>
  <c r="H144" i="39"/>
  <c r="N144" i="39"/>
  <c r="N143" i="39"/>
  <c r="N142" i="39" s="1"/>
  <c r="L144" i="39"/>
  <c r="L143" i="39"/>
  <c r="H143" i="39"/>
  <c r="I144" i="39"/>
  <c r="I143" i="39"/>
  <c r="N193" i="39"/>
  <c r="O193" i="39" s="1"/>
  <c r="L205" i="39"/>
  <c r="M205" i="39" s="1"/>
  <c r="L194" i="39"/>
  <c r="M194" i="39" s="1"/>
  <c r="L193" i="39"/>
  <c r="M193" i="39" s="1"/>
  <c r="Q11" i="4" l="1"/>
  <c r="Q146" i="4"/>
  <c r="AA78" i="4"/>
  <c r="AA41" i="4"/>
  <c r="O80" i="39"/>
  <c r="O36" i="39"/>
  <c r="M36" i="39"/>
  <c r="M80" i="39"/>
  <c r="M143" i="39"/>
  <c r="O144" i="39"/>
  <c r="M140" i="39"/>
  <c r="M144" i="39"/>
  <c r="O143" i="39"/>
  <c r="O140" i="39"/>
  <c r="L201" i="39"/>
  <c r="M201" i="39" s="1"/>
  <c r="L190" i="39"/>
  <c r="M190" i="39" s="1"/>
  <c r="N190" i="39"/>
  <c r="O190" i="39" s="1"/>
  <c r="I142" i="39"/>
  <c r="N281" i="39"/>
  <c r="O281" i="39" s="1"/>
  <c r="N278" i="39"/>
  <c r="O278" i="39" s="1"/>
  <c r="N279" i="39"/>
  <c r="O279" i="39" s="1"/>
  <c r="L289" i="39"/>
  <c r="H142" i="39"/>
  <c r="L142" i="39"/>
  <c r="J173" i="39"/>
  <c r="I173" i="39"/>
  <c r="M173" i="39" s="1"/>
  <c r="H173" i="39"/>
  <c r="J168" i="39"/>
  <c r="I168" i="39"/>
  <c r="H165" i="39"/>
  <c r="F132" i="39"/>
  <c r="F87" i="39"/>
  <c r="H204" i="39"/>
  <c r="AH4" i="117"/>
  <c r="AH5" i="117"/>
  <c r="AH6" i="117"/>
  <c r="AH7" i="117"/>
  <c r="AH8" i="117"/>
  <c r="AH9" i="117"/>
  <c r="AH10" i="117"/>
  <c r="AH11" i="117"/>
  <c r="AH12" i="117"/>
  <c r="AH13" i="117"/>
  <c r="AH14" i="117"/>
  <c r="AH15" i="117"/>
  <c r="AH16" i="117"/>
  <c r="AH17" i="117"/>
  <c r="AH18" i="117"/>
  <c r="AH19" i="117"/>
  <c r="AH20" i="117"/>
  <c r="AH21" i="117"/>
  <c r="AH22" i="117"/>
  <c r="AH23" i="117"/>
  <c r="AH24" i="117"/>
  <c r="AH25" i="117"/>
  <c r="AH26" i="117"/>
  <c r="AH27" i="117"/>
  <c r="AH28" i="117"/>
  <c r="AH29" i="117"/>
  <c r="AH30" i="117"/>
  <c r="AH31" i="117"/>
  <c r="AH32" i="117"/>
  <c r="AH33" i="117"/>
  <c r="AH34" i="117"/>
  <c r="AH35" i="117"/>
  <c r="AH36" i="117"/>
  <c r="AH37" i="117"/>
  <c r="AH38" i="117"/>
  <c r="AH39" i="117"/>
  <c r="AH40" i="117"/>
  <c r="AH41" i="117"/>
  <c r="AH42" i="117"/>
  <c r="AH43" i="117"/>
  <c r="AH44" i="117"/>
  <c r="AH45" i="117"/>
  <c r="AH46" i="117"/>
  <c r="AH47" i="117"/>
  <c r="AH48" i="117"/>
  <c r="AH49" i="117"/>
  <c r="AH50" i="117"/>
  <c r="AH51" i="117"/>
  <c r="AH52" i="117"/>
  <c r="AH53" i="117"/>
  <c r="AH54" i="117"/>
  <c r="AH55" i="117"/>
  <c r="AH56" i="117"/>
  <c r="AH57" i="117"/>
  <c r="AH58" i="117"/>
  <c r="AH59" i="117"/>
  <c r="AH60" i="117"/>
  <c r="AH61" i="117"/>
  <c r="AH62" i="117"/>
  <c r="AH63" i="117"/>
  <c r="AH64" i="117"/>
  <c r="AH65" i="117"/>
  <c r="AH66" i="117"/>
  <c r="AH67" i="117"/>
  <c r="AH68" i="117"/>
  <c r="AH69" i="117"/>
  <c r="AH70" i="117"/>
  <c r="AH71" i="117"/>
  <c r="AH72" i="117"/>
  <c r="AH73" i="117"/>
  <c r="AH74" i="117"/>
  <c r="AH75" i="117"/>
  <c r="AH76" i="117"/>
  <c r="AH77" i="117"/>
  <c r="AH78" i="117"/>
  <c r="AH79" i="117"/>
  <c r="AH80" i="117"/>
  <c r="AH81" i="117"/>
  <c r="AH82" i="117"/>
  <c r="AH83" i="117"/>
  <c r="AH84" i="117"/>
  <c r="AH85" i="117"/>
  <c r="AH86" i="117"/>
  <c r="AH87" i="117"/>
  <c r="AH88" i="117"/>
  <c r="AH89" i="117"/>
  <c r="AH90" i="117"/>
  <c r="AH91" i="117"/>
  <c r="AH92" i="117"/>
  <c r="AH93" i="117"/>
  <c r="AH94" i="117"/>
  <c r="AH95" i="117"/>
  <c r="AH96" i="117"/>
  <c r="AH97" i="117"/>
  <c r="AH98" i="117"/>
  <c r="AH99" i="117"/>
  <c r="AH100" i="117"/>
  <c r="AH101" i="117"/>
  <c r="AH102" i="117"/>
  <c r="AH103" i="117"/>
  <c r="AH104" i="117"/>
  <c r="AH105" i="117"/>
  <c r="AH106" i="117"/>
  <c r="AH107" i="117"/>
  <c r="AH108" i="117"/>
  <c r="AH109" i="117"/>
  <c r="AH110" i="117"/>
  <c r="AH111" i="117"/>
  <c r="AH112" i="117"/>
  <c r="AH113" i="117"/>
  <c r="AH114" i="117"/>
  <c r="AH115" i="117"/>
  <c r="AH116" i="117"/>
  <c r="AH117" i="117"/>
  <c r="AH118" i="117"/>
  <c r="AH119" i="117"/>
  <c r="AH120" i="117"/>
  <c r="AH121" i="117"/>
  <c r="AH122" i="117"/>
  <c r="AH123" i="117"/>
  <c r="AH124" i="117"/>
  <c r="AH125" i="117"/>
  <c r="AH126" i="117"/>
  <c r="AH127" i="117"/>
  <c r="AH128" i="117"/>
  <c r="AH129" i="117"/>
  <c r="AH130" i="117"/>
  <c r="AH131" i="117"/>
  <c r="AH132" i="117"/>
  <c r="AH133" i="117"/>
  <c r="AH134" i="117"/>
  <c r="AH135" i="117"/>
  <c r="AH136" i="117"/>
  <c r="AH3" i="117"/>
  <c r="AB4" i="117"/>
  <c r="AB5" i="117"/>
  <c r="AB6" i="117"/>
  <c r="Y13" i="4" s="1"/>
  <c r="AB7" i="117"/>
  <c r="Y14" i="4" s="1"/>
  <c r="AB8" i="117"/>
  <c r="Y15" i="4" s="1"/>
  <c r="AB9" i="117"/>
  <c r="Y16" i="4" s="1"/>
  <c r="AB10" i="117"/>
  <c r="Y17" i="4" s="1"/>
  <c r="AB11" i="117"/>
  <c r="Y18" i="4" s="1"/>
  <c r="AB12" i="117"/>
  <c r="Y19" i="4" s="1"/>
  <c r="AB13" i="117"/>
  <c r="Y20" i="4" s="1"/>
  <c r="AB14" i="117"/>
  <c r="Y21" i="4" s="1"/>
  <c r="R21" i="4" s="1"/>
  <c r="AB15" i="117"/>
  <c r="Y22" i="4" s="1"/>
  <c r="AB16" i="117"/>
  <c r="AB17" i="117"/>
  <c r="Y26" i="4" s="1"/>
  <c r="AB18" i="117"/>
  <c r="Y27" i="4" s="1"/>
  <c r="AB19" i="117"/>
  <c r="AB20" i="117"/>
  <c r="Y29" i="4" s="1"/>
  <c r="R29" i="4" s="1"/>
  <c r="AB21" i="117"/>
  <c r="Y30" i="4" s="1"/>
  <c r="R30" i="4" s="1"/>
  <c r="AB22" i="117"/>
  <c r="AB23" i="117"/>
  <c r="Y33" i="4" s="1"/>
  <c r="AB24" i="117"/>
  <c r="Y35" i="4" s="1"/>
  <c r="AB25" i="117"/>
  <c r="AB26" i="117"/>
  <c r="Y39" i="4" s="1"/>
  <c r="AB27" i="117"/>
  <c r="AB28" i="117"/>
  <c r="AB29" i="117"/>
  <c r="Y43" i="4" s="1"/>
  <c r="AB30" i="117"/>
  <c r="Y44" i="4" s="1"/>
  <c r="AB31" i="117"/>
  <c r="Y45" i="4" s="1"/>
  <c r="AB32" i="117"/>
  <c r="Y46" i="4" s="1"/>
  <c r="AB33" i="117"/>
  <c r="Y47" i="4" s="1"/>
  <c r="AB34" i="117"/>
  <c r="Y48" i="4" s="1"/>
  <c r="AB35" i="117"/>
  <c r="Y49" i="4" s="1"/>
  <c r="AB36" i="117"/>
  <c r="Y50" i="4" s="1"/>
  <c r="AB37" i="117"/>
  <c r="Y51" i="4" s="1"/>
  <c r="AB38" i="117"/>
  <c r="Y52" i="4" s="1"/>
  <c r="AB39" i="117"/>
  <c r="Y53" i="4" s="1"/>
  <c r="AB40" i="117"/>
  <c r="AB41" i="117"/>
  <c r="Y57" i="4" s="1"/>
  <c r="AB42" i="117"/>
  <c r="Y58" i="4" s="1"/>
  <c r="AB43" i="117"/>
  <c r="AB44" i="117"/>
  <c r="Y60" i="4" s="1"/>
  <c r="AB45" i="117"/>
  <c r="Y61" i="4" s="1"/>
  <c r="AB46" i="117"/>
  <c r="AB47" i="117"/>
  <c r="Y64" i="4" s="1"/>
  <c r="AB48" i="117"/>
  <c r="Y65" i="4" s="1"/>
  <c r="AB49" i="117"/>
  <c r="Y66" i="4" s="1"/>
  <c r="AB50" i="117"/>
  <c r="AB51" i="117"/>
  <c r="Y70" i="4" s="1"/>
  <c r="AB52" i="117"/>
  <c r="AB53" i="117"/>
  <c r="AB54" i="117"/>
  <c r="Y74" i="4" s="1"/>
  <c r="AB55" i="117"/>
  <c r="Y75" i="4" s="1"/>
  <c r="AB56" i="117"/>
  <c r="Y76" i="4" s="1"/>
  <c r="AB57" i="117"/>
  <c r="AB58" i="117"/>
  <c r="AB59" i="117"/>
  <c r="Y86" i="4" s="1"/>
  <c r="AB60" i="117"/>
  <c r="Y87" i="4" s="1"/>
  <c r="AB61" i="117"/>
  <c r="Y89" i="4" s="1"/>
  <c r="AB62" i="117"/>
  <c r="Y90" i="4" s="1"/>
  <c r="AB63" i="117"/>
  <c r="AB64" i="117"/>
  <c r="Y94" i="4" s="1"/>
  <c r="AB65" i="117"/>
  <c r="AB66" i="117"/>
  <c r="Y97" i="4" s="1"/>
  <c r="AB67" i="117"/>
  <c r="AB68" i="117"/>
  <c r="Y99" i="4" s="1"/>
  <c r="AB69" i="117"/>
  <c r="Y100" i="4" s="1"/>
  <c r="AB70" i="117"/>
  <c r="Y101" i="4" s="1"/>
  <c r="AB71" i="117"/>
  <c r="Y102" i="4" s="1"/>
  <c r="AB72" i="117"/>
  <c r="Y103" i="4" s="1"/>
  <c r="AB73" i="117"/>
  <c r="Y104" i="4" s="1"/>
  <c r="AB74" i="117"/>
  <c r="Y105" i="4" s="1"/>
  <c r="AB75" i="117"/>
  <c r="Y106" i="4" s="1"/>
  <c r="AB76" i="117"/>
  <c r="AB77" i="117"/>
  <c r="Y108" i="4" s="1"/>
  <c r="AB78" i="117"/>
  <c r="Y109" i="4" s="1"/>
  <c r="AB79" i="117"/>
  <c r="AB80" i="117"/>
  <c r="AB81" i="117"/>
  <c r="AB82" i="117"/>
  <c r="Y116" i="4" s="1"/>
  <c r="AB83" i="117"/>
  <c r="AB84" i="117"/>
  <c r="AB85" i="117"/>
  <c r="Y119" i="4" s="1"/>
  <c r="AB86" i="117"/>
  <c r="Y121" i="4" s="1"/>
  <c r="AB87" i="117"/>
  <c r="Y122" i="4" s="1"/>
  <c r="AB88" i="117"/>
  <c r="Y123" i="4" s="1"/>
  <c r="AB89" i="117"/>
  <c r="Y124" i="4" s="1"/>
  <c r="AB90" i="117"/>
  <c r="AB91" i="117"/>
  <c r="Y126" i="4" s="1"/>
  <c r="AB92" i="117"/>
  <c r="Y127" i="4" s="1"/>
  <c r="AB93" i="117"/>
  <c r="Y128" i="4" s="1"/>
  <c r="AB94" i="117"/>
  <c r="Y129" i="4" s="1"/>
  <c r="AB95" i="117"/>
  <c r="AB96" i="117"/>
  <c r="Y131" i="4" s="1"/>
  <c r="AB97" i="117"/>
  <c r="AB98" i="117"/>
  <c r="Y134" i="4" s="1"/>
  <c r="AB99" i="117"/>
  <c r="Y135" i="4" s="1"/>
  <c r="AB100" i="117"/>
  <c r="Y136" i="4" s="1"/>
  <c r="AB101" i="117"/>
  <c r="AB102" i="117"/>
  <c r="Y139" i="4" s="1"/>
  <c r="AB103" i="117"/>
  <c r="AB104" i="117"/>
  <c r="AB105" i="117"/>
  <c r="Y159" i="4" s="1"/>
  <c r="AB106" i="117"/>
  <c r="Y161" i="4" s="1"/>
  <c r="AB107" i="117"/>
  <c r="AB108" i="117"/>
  <c r="AB109" i="117"/>
  <c r="AB110" i="117"/>
  <c r="AB111" i="117"/>
  <c r="Y180" i="4" s="1"/>
  <c r="AB112" i="117"/>
  <c r="AB113" i="117"/>
  <c r="AB114" i="117"/>
  <c r="Y183" i="4" s="1"/>
  <c r="AB115" i="117"/>
  <c r="Y184" i="4" s="1"/>
  <c r="AB116" i="117"/>
  <c r="AB117" i="117"/>
  <c r="AB118" i="117"/>
  <c r="Y186" i="4" s="1"/>
  <c r="AB3" i="117"/>
  <c r="AS4" i="116"/>
  <c r="X16" i="35" s="1"/>
  <c r="Q16" i="35" s="1"/>
  <c r="AS5" i="116"/>
  <c r="X22" i="35" s="1"/>
  <c r="Q22" i="35" s="1"/>
  <c r="AS6" i="116"/>
  <c r="X23" i="35" s="1"/>
  <c r="AS7" i="116"/>
  <c r="X25" i="35" s="1"/>
  <c r="AS8" i="116"/>
  <c r="X21" i="35" s="1"/>
  <c r="AS9" i="116"/>
  <c r="X27" i="35" s="1"/>
  <c r="Q27" i="35" s="1"/>
  <c r="AS10" i="116"/>
  <c r="X33" i="35" s="1"/>
  <c r="AS11" i="116"/>
  <c r="X35" i="35" s="1"/>
  <c r="AS12" i="116"/>
  <c r="X43" i="35" s="1"/>
  <c r="Q43" i="35" s="1"/>
  <c r="AS13" i="116"/>
  <c r="X44" i="35" s="1"/>
  <c r="AS14" i="116"/>
  <c r="X46" i="35" s="1"/>
  <c r="Q46" i="35" s="1"/>
  <c r="AS3" i="116"/>
  <c r="X15" i="35" s="1"/>
  <c r="Q15" i="35" s="1"/>
  <c r="AI4" i="116"/>
  <c r="AI5" i="116"/>
  <c r="AI6" i="116"/>
  <c r="AI7" i="116"/>
  <c r="AI8" i="116"/>
  <c r="AI9" i="116"/>
  <c r="AI10" i="116"/>
  <c r="AI11" i="116"/>
  <c r="AI12" i="116"/>
  <c r="AI13" i="116"/>
  <c r="AI14" i="116"/>
  <c r="AI15" i="116"/>
  <c r="AI16" i="116"/>
  <c r="AI17" i="116"/>
  <c r="AI18" i="116"/>
  <c r="AI19" i="116"/>
  <c r="AI20" i="116"/>
  <c r="AI21" i="116"/>
  <c r="AI22" i="116"/>
  <c r="AI23" i="116"/>
  <c r="AI24" i="116"/>
  <c r="AI25" i="116"/>
  <c r="AI26" i="116"/>
  <c r="AI27" i="116"/>
  <c r="AI28" i="116"/>
  <c r="AI29" i="116"/>
  <c r="AI30" i="116"/>
  <c r="AI31" i="116"/>
  <c r="AI32" i="116"/>
  <c r="AI33" i="116"/>
  <c r="AI34" i="116"/>
  <c r="AI35" i="116"/>
  <c r="AI36" i="116"/>
  <c r="AI37" i="116"/>
  <c r="AI38" i="116"/>
  <c r="AI39" i="116"/>
  <c r="AI40" i="116"/>
  <c r="AI41" i="116"/>
  <c r="AI42" i="116"/>
  <c r="AI43" i="116"/>
  <c r="AI44" i="116"/>
  <c r="AI45" i="116"/>
  <c r="AI46" i="116"/>
  <c r="AI47" i="116"/>
  <c r="AI48" i="116"/>
  <c r="AR5" i="115"/>
  <c r="AR6" i="115"/>
  <c r="AR7" i="115"/>
  <c r="AR8" i="115"/>
  <c r="AR9" i="115"/>
  <c r="AR10" i="115"/>
  <c r="AR11" i="115"/>
  <c r="AR12" i="115"/>
  <c r="AR13" i="115"/>
  <c r="AR14" i="115"/>
  <c r="AR15" i="115"/>
  <c r="AR16" i="115"/>
  <c r="AR17" i="115"/>
  <c r="AR18" i="115"/>
  <c r="AR19" i="115"/>
  <c r="AR20" i="115"/>
  <c r="AR21" i="115"/>
  <c r="AR22" i="115"/>
  <c r="AR23" i="115"/>
  <c r="AR24" i="115"/>
  <c r="AR25" i="115"/>
  <c r="AR26" i="115"/>
  <c r="AR27" i="115"/>
  <c r="AR28" i="115"/>
  <c r="AR29" i="115"/>
  <c r="AR30" i="115"/>
  <c r="AR31" i="115"/>
  <c r="AR32" i="115"/>
  <c r="AR33" i="115"/>
  <c r="AR34" i="115"/>
  <c r="AR35" i="115"/>
  <c r="AR36" i="115"/>
  <c r="AR37" i="115"/>
  <c r="AR38" i="115"/>
  <c r="AR39" i="115"/>
  <c r="AR40" i="115"/>
  <c r="AR41" i="115"/>
  <c r="AR42" i="115"/>
  <c r="AR43" i="115"/>
  <c r="AR44" i="115"/>
  <c r="AR45" i="115"/>
  <c r="AR46" i="115"/>
  <c r="AR47" i="115"/>
  <c r="AR48" i="115"/>
  <c r="AR3" i="115"/>
  <c r="AI4" i="115"/>
  <c r="AI5" i="115"/>
  <c r="X20" i="37" s="1"/>
  <c r="Q20" i="37" s="1"/>
  <c r="AI6" i="115"/>
  <c r="X18" i="37" s="1"/>
  <c r="AI7" i="115"/>
  <c r="X17" i="37" s="1"/>
  <c r="Q17" i="37" s="1"/>
  <c r="AI8" i="115"/>
  <c r="X21" i="37" s="1"/>
  <c r="AI9" i="115"/>
  <c r="X19" i="37" s="1"/>
  <c r="AI10" i="115"/>
  <c r="X52" i="37" s="1"/>
  <c r="Q52" i="37" s="1"/>
  <c r="AI11" i="115"/>
  <c r="X40" i="37" s="1"/>
  <c r="X38" i="37" s="1"/>
  <c r="AI12" i="115"/>
  <c r="X44" i="37" s="1"/>
  <c r="AI13" i="115"/>
  <c r="X46" i="37" s="1"/>
  <c r="AI14" i="115"/>
  <c r="X47" i="37" s="1"/>
  <c r="AI15" i="115"/>
  <c r="X48" i="37" s="1"/>
  <c r="AI16" i="115"/>
  <c r="X49" i="37" s="1"/>
  <c r="AI3" i="115"/>
  <c r="W4" i="114"/>
  <c r="W5" i="114"/>
  <c r="Q10" i="4" l="1"/>
  <c r="AI49" i="116"/>
  <c r="W6" i="114"/>
  <c r="R52" i="37"/>
  <c r="R17" i="37"/>
  <c r="R20" i="37"/>
  <c r="Q14" i="35"/>
  <c r="M168" i="39"/>
  <c r="N173" i="39"/>
  <c r="O173" i="39" s="1"/>
  <c r="K173" i="39"/>
  <c r="N168" i="39"/>
  <c r="O168" i="39" s="1"/>
  <c r="K168" i="39"/>
  <c r="M142" i="39"/>
  <c r="O142" i="39"/>
  <c r="X43" i="37"/>
  <c r="X37" i="37" s="1"/>
  <c r="X33" i="37" s="1"/>
  <c r="N289" i="39"/>
  <c r="AT3" i="115"/>
  <c r="X26" i="35"/>
  <c r="AJ3" i="115"/>
  <c r="X15" i="37" s="1"/>
  <c r="Y179" i="4"/>
  <c r="X14" i="35"/>
  <c r="X30" i="35"/>
  <c r="L87" i="39"/>
  <c r="N87" i="39"/>
  <c r="L132" i="39"/>
  <c r="M132" i="39" s="1"/>
  <c r="N132" i="39"/>
  <c r="O132" i="39" s="1"/>
  <c r="I87" i="39"/>
  <c r="X42" i="35"/>
  <c r="X41" i="35" s="1"/>
  <c r="X40" i="35" s="1"/>
  <c r="X20" i="35"/>
  <c r="Y182" i="4"/>
  <c r="X16" i="37"/>
  <c r="M87" i="39" l="1"/>
  <c r="O87" i="39"/>
  <c r="Y174" i="4"/>
  <c r="Y168" i="4" s="1"/>
  <c r="Y162" i="4" s="1"/>
  <c r="Y155" i="4" s="1"/>
  <c r="Y146" i="4" s="1"/>
  <c r="Y138" i="4" s="1"/>
  <c r="Y133" i="4" s="1"/>
  <c r="Y130" i="4" s="1"/>
  <c r="Y125" i="4" s="1"/>
  <c r="Y118" i="4" s="1"/>
  <c r="Y115" i="4" s="1"/>
  <c r="Y107" i="4" s="1"/>
  <c r="Y98" i="4" s="1"/>
  <c r="Y85" i="4" s="1"/>
  <c r="Y79" i="4" s="1"/>
  <c r="Y78" i="4" s="1"/>
  <c r="Y73" i="4" s="1"/>
  <c r="Y72" i="4" s="1"/>
  <c r="Y68" i="4" s="1"/>
  <c r="Y63" i="4" s="1"/>
  <c r="Y59" i="4" s="1"/>
  <c r="Y56" i="4" s="1"/>
  <c r="Y42" i="4" s="1"/>
  <c r="Y41" i="4" s="1"/>
  <c r="Y37" i="4" s="1"/>
  <c r="Y32" i="4" s="1"/>
  <c r="Y28" i="4" s="1"/>
  <c r="X14" i="37"/>
  <c r="X12" i="37" s="1"/>
  <c r="N256" i="39"/>
  <c r="O256" i="39" s="1"/>
  <c r="O250" i="39"/>
  <c r="O249" i="39"/>
  <c r="O247" i="39"/>
  <c r="O248" i="39"/>
  <c r="X13" i="35"/>
  <c r="X10" i="35" s="1"/>
  <c r="X9" i="35" s="1"/>
  <c r="J39" i="35" l="1"/>
  <c r="K39" i="35" s="1"/>
  <c r="Y25" i="4"/>
  <c r="Y12" i="4" s="1"/>
  <c r="Y11" i="4" s="1"/>
  <c r="Y10" i="4" s="1"/>
  <c r="Y9" i="4" s="1"/>
  <c r="O246" i="39"/>
  <c r="N244" i="39"/>
  <c r="N10" i="4"/>
  <c r="P10" i="4"/>
  <c r="O244" i="39" l="1"/>
  <c r="Q276" i="39"/>
  <c r="F270" i="39"/>
  <c r="F269" i="39"/>
  <c r="I261" i="39"/>
  <c r="J261" i="39"/>
  <c r="I262" i="39"/>
  <c r="J262" i="39"/>
  <c r="I263" i="39"/>
  <c r="J263" i="39"/>
  <c r="I264" i="39"/>
  <c r="J264" i="39"/>
  <c r="H262" i="39"/>
  <c r="H263" i="39"/>
  <c r="H264" i="39"/>
  <c r="H261" i="39"/>
  <c r="I260" i="39"/>
  <c r="M260" i="39" s="1"/>
  <c r="J260" i="39"/>
  <c r="H260" i="39"/>
  <c r="I255" i="39"/>
  <c r="H255" i="39"/>
  <c r="I254" i="39"/>
  <c r="H254" i="39"/>
  <c r="I252" i="39"/>
  <c r="H252" i="39"/>
  <c r="F261" i="39"/>
  <c r="F262" i="39"/>
  <c r="F263" i="39"/>
  <c r="F264" i="39"/>
  <c r="F265" i="39"/>
  <c r="F266" i="39"/>
  <c r="F267" i="39"/>
  <c r="F268" i="39"/>
  <c r="F271" i="39"/>
  <c r="F272" i="39"/>
  <c r="F273" i="39"/>
  <c r="F274" i="39"/>
  <c r="F275" i="39"/>
  <c r="F276" i="39"/>
  <c r="F260" i="39"/>
  <c r="F251" i="39"/>
  <c r="F252" i="39"/>
  <c r="F253" i="39"/>
  <c r="F254" i="39"/>
  <c r="F255" i="39"/>
  <c r="F257" i="39"/>
  <c r="F258" i="39"/>
  <c r="F238" i="39"/>
  <c r="F235" i="39"/>
  <c r="F233" i="39"/>
  <c r="F234" i="39"/>
  <c r="H157" i="39"/>
  <c r="I157" i="39"/>
  <c r="M157" i="39" s="1"/>
  <c r="J157" i="39"/>
  <c r="H158" i="39"/>
  <c r="I158" i="39"/>
  <c r="M158" i="39" s="1"/>
  <c r="J158" i="39"/>
  <c r="H160" i="39"/>
  <c r="I160" i="39"/>
  <c r="J160" i="39"/>
  <c r="H161" i="39"/>
  <c r="I161" i="39"/>
  <c r="J161" i="39"/>
  <c r="H162" i="39"/>
  <c r="H163" i="39"/>
  <c r="I163" i="39"/>
  <c r="J163" i="39"/>
  <c r="H164" i="39"/>
  <c r="I164" i="39"/>
  <c r="J164" i="39"/>
  <c r="I166" i="39"/>
  <c r="J166" i="39"/>
  <c r="H167" i="39"/>
  <c r="I167" i="39"/>
  <c r="M167" i="39" s="1"/>
  <c r="J167" i="39"/>
  <c r="H169" i="39"/>
  <c r="H170" i="39"/>
  <c r="H171" i="39"/>
  <c r="I171" i="39"/>
  <c r="M171" i="39" s="1"/>
  <c r="J171" i="39"/>
  <c r="H172" i="39"/>
  <c r="I172" i="39"/>
  <c r="M172" i="39" s="1"/>
  <c r="J172" i="39"/>
  <c r="H175" i="39"/>
  <c r="I175" i="39"/>
  <c r="M175" i="39" s="1"/>
  <c r="J175" i="39"/>
  <c r="I156" i="39"/>
  <c r="J156" i="39"/>
  <c r="H156" i="39"/>
  <c r="K11" i="54"/>
  <c r="V4" i="117"/>
  <c r="V5" i="117"/>
  <c r="V6" i="117"/>
  <c r="V7" i="117"/>
  <c r="V8" i="117"/>
  <c r="V9" i="117"/>
  <c r="V10" i="117"/>
  <c r="V11" i="117"/>
  <c r="V12" i="117"/>
  <c r="V13" i="117"/>
  <c r="V14" i="117"/>
  <c r="V15" i="117"/>
  <c r="V16" i="117"/>
  <c r="V17" i="117"/>
  <c r="V18" i="117"/>
  <c r="V19" i="117"/>
  <c r="V20" i="117"/>
  <c r="V21" i="117"/>
  <c r="V22" i="117"/>
  <c r="V23" i="117"/>
  <c r="V24" i="117"/>
  <c r="V25" i="117"/>
  <c r="V26" i="117"/>
  <c r="V27" i="117"/>
  <c r="V28" i="117"/>
  <c r="V29" i="117"/>
  <c r="V30" i="117"/>
  <c r="V31" i="117"/>
  <c r="V32" i="117"/>
  <c r="V33" i="117"/>
  <c r="V34" i="117"/>
  <c r="V35" i="117"/>
  <c r="V36" i="117"/>
  <c r="V37" i="117"/>
  <c r="V38" i="117"/>
  <c r="V39" i="117"/>
  <c r="V40" i="117"/>
  <c r="V41" i="117"/>
  <c r="V42" i="117"/>
  <c r="V43" i="117"/>
  <c r="V44" i="117"/>
  <c r="V45" i="117"/>
  <c r="V46" i="117"/>
  <c r="V47" i="117"/>
  <c r="V48" i="117"/>
  <c r="V49" i="117"/>
  <c r="V50" i="117"/>
  <c r="V51" i="117"/>
  <c r="V52" i="117"/>
  <c r="V53" i="117"/>
  <c r="V54" i="117"/>
  <c r="V55" i="117"/>
  <c r="V56" i="117"/>
  <c r="V57" i="117"/>
  <c r="V58" i="117"/>
  <c r="V59" i="117"/>
  <c r="V60" i="117"/>
  <c r="V61" i="117"/>
  <c r="V62" i="117"/>
  <c r="V63" i="117"/>
  <c r="V64" i="117"/>
  <c r="V65" i="117"/>
  <c r="V66" i="117"/>
  <c r="V67" i="117"/>
  <c r="V68" i="117"/>
  <c r="V69" i="117"/>
  <c r="V70" i="117"/>
  <c r="V71" i="117"/>
  <c r="V72" i="117"/>
  <c r="V73" i="117"/>
  <c r="V74" i="117"/>
  <c r="V75" i="117"/>
  <c r="V76" i="117"/>
  <c r="V77" i="117"/>
  <c r="V78" i="117"/>
  <c r="V79" i="117"/>
  <c r="V80" i="117"/>
  <c r="V81" i="117"/>
  <c r="V82" i="117"/>
  <c r="V83" i="117"/>
  <c r="V84" i="117"/>
  <c r="V85" i="117"/>
  <c r="V86" i="117"/>
  <c r="V87" i="117"/>
  <c r="V88" i="117"/>
  <c r="V89" i="117"/>
  <c r="V90" i="117"/>
  <c r="V91" i="117"/>
  <c r="V92" i="117"/>
  <c r="V93" i="117"/>
  <c r="V94" i="117"/>
  <c r="V95" i="117"/>
  <c r="V96" i="117"/>
  <c r="V97" i="117"/>
  <c r="V98" i="117"/>
  <c r="V99" i="117"/>
  <c r="V100" i="117"/>
  <c r="V101" i="117"/>
  <c r="V102" i="117"/>
  <c r="V103" i="117"/>
  <c r="V104" i="117"/>
  <c r="V105" i="117"/>
  <c r="V106" i="117"/>
  <c r="V107" i="117"/>
  <c r="V108" i="117"/>
  <c r="V109" i="117"/>
  <c r="V110" i="117"/>
  <c r="V111" i="117"/>
  <c r="V112" i="117"/>
  <c r="V113" i="117"/>
  <c r="V114" i="117"/>
  <c r="V115" i="117"/>
  <c r="V116" i="117"/>
  <c r="V117" i="117"/>
  <c r="V118" i="117"/>
  <c r="V119" i="117"/>
  <c r="V120" i="117"/>
  <c r="V121" i="117"/>
  <c r="V122" i="117"/>
  <c r="V123" i="117"/>
  <c r="V124" i="117"/>
  <c r="V125" i="117"/>
  <c r="V126" i="117"/>
  <c r="V127" i="117"/>
  <c r="V128" i="117"/>
  <c r="V129" i="117"/>
  <c r="V130" i="117"/>
  <c r="V131" i="117"/>
  <c r="V132" i="117"/>
  <c r="U4" i="117"/>
  <c r="U5" i="117"/>
  <c r="U6" i="117"/>
  <c r="U7" i="117"/>
  <c r="U8" i="117"/>
  <c r="U9" i="117"/>
  <c r="U10" i="117"/>
  <c r="U11" i="117"/>
  <c r="U12" i="117"/>
  <c r="U13" i="117"/>
  <c r="U14" i="117"/>
  <c r="S21" i="4" s="1"/>
  <c r="U15" i="117"/>
  <c r="U16" i="117"/>
  <c r="U17" i="117"/>
  <c r="U18" i="117"/>
  <c r="U19" i="117"/>
  <c r="U20" i="117"/>
  <c r="S29" i="4" s="1"/>
  <c r="U21" i="117"/>
  <c r="S30" i="4" s="1"/>
  <c r="U22" i="117"/>
  <c r="U23" i="117"/>
  <c r="U24" i="117"/>
  <c r="U25" i="117"/>
  <c r="U26" i="117"/>
  <c r="U27" i="117"/>
  <c r="U28" i="117"/>
  <c r="U29" i="117"/>
  <c r="U30" i="117"/>
  <c r="U31" i="117"/>
  <c r="U32" i="117"/>
  <c r="U33" i="117"/>
  <c r="U34" i="117"/>
  <c r="U35" i="117"/>
  <c r="U36" i="117"/>
  <c r="U37" i="117"/>
  <c r="U38" i="117"/>
  <c r="U39" i="117"/>
  <c r="U40" i="117"/>
  <c r="U41" i="117"/>
  <c r="U42" i="117"/>
  <c r="U43" i="117"/>
  <c r="U44" i="117"/>
  <c r="U45" i="117"/>
  <c r="U46" i="117"/>
  <c r="U47" i="117"/>
  <c r="U48" i="117"/>
  <c r="U49" i="117"/>
  <c r="U50" i="117"/>
  <c r="U51" i="117"/>
  <c r="U52" i="117"/>
  <c r="U53" i="117"/>
  <c r="U54" i="117"/>
  <c r="U55" i="117"/>
  <c r="U56" i="117"/>
  <c r="U57" i="117"/>
  <c r="U58" i="117"/>
  <c r="U59" i="117"/>
  <c r="U60" i="117"/>
  <c r="U61" i="117"/>
  <c r="U62" i="117"/>
  <c r="U63" i="117"/>
  <c r="U64" i="117"/>
  <c r="U65" i="117"/>
  <c r="U66" i="117"/>
  <c r="U67" i="117"/>
  <c r="U68" i="117"/>
  <c r="U69" i="117"/>
  <c r="U70" i="117"/>
  <c r="P91" i="39" s="1"/>
  <c r="U71" i="117"/>
  <c r="P92" i="39" s="1"/>
  <c r="U72" i="117"/>
  <c r="U73" i="117"/>
  <c r="U74" i="117"/>
  <c r="U75" i="117"/>
  <c r="U76" i="117"/>
  <c r="U77" i="117"/>
  <c r="U78" i="117"/>
  <c r="U79" i="117"/>
  <c r="U80" i="117"/>
  <c r="U81" i="117"/>
  <c r="U82" i="117"/>
  <c r="U83" i="117"/>
  <c r="U84" i="117"/>
  <c r="U85" i="117"/>
  <c r="U86" i="117"/>
  <c r="U87" i="117"/>
  <c r="U88" i="117"/>
  <c r="P112" i="39" s="1"/>
  <c r="U89" i="117"/>
  <c r="U90" i="117"/>
  <c r="U91" i="117"/>
  <c r="U92" i="117"/>
  <c r="U93" i="117"/>
  <c r="U94" i="117"/>
  <c r="U95" i="117"/>
  <c r="U96" i="117"/>
  <c r="U97" i="117"/>
  <c r="U98" i="117"/>
  <c r="U99" i="117"/>
  <c r="U100" i="117"/>
  <c r="U101" i="117"/>
  <c r="U102" i="117"/>
  <c r="U103" i="117"/>
  <c r="U104" i="117"/>
  <c r="U105" i="117"/>
  <c r="U106" i="117"/>
  <c r="U107" i="117"/>
  <c r="U108" i="117"/>
  <c r="U109" i="117"/>
  <c r="U110" i="117"/>
  <c r="U111" i="117"/>
  <c r="U112" i="117"/>
  <c r="U113" i="117"/>
  <c r="U114" i="117"/>
  <c r="U115" i="117"/>
  <c r="U116" i="117"/>
  <c r="U117" i="117"/>
  <c r="U118" i="117"/>
  <c r="U119" i="117"/>
  <c r="U120" i="117"/>
  <c r="U121" i="117"/>
  <c r="U122" i="117"/>
  <c r="U123" i="117"/>
  <c r="U124" i="117"/>
  <c r="U125" i="117"/>
  <c r="U126" i="117"/>
  <c r="U127" i="117"/>
  <c r="U128" i="117"/>
  <c r="U129" i="117"/>
  <c r="U130" i="117"/>
  <c r="U131" i="117"/>
  <c r="U132" i="117"/>
  <c r="V3" i="117"/>
  <c r="U3" i="117"/>
  <c r="M4" i="117"/>
  <c r="M5" i="117"/>
  <c r="M6" i="117"/>
  <c r="W13" i="4" s="1"/>
  <c r="M7" i="117"/>
  <c r="W14" i="4" s="1"/>
  <c r="M8" i="117"/>
  <c r="W15" i="4" s="1"/>
  <c r="M9" i="117"/>
  <c r="W16" i="4" s="1"/>
  <c r="M10" i="117"/>
  <c r="W17" i="4" s="1"/>
  <c r="M11" i="117"/>
  <c r="W18" i="4" s="1"/>
  <c r="M12" i="117"/>
  <c r="W19" i="4" s="1"/>
  <c r="M13" i="117"/>
  <c r="W20" i="4" s="1"/>
  <c r="M14" i="117"/>
  <c r="W22" i="4" s="1"/>
  <c r="M15" i="117"/>
  <c r="M16" i="117"/>
  <c r="W26" i="4" s="1"/>
  <c r="R26" i="4" s="1"/>
  <c r="M17" i="117"/>
  <c r="W27" i="4" s="1"/>
  <c r="M18" i="117"/>
  <c r="M19" i="117"/>
  <c r="W33" i="4" s="1"/>
  <c r="M20" i="117"/>
  <c r="W35" i="4" s="1"/>
  <c r="M21" i="117"/>
  <c r="M22" i="117"/>
  <c r="M23" i="117"/>
  <c r="W43" i="4" s="1"/>
  <c r="M24" i="117"/>
  <c r="W44" i="4" s="1"/>
  <c r="M25" i="117"/>
  <c r="W45" i="4" s="1"/>
  <c r="M26" i="117"/>
  <c r="W46" i="4" s="1"/>
  <c r="M27" i="117"/>
  <c r="W47" i="4" s="1"/>
  <c r="M28" i="117"/>
  <c r="W48" i="4" s="1"/>
  <c r="M29" i="117"/>
  <c r="W49" i="4" s="1"/>
  <c r="M30" i="117"/>
  <c r="W50" i="4" s="1"/>
  <c r="M31" i="117"/>
  <c r="M32" i="117"/>
  <c r="W53" i="4" s="1"/>
  <c r="M33" i="117"/>
  <c r="M34" i="117"/>
  <c r="W57" i="4" s="1"/>
  <c r="M35" i="117"/>
  <c r="W58" i="4" s="1"/>
  <c r="M36" i="117"/>
  <c r="M37" i="117"/>
  <c r="M38" i="117"/>
  <c r="M39" i="117"/>
  <c r="W64" i="4" s="1"/>
  <c r="M40" i="117"/>
  <c r="W65" i="4" s="1"/>
  <c r="M41" i="117"/>
  <c r="W66" i="4" s="1"/>
  <c r="M42" i="117"/>
  <c r="M43" i="117"/>
  <c r="M44" i="117"/>
  <c r="W74" i="4" s="1"/>
  <c r="M45" i="117"/>
  <c r="W75" i="4" s="1"/>
  <c r="M46" i="117"/>
  <c r="W76" i="4" s="1"/>
  <c r="M47" i="117"/>
  <c r="M48" i="117"/>
  <c r="M49" i="117"/>
  <c r="M50" i="117"/>
  <c r="W89" i="4" s="1"/>
  <c r="M51" i="117"/>
  <c r="W90" i="4" s="1"/>
  <c r="M52" i="117"/>
  <c r="M53" i="117"/>
  <c r="M54" i="117"/>
  <c r="M55" i="117"/>
  <c r="M56" i="117"/>
  <c r="W96" i="4" s="1"/>
  <c r="M57" i="117"/>
  <c r="W97" i="4" s="1"/>
  <c r="M58" i="117"/>
  <c r="M59" i="117"/>
  <c r="W99" i="4" s="1"/>
  <c r="M60" i="117"/>
  <c r="W100" i="4" s="1"/>
  <c r="M61" i="117"/>
  <c r="W101" i="4" s="1"/>
  <c r="M62" i="117"/>
  <c r="W102" i="4" s="1"/>
  <c r="M63" i="117"/>
  <c r="W103" i="4" s="1"/>
  <c r="M64" i="117"/>
  <c r="W104" i="4" s="1"/>
  <c r="M65" i="117"/>
  <c r="W105" i="4" s="1"/>
  <c r="M66" i="117"/>
  <c r="W106" i="4" s="1"/>
  <c r="M67" i="117"/>
  <c r="M68" i="117"/>
  <c r="W109" i="4" s="1"/>
  <c r="M69" i="117"/>
  <c r="W113" i="4" s="1"/>
  <c r="M70" i="117"/>
  <c r="M71" i="117"/>
  <c r="W116" i="4" s="1"/>
  <c r="M72" i="117"/>
  <c r="M73" i="117"/>
  <c r="M74" i="117"/>
  <c r="W119" i="4" s="1"/>
  <c r="M75" i="117"/>
  <c r="W121" i="4" s="1"/>
  <c r="M76" i="117"/>
  <c r="W122" i="4" s="1"/>
  <c r="M77" i="117"/>
  <c r="W123" i="4" s="1"/>
  <c r="M78" i="117"/>
  <c r="W124" i="4" s="1"/>
  <c r="M79" i="117"/>
  <c r="M80" i="117"/>
  <c r="W126" i="4" s="1"/>
  <c r="M81" i="117"/>
  <c r="W127" i="4" s="1"/>
  <c r="M82" i="117"/>
  <c r="W128" i="4" s="1"/>
  <c r="M83" i="117"/>
  <c r="W129" i="4" s="1"/>
  <c r="M84" i="117"/>
  <c r="M85" i="117"/>
  <c r="M86" i="117"/>
  <c r="M87" i="117"/>
  <c r="W136" i="4" s="1"/>
  <c r="M88" i="117"/>
  <c r="M89" i="117"/>
  <c r="W139" i="4" s="1"/>
  <c r="M90" i="117"/>
  <c r="W141" i="4" s="1"/>
  <c r="M91" i="117"/>
  <c r="M92" i="117"/>
  <c r="M93" i="117"/>
  <c r="W159" i="4" s="1"/>
  <c r="M94" i="117"/>
  <c r="M95" i="117"/>
  <c r="M96" i="117"/>
  <c r="M97" i="117"/>
  <c r="M98" i="117"/>
  <c r="M99" i="117"/>
  <c r="W186" i="4" s="1"/>
  <c r="M3" i="117"/>
  <c r="F236" i="39"/>
  <c r="V14" i="35"/>
  <c r="Z4" i="116"/>
  <c r="Z5" i="116"/>
  <c r="Z6" i="116"/>
  <c r="Z7" i="116"/>
  <c r="Z8" i="116"/>
  <c r="Z9" i="116"/>
  <c r="Z10" i="116"/>
  <c r="Z11" i="116"/>
  <c r="Z12" i="116"/>
  <c r="Z13" i="116"/>
  <c r="Z14" i="116"/>
  <c r="Z15" i="116"/>
  <c r="Z16" i="116"/>
  <c r="Z17" i="116"/>
  <c r="Z18" i="116"/>
  <c r="Z19" i="116"/>
  <c r="Z20" i="116"/>
  <c r="Z21" i="116"/>
  <c r="Z22" i="116"/>
  <c r="Z23" i="116"/>
  <c r="Z24" i="116"/>
  <c r="Z25" i="116"/>
  <c r="Z3" i="116"/>
  <c r="Z4" i="115"/>
  <c r="Z5" i="115"/>
  <c r="Z6" i="115"/>
  <c r="Z7" i="115"/>
  <c r="Z8" i="115"/>
  <c r="Z9" i="115"/>
  <c r="Z10" i="115"/>
  <c r="Z11" i="115"/>
  <c r="Z12" i="115"/>
  <c r="Z13" i="115"/>
  <c r="Z14" i="115"/>
  <c r="Z15" i="115"/>
  <c r="Z16" i="115"/>
  <c r="Z17" i="115"/>
  <c r="Z18" i="115"/>
  <c r="Z19" i="115"/>
  <c r="Z20" i="115"/>
  <c r="Z21" i="115"/>
  <c r="Z22" i="115"/>
  <c r="Z23" i="115"/>
  <c r="Z24" i="115"/>
  <c r="Z25" i="115"/>
  <c r="Z26" i="115"/>
  <c r="Z3" i="115"/>
  <c r="P4" i="114"/>
  <c r="P5" i="114"/>
  <c r="P3" i="114"/>
  <c r="Q4" i="116"/>
  <c r="V21" i="35" s="1"/>
  <c r="Q5" i="116"/>
  <c r="V35" i="35" s="1"/>
  <c r="Q35" i="35" s="1"/>
  <c r="Q6" i="116"/>
  <c r="V31" i="35" s="1"/>
  <c r="Q31" i="35" s="1"/>
  <c r="Q7" i="116"/>
  <c r="V44" i="35" s="1"/>
  <c r="V42" i="35" s="1"/>
  <c r="V41" i="35" s="1"/>
  <c r="V40" i="35" s="1"/>
  <c r="Q8" i="116"/>
  <c r="V49" i="35" s="1"/>
  <c r="V48" i="35" s="1"/>
  <c r="Q3" i="116"/>
  <c r="V23" i="35" s="1"/>
  <c r="Q4" i="115"/>
  <c r="Q5" i="115"/>
  <c r="V19" i="37" s="1"/>
  <c r="Q6" i="115"/>
  <c r="V18" i="37" s="1"/>
  <c r="Q7" i="115"/>
  <c r="V21" i="37" s="1"/>
  <c r="Q21" i="37" s="1"/>
  <c r="Q8" i="115"/>
  <c r="V40" i="37" s="1"/>
  <c r="Q9" i="115"/>
  <c r="V41" i="37" s="1"/>
  <c r="Q10" i="115"/>
  <c r="V44" i="37" s="1"/>
  <c r="Q11" i="115"/>
  <c r="V45" i="37" s="1"/>
  <c r="Q45" i="37" s="1"/>
  <c r="Q12" i="115"/>
  <c r="V46" i="37" s="1"/>
  <c r="Q13" i="115"/>
  <c r="V47" i="37" s="1"/>
  <c r="Q47" i="37" s="1"/>
  <c r="Q14" i="115"/>
  <c r="V48" i="37" s="1"/>
  <c r="Q48" i="37" s="1"/>
  <c r="Q15" i="115"/>
  <c r="V49" i="37" s="1"/>
  <c r="Q16" i="115"/>
  <c r="V55" i="37" s="1"/>
  <c r="V54" i="37" s="1"/>
  <c r="Q3" i="115"/>
  <c r="V20" i="35" l="1"/>
  <c r="M156" i="39"/>
  <c r="I154" i="39"/>
  <c r="J154" i="39"/>
  <c r="H154" i="39"/>
  <c r="R21" i="37"/>
  <c r="R48" i="37"/>
  <c r="R47" i="37"/>
  <c r="R45" i="37"/>
  <c r="P197" i="39"/>
  <c r="S26" i="4"/>
  <c r="P13" i="39"/>
  <c r="V38" i="37"/>
  <c r="M166" i="39"/>
  <c r="M164" i="39"/>
  <c r="M160" i="39"/>
  <c r="M163" i="39"/>
  <c r="M161" i="39"/>
  <c r="K261" i="39"/>
  <c r="N172" i="39"/>
  <c r="O172" i="39" s="1"/>
  <c r="K172" i="39"/>
  <c r="N163" i="39"/>
  <c r="O163" i="39" s="1"/>
  <c r="K163" i="39"/>
  <c r="O261" i="39"/>
  <c r="M261" i="39"/>
  <c r="K255" i="39"/>
  <c r="O255" i="39"/>
  <c r="M255" i="39"/>
  <c r="K264" i="39"/>
  <c r="N158" i="39"/>
  <c r="O158" i="39" s="1"/>
  <c r="K158" i="39"/>
  <c r="O264" i="39"/>
  <c r="M264" i="39"/>
  <c r="N167" i="39"/>
  <c r="O167" i="39" s="1"/>
  <c r="K167" i="39"/>
  <c r="N156" i="39"/>
  <c r="K156" i="39"/>
  <c r="N171" i="39"/>
  <c r="O171" i="39" s="1"/>
  <c r="K171" i="39"/>
  <c r="N166" i="39"/>
  <c r="O166" i="39" s="1"/>
  <c r="K166" i="39"/>
  <c r="K260" i="39"/>
  <c r="K263" i="39"/>
  <c r="K254" i="39"/>
  <c r="O254" i="39"/>
  <c r="M254" i="39"/>
  <c r="N161" i="39"/>
  <c r="O161" i="39" s="1"/>
  <c r="K161" i="39"/>
  <c r="O263" i="39"/>
  <c r="M263" i="39"/>
  <c r="N175" i="39"/>
  <c r="O175" i="39" s="1"/>
  <c r="K175" i="39"/>
  <c r="N164" i="39"/>
  <c r="O164" i="39" s="1"/>
  <c r="K164" i="39"/>
  <c r="N157" i="39"/>
  <c r="O157" i="39" s="1"/>
  <c r="K157" i="39"/>
  <c r="K262" i="39"/>
  <c r="N160" i="39"/>
  <c r="O160" i="39" s="1"/>
  <c r="K160" i="39"/>
  <c r="K252" i="39"/>
  <c r="M252" i="39"/>
  <c r="O252" i="39"/>
  <c r="O260" i="39"/>
  <c r="O262" i="39"/>
  <c r="M262" i="39"/>
  <c r="V43" i="37"/>
  <c r="W182" i="4"/>
  <c r="W174" i="4" s="1"/>
  <c r="W162" i="4" s="1"/>
  <c r="W155" i="4" s="1"/>
  <c r="W146" i="4" s="1"/>
  <c r="W138" i="4" s="1"/>
  <c r="W133" i="4" s="1"/>
  <c r="W130" i="4" s="1"/>
  <c r="W125" i="4" s="1"/>
  <c r="W118" i="4" s="1"/>
  <c r="W115" i="4" s="1"/>
  <c r="W107" i="4" s="1"/>
  <c r="W98" i="4" s="1"/>
  <c r="W85" i="4" s="1"/>
  <c r="R3" i="115"/>
  <c r="V30" i="35"/>
  <c r="V16" i="37"/>
  <c r="F4" i="117"/>
  <c r="F5" i="117"/>
  <c r="F6" i="117"/>
  <c r="U13" i="4" s="1"/>
  <c r="R13" i="4" s="1"/>
  <c r="F7" i="117"/>
  <c r="U14" i="4" s="1"/>
  <c r="R14" i="4" s="1"/>
  <c r="F8" i="117"/>
  <c r="U15" i="4" s="1"/>
  <c r="R15" i="4" s="1"/>
  <c r="F9" i="117"/>
  <c r="U16" i="4" s="1"/>
  <c r="R16" i="4" s="1"/>
  <c r="F10" i="117"/>
  <c r="U17" i="4" s="1"/>
  <c r="R17" i="4" s="1"/>
  <c r="F11" i="117"/>
  <c r="U18" i="4" s="1"/>
  <c r="R18" i="4" s="1"/>
  <c r="F12" i="117"/>
  <c r="U19" i="4" s="1"/>
  <c r="R19" i="4" s="1"/>
  <c r="F13" i="117"/>
  <c r="U20" i="4" s="1"/>
  <c r="R20" i="4" s="1"/>
  <c r="F14" i="117"/>
  <c r="F15" i="117"/>
  <c r="U22" i="4" s="1"/>
  <c r="R22" i="4" s="1"/>
  <c r="F16" i="117"/>
  <c r="F17" i="117"/>
  <c r="F18" i="117"/>
  <c r="U27" i="4" s="1"/>
  <c r="R27" i="4" s="1"/>
  <c r="F19" i="117"/>
  <c r="F20" i="117"/>
  <c r="F21" i="117"/>
  <c r="F22" i="117"/>
  <c r="F23" i="117"/>
  <c r="U33" i="4" s="1"/>
  <c r="F24" i="117"/>
  <c r="U34" i="4" s="1"/>
  <c r="F25" i="117"/>
  <c r="U35" i="4" s="1"/>
  <c r="F26" i="117"/>
  <c r="F27" i="117"/>
  <c r="F28" i="117"/>
  <c r="F29" i="117"/>
  <c r="U40" i="4" s="1"/>
  <c r="F30" i="117"/>
  <c r="F31" i="117"/>
  <c r="F32" i="117"/>
  <c r="U43" i="4" s="1"/>
  <c r="F33" i="117"/>
  <c r="U44" i="4" s="1"/>
  <c r="F34" i="117"/>
  <c r="U45" i="4" s="1"/>
  <c r="F35" i="117"/>
  <c r="U46" i="4" s="1"/>
  <c r="F36" i="117"/>
  <c r="U47" i="4" s="1"/>
  <c r="F37" i="117"/>
  <c r="U48" i="4" s="1"/>
  <c r="F38" i="117"/>
  <c r="U49" i="4" s="1"/>
  <c r="F39" i="117"/>
  <c r="U50" i="4" s="1"/>
  <c r="F40" i="117"/>
  <c r="U51" i="4" s="1"/>
  <c r="F41" i="117"/>
  <c r="U52" i="4" s="1"/>
  <c r="F42" i="117"/>
  <c r="U53" i="4" s="1"/>
  <c r="F43" i="117"/>
  <c r="F44" i="117"/>
  <c r="F45" i="117"/>
  <c r="U58" i="4" s="1"/>
  <c r="F46" i="117"/>
  <c r="F47" i="117"/>
  <c r="U60" i="4" s="1"/>
  <c r="F48" i="117"/>
  <c r="F49" i="117"/>
  <c r="F50" i="117"/>
  <c r="U64" i="4" s="1"/>
  <c r="F51" i="117"/>
  <c r="U65" i="4" s="1"/>
  <c r="F52" i="117"/>
  <c r="U66" i="4" s="1"/>
  <c r="F53" i="117"/>
  <c r="F54" i="117"/>
  <c r="F55" i="117"/>
  <c r="F56" i="117"/>
  <c r="U71" i="4" s="1"/>
  <c r="F57" i="117"/>
  <c r="F58" i="117"/>
  <c r="F59" i="117"/>
  <c r="U74" i="4" s="1"/>
  <c r="F60" i="117"/>
  <c r="U75" i="4" s="1"/>
  <c r="F61" i="117"/>
  <c r="U76" i="4" s="1"/>
  <c r="F62" i="117"/>
  <c r="F63" i="117"/>
  <c r="F64" i="117"/>
  <c r="F65" i="117"/>
  <c r="F66" i="117"/>
  <c r="F67" i="117"/>
  <c r="U86" i="4" s="1"/>
  <c r="F68" i="117"/>
  <c r="U89" i="4" s="1"/>
  <c r="F69" i="117"/>
  <c r="U90" i="4" s="1"/>
  <c r="F70" i="117"/>
  <c r="F71" i="117"/>
  <c r="F72" i="117"/>
  <c r="U94" i="4" s="1"/>
  <c r="F73" i="117"/>
  <c r="U95" i="4" s="1"/>
  <c r="F74" i="117"/>
  <c r="F75" i="117"/>
  <c r="U97" i="4" s="1"/>
  <c r="F76" i="117"/>
  <c r="F77" i="117"/>
  <c r="U99" i="4" s="1"/>
  <c r="F78" i="117"/>
  <c r="U100" i="4" s="1"/>
  <c r="F79" i="117"/>
  <c r="U101" i="4" s="1"/>
  <c r="F80" i="117"/>
  <c r="U102" i="4" s="1"/>
  <c r="F81" i="117"/>
  <c r="U103" i="4" s="1"/>
  <c r="F82" i="117"/>
  <c r="U104" i="4" s="1"/>
  <c r="F83" i="117"/>
  <c r="U105" i="4" s="1"/>
  <c r="F84" i="117"/>
  <c r="U106" i="4" s="1"/>
  <c r="F85" i="117"/>
  <c r="F86" i="117"/>
  <c r="F87" i="117"/>
  <c r="F88" i="117"/>
  <c r="F89" i="117"/>
  <c r="F90" i="117"/>
  <c r="U116" i="4" s="1"/>
  <c r="F91" i="117"/>
  <c r="U117" i="4" s="1"/>
  <c r="F92" i="117"/>
  <c r="F93" i="117"/>
  <c r="U119" i="4" s="1"/>
  <c r="F94" i="117"/>
  <c r="U121" i="4" s="1"/>
  <c r="F95" i="117"/>
  <c r="U122" i="4" s="1"/>
  <c r="F96" i="117"/>
  <c r="U123" i="4" s="1"/>
  <c r="F97" i="117"/>
  <c r="F98" i="117"/>
  <c r="F99" i="117"/>
  <c r="U126" i="4" s="1"/>
  <c r="F100" i="117"/>
  <c r="U127" i="4" s="1"/>
  <c r="F101" i="117"/>
  <c r="F102" i="117"/>
  <c r="F103" i="117"/>
  <c r="F104" i="117"/>
  <c r="F105" i="117"/>
  <c r="F106" i="117"/>
  <c r="F107" i="117"/>
  <c r="F108" i="117"/>
  <c r="U136" i="4" s="1"/>
  <c r="F109" i="117"/>
  <c r="F110" i="117"/>
  <c r="F111" i="117"/>
  <c r="U139" i="4" s="1"/>
  <c r="F112" i="117"/>
  <c r="U141" i="4" s="1"/>
  <c r="F113" i="117"/>
  <c r="F114" i="117"/>
  <c r="F115" i="117"/>
  <c r="F116" i="117"/>
  <c r="U159" i="4" s="1"/>
  <c r="F117" i="117"/>
  <c r="F118" i="117"/>
  <c r="F119" i="117"/>
  <c r="F120" i="117"/>
  <c r="F121" i="117"/>
  <c r="F122" i="117"/>
  <c r="F123" i="117"/>
  <c r="F124" i="117"/>
  <c r="U183" i="4" s="1"/>
  <c r="F125" i="117"/>
  <c r="F126" i="117"/>
  <c r="U184" i="4" s="1"/>
  <c r="F127" i="117"/>
  <c r="F128" i="117"/>
  <c r="F129" i="117"/>
  <c r="U185" i="4" s="1"/>
  <c r="F130" i="117"/>
  <c r="F131" i="117"/>
  <c r="U186" i="4" s="1"/>
  <c r="D4" i="117"/>
  <c r="D5" i="117"/>
  <c r="D6" i="117"/>
  <c r="D7" i="117"/>
  <c r="D8" i="117"/>
  <c r="D9" i="117"/>
  <c r="D10" i="117"/>
  <c r="D11" i="117"/>
  <c r="D12" i="117"/>
  <c r="D13" i="117"/>
  <c r="D14" i="117"/>
  <c r="D15" i="117"/>
  <c r="D16" i="117"/>
  <c r="D17" i="117"/>
  <c r="D18" i="117"/>
  <c r="D19" i="117"/>
  <c r="D20" i="117"/>
  <c r="D21" i="117"/>
  <c r="D22" i="117"/>
  <c r="D23" i="117"/>
  <c r="D24" i="117"/>
  <c r="D25" i="117"/>
  <c r="D26" i="117"/>
  <c r="D27" i="117"/>
  <c r="D28" i="117"/>
  <c r="D29" i="117"/>
  <c r="D30" i="117"/>
  <c r="D31" i="117"/>
  <c r="D32" i="117"/>
  <c r="D33" i="117"/>
  <c r="D34" i="117"/>
  <c r="D35" i="117"/>
  <c r="H77" i="39" s="1"/>
  <c r="D36" i="117"/>
  <c r="D37" i="117"/>
  <c r="D38" i="117"/>
  <c r="D39" i="117"/>
  <c r="D40" i="117"/>
  <c r="D41" i="117"/>
  <c r="D42" i="117"/>
  <c r="D43" i="117"/>
  <c r="D44" i="117"/>
  <c r="D45" i="117"/>
  <c r="D46" i="117"/>
  <c r="D47" i="117"/>
  <c r="H87" i="39" s="1"/>
  <c r="D48" i="117"/>
  <c r="D49" i="117"/>
  <c r="D50" i="117"/>
  <c r="D51" i="117"/>
  <c r="D52" i="117"/>
  <c r="D53" i="117"/>
  <c r="D54" i="117"/>
  <c r="D55" i="117"/>
  <c r="D56" i="117"/>
  <c r="D57" i="117"/>
  <c r="D58" i="117"/>
  <c r="D59" i="117"/>
  <c r="D60" i="117"/>
  <c r="D61" i="117"/>
  <c r="D62" i="117"/>
  <c r="D63" i="117"/>
  <c r="D64" i="117"/>
  <c r="D65" i="117"/>
  <c r="D66" i="117"/>
  <c r="D67" i="117"/>
  <c r="D68" i="117"/>
  <c r="D69" i="117"/>
  <c r="D70" i="117"/>
  <c r="D71" i="117"/>
  <c r="D72" i="117"/>
  <c r="D73" i="117"/>
  <c r="D74" i="117"/>
  <c r="D75" i="117"/>
  <c r="D76" i="117"/>
  <c r="D77" i="117"/>
  <c r="D78" i="117"/>
  <c r="D79" i="117"/>
  <c r="D80" i="117"/>
  <c r="D81" i="117"/>
  <c r="D82" i="117"/>
  <c r="D83" i="117"/>
  <c r="D84" i="117"/>
  <c r="D85" i="117"/>
  <c r="D86" i="117"/>
  <c r="D87" i="117"/>
  <c r="D88" i="117"/>
  <c r="D89" i="117"/>
  <c r="D90" i="117"/>
  <c r="D91" i="117"/>
  <c r="D92" i="117"/>
  <c r="D93" i="117"/>
  <c r="H132" i="39" s="1"/>
  <c r="D94" i="117"/>
  <c r="D95" i="117"/>
  <c r="D96" i="117"/>
  <c r="D97" i="117"/>
  <c r="D98" i="117"/>
  <c r="D99" i="117"/>
  <c r="D100" i="117"/>
  <c r="D101" i="117"/>
  <c r="D102" i="117"/>
  <c r="D103" i="117"/>
  <c r="D104" i="117"/>
  <c r="D105" i="117"/>
  <c r="D106" i="117"/>
  <c r="D107" i="117"/>
  <c r="D108" i="117"/>
  <c r="D109" i="117"/>
  <c r="D110" i="117"/>
  <c r="D111" i="117"/>
  <c r="D112" i="117"/>
  <c r="D113" i="117"/>
  <c r="D114" i="117"/>
  <c r="D115" i="117"/>
  <c r="D116" i="117"/>
  <c r="D117" i="117"/>
  <c r="D118" i="117"/>
  <c r="D119" i="117"/>
  <c r="D120" i="117"/>
  <c r="D121" i="117"/>
  <c r="D122" i="117"/>
  <c r="D123" i="117"/>
  <c r="D124" i="117"/>
  <c r="D125" i="117"/>
  <c r="D126" i="117"/>
  <c r="D127" i="117"/>
  <c r="D128" i="117"/>
  <c r="D129" i="117"/>
  <c r="D130" i="117"/>
  <c r="D131" i="117"/>
  <c r="F3" i="117"/>
  <c r="D3" i="117"/>
  <c r="K19" i="35"/>
  <c r="K18" i="35"/>
  <c r="T28" i="35"/>
  <c r="T26" i="35"/>
  <c r="H4" i="116"/>
  <c r="H5" i="116"/>
  <c r="H6" i="116"/>
  <c r="H7" i="116"/>
  <c r="H8" i="116"/>
  <c r="H9" i="116"/>
  <c r="H10" i="116"/>
  <c r="H11" i="116"/>
  <c r="H12" i="116"/>
  <c r="H13" i="116"/>
  <c r="H14" i="116"/>
  <c r="T21" i="35" s="1"/>
  <c r="Q21" i="35" s="1"/>
  <c r="H15" i="116"/>
  <c r="H16" i="116"/>
  <c r="H17" i="116"/>
  <c r="T23" i="35" s="1"/>
  <c r="Q23" i="35" s="1"/>
  <c r="H18" i="116"/>
  <c r="H19" i="116"/>
  <c r="H20" i="116"/>
  <c r="H21" i="116"/>
  <c r="H22" i="116"/>
  <c r="H23" i="116"/>
  <c r="H24" i="116"/>
  <c r="H25" i="116"/>
  <c r="H26" i="116"/>
  <c r="H27" i="116"/>
  <c r="H28" i="116"/>
  <c r="H29" i="116"/>
  <c r="T33" i="35" s="1"/>
  <c r="H30" i="116"/>
  <c r="H31" i="116"/>
  <c r="H32" i="116"/>
  <c r="H33" i="116"/>
  <c r="T44" i="35" s="1"/>
  <c r="H34" i="116"/>
  <c r="H35" i="116"/>
  <c r="H36" i="116"/>
  <c r="H37" i="116"/>
  <c r="H38" i="116"/>
  <c r="H39" i="116"/>
  <c r="T49" i="35" s="1"/>
  <c r="H3" i="116"/>
  <c r="F4" i="116"/>
  <c r="F5" i="116"/>
  <c r="F6" i="116"/>
  <c r="F7" i="116"/>
  <c r="F8" i="116"/>
  <c r="F9" i="116"/>
  <c r="F10" i="116"/>
  <c r="F11" i="116"/>
  <c r="F12" i="116"/>
  <c r="R27" i="35" s="1"/>
  <c r="F13" i="116"/>
  <c r="R29" i="35" s="1"/>
  <c r="F14" i="116"/>
  <c r="R31" i="35" s="1"/>
  <c r="F15" i="116"/>
  <c r="F16" i="116"/>
  <c r="R32" i="35" s="1"/>
  <c r="F17" i="116"/>
  <c r="R35" i="35" s="1"/>
  <c r="F18" i="116"/>
  <c r="F19" i="116"/>
  <c r="F20" i="116"/>
  <c r="F21" i="116"/>
  <c r="F22" i="116"/>
  <c r="F23" i="116"/>
  <c r="F24" i="116"/>
  <c r="F25" i="116"/>
  <c r="F26" i="116"/>
  <c r="F27" i="116"/>
  <c r="F28" i="116"/>
  <c r="F29" i="116"/>
  <c r="F30" i="116"/>
  <c r="F31" i="116"/>
  <c r="F32" i="116"/>
  <c r="F33" i="116"/>
  <c r="F34" i="116"/>
  <c r="F35" i="116"/>
  <c r="F36" i="116"/>
  <c r="F37" i="116"/>
  <c r="F38" i="116"/>
  <c r="F39" i="116"/>
  <c r="F3" i="116"/>
  <c r="H4" i="115"/>
  <c r="H5" i="115"/>
  <c r="H6" i="115"/>
  <c r="H7" i="115"/>
  <c r="H8" i="115"/>
  <c r="H9" i="115"/>
  <c r="H10" i="115"/>
  <c r="H11" i="115"/>
  <c r="H12" i="115"/>
  <c r="H13" i="115"/>
  <c r="H14" i="115"/>
  <c r="H15" i="115"/>
  <c r="T19" i="37" s="1"/>
  <c r="Q19" i="37" s="1"/>
  <c r="H16" i="115"/>
  <c r="H17" i="115"/>
  <c r="T18" i="37" s="1"/>
  <c r="Q18" i="37" s="1"/>
  <c r="H18" i="115"/>
  <c r="H19" i="115"/>
  <c r="H20" i="115"/>
  <c r="H21" i="115"/>
  <c r="H22" i="115"/>
  <c r="H23" i="115"/>
  <c r="H24" i="115"/>
  <c r="H25" i="115"/>
  <c r="H26" i="115"/>
  <c r="T40" i="37" s="1"/>
  <c r="H27" i="115"/>
  <c r="H28" i="115"/>
  <c r="T41" i="37" s="1"/>
  <c r="Q41" i="37" s="1"/>
  <c r="H29" i="115"/>
  <c r="H30" i="115"/>
  <c r="T44" i="37" s="1"/>
  <c r="H31" i="115"/>
  <c r="H32" i="115"/>
  <c r="H33" i="115"/>
  <c r="H34" i="115"/>
  <c r="T46" i="37" s="1"/>
  <c r="Q46" i="37" s="1"/>
  <c r="H35" i="115"/>
  <c r="H36" i="115"/>
  <c r="H37" i="115"/>
  <c r="H38" i="115"/>
  <c r="H39" i="115"/>
  <c r="T49" i="37" s="1"/>
  <c r="Q49" i="37" s="1"/>
  <c r="H40" i="115"/>
  <c r="H41" i="115"/>
  <c r="H42" i="115"/>
  <c r="H43" i="115"/>
  <c r="H3" i="115"/>
  <c r="F4" i="115"/>
  <c r="F5" i="115"/>
  <c r="F6" i="115"/>
  <c r="F7" i="115"/>
  <c r="F8" i="115"/>
  <c r="F9" i="115"/>
  <c r="F10" i="115"/>
  <c r="F11" i="115"/>
  <c r="F12" i="115"/>
  <c r="F13" i="115"/>
  <c r="F14" i="115"/>
  <c r="F15" i="115"/>
  <c r="F16" i="115"/>
  <c r="F17" i="115"/>
  <c r="F18" i="115"/>
  <c r="F19" i="115"/>
  <c r="F20" i="115"/>
  <c r="F21" i="115"/>
  <c r="H208" i="39" s="1"/>
  <c r="F22" i="115"/>
  <c r="F23" i="115"/>
  <c r="F24" i="115"/>
  <c r="F25" i="115"/>
  <c r="F26" i="115"/>
  <c r="F27" i="115"/>
  <c r="F28" i="115"/>
  <c r="F29" i="115"/>
  <c r="F30" i="115"/>
  <c r="F31" i="115"/>
  <c r="F32" i="115"/>
  <c r="F33" i="115"/>
  <c r="F34" i="115"/>
  <c r="F35" i="115"/>
  <c r="F36" i="115"/>
  <c r="F37" i="115"/>
  <c r="F38" i="115"/>
  <c r="F39" i="115"/>
  <c r="F40" i="115"/>
  <c r="F41" i="115"/>
  <c r="F42" i="115"/>
  <c r="F43" i="115"/>
  <c r="F3" i="115"/>
  <c r="I3" i="115" s="1"/>
  <c r="D4" i="114"/>
  <c r="H269" i="39" s="1"/>
  <c r="H238" i="39"/>
  <c r="H44" i="115" l="1"/>
  <c r="V15" i="37"/>
  <c r="V14" i="37" s="1"/>
  <c r="V12" i="37" s="1"/>
  <c r="T15" i="37"/>
  <c r="T25" i="35"/>
  <c r="T20" i="35" s="1"/>
  <c r="R41" i="37"/>
  <c r="R46" i="37"/>
  <c r="R18" i="37"/>
  <c r="R19" i="37"/>
  <c r="R49" i="37"/>
  <c r="V37" i="37"/>
  <c r="S27" i="4"/>
  <c r="S17" i="4"/>
  <c r="S16" i="4"/>
  <c r="S15" i="4"/>
  <c r="S22" i="4"/>
  <c r="S14" i="4"/>
  <c r="S20" i="4"/>
  <c r="S19" i="4"/>
  <c r="S18" i="4"/>
  <c r="Q9" i="4"/>
  <c r="S13" i="4"/>
  <c r="R12" i="4"/>
  <c r="O156" i="39"/>
  <c r="M154" i="39"/>
  <c r="U42" i="4"/>
  <c r="R34" i="35"/>
  <c r="R22" i="35"/>
  <c r="R46" i="35"/>
  <c r="R45" i="35"/>
  <c r="R17" i="35"/>
  <c r="R36" i="35"/>
  <c r="R16" i="35"/>
  <c r="R43" i="35"/>
  <c r="R15" i="35"/>
  <c r="R23" i="35"/>
  <c r="R21" i="35"/>
  <c r="T30" i="35"/>
  <c r="Q33" i="35"/>
  <c r="T48" i="35"/>
  <c r="Q49" i="35"/>
  <c r="R49" i="35" s="1"/>
  <c r="T42" i="35"/>
  <c r="T41" i="35" s="1"/>
  <c r="T40" i="35" s="1"/>
  <c r="Q44" i="35"/>
  <c r="R44" i="35" s="1"/>
  <c r="T38" i="37"/>
  <c r="Q44" i="37"/>
  <c r="T43" i="37"/>
  <c r="O54" i="37"/>
  <c r="K54" i="37"/>
  <c r="M54" i="37"/>
  <c r="Q40" i="37"/>
  <c r="Q16" i="37"/>
  <c r="H30" i="37"/>
  <c r="H209" i="39"/>
  <c r="H281" i="39"/>
  <c r="K16" i="35"/>
  <c r="T54" i="37"/>
  <c r="T55" i="37"/>
  <c r="Q55" i="37" s="1"/>
  <c r="V13" i="35"/>
  <c r="V10" i="35" s="1"/>
  <c r="V9" i="35" s="1"/>
  <c r="W78" i="4"/>
  <c r="W73" i="4" s="1"/>
  <c r="W72" i="4" s="1"/>
  <c r="W63" i="4" s="1"/>
  <c r="W59" i="4" s="1"/>
  <c r="W56" i="4" s="1"/>
  <c r="W42" i="4" s="1"/>
  <c r="W41" i="4" s="1"/>
  <c r="W32" i="4" s="1"/>
  <c r="W25" i="4" s="1"/>
  <c r="W12" i="4" s="1"/>
  <c r="W11" i="4" s="1"/>
  <c r="I6" i="115"/>
  <c r="U138" i="4"/>
  <c r="T16" i="37"/>
  <c r="H197" i="39"/>
  <c r="H196" i="39" s="1"/>
  <c r="U182" i="4"/>
  <c r="I10" i="116"/>
  <c r="H258" i="39"/>
  <c r="Q15" i="37" l="1"/>
  <c r="R15" i="37" s="1"/>
  <c r="Q25" i="35"/>
  <c r="R55" i="37"/>
  <c r="S12" i="4"/>
  <c r="U174" i="4"/>
  <c r="U133" i="4"/>
  <c r="U125" i="4"/>
  <c r="R33" i="35"/>
  <c r="Q30" i="35"/>
  <c r="R40" i="37"/>
  <c r="Q38" i="37"/>
  <c r="R44" i="37"/>
  <c r="Q43" i="37"/>
  <c r="R43" i="37" s="1"/>
  <c r="T37" i="37"/>
  <c r="U85" i="4"/>
  <c r="M49" i="35"/>
  <c r="O49" i="35"/>
  <c r="H257" i="39"/>
  <c r="N273" i="39"/>
  <c r="O273" i="39" s="1"/>
  <c r="T14" i="37"/>
  <c r="W10" i="4"/>
  <c r="W9" i="4" s="1"/>
  <c r="J184" i="39"/>
  <c r="T13" i="35"/>
  <c r="T10" i="35" s="1"/>
  <c r="T9" i="35" s="1"/>
  <c r="J42" i="35" l="1"/>
  <c r="J44" i="35"/>
  <c r="R25" i="35"/>
  <c r="Q20" i="35"/>
  <c r="O196" i="39"/>
  <c r="U155" i="4"/>
  <c r="U146" i="4" s="1"/>
  <c r="U118" i="4"/>
  <c r="J30" i="35"/>
  <c r="J21" i="35"/>
  <c r="K21" i="35" s="1"/>
  <c r="J48" i="35"/>
  <c r="J35" i="35"/>
  <c r="J20" i="35"/>
  <c r="J49" i="35"/>
  <c r="J25" i="35"/>
  <c r="K25" i="35" s="1"/>
  <c r="J41" i="35"/>
  <c r="J26" i="35"/>
  <c r="K26" i="35" s="1"/>
  <c r="J33" i="35"/>
  <c r="J32" i="35"/>
  <c r="J29" i="35"/>
  <c r="K29" i="35" s="1"/>
  <c r="J24" i="35"/>
  <c r="J34" i="35"/>
  <c r="J36" i="35"/>
  <c r="J43" i="35"/>
  <c r="J28" i="35"/>
  <c r="K28" i="35" s="1"/>
  <c r="J31" i="35"/>
  <c r="J46" i="35"/>
  <c r="J23" i="35"/>
  <c r="J47" i="35"/>
  <c r="J45" i="35"/>
  <c r="J50" i="35"/>
  <c r="J27" i="35"/>
  <c r="K27" i="35" s="1"/>
  <c r="J22" i="35"/>
  <c r="K22" i="35" s="1"/>
  <c r="R38" i="37"/>
  <c r="Q37" i="37"/>
  <c r="R37" i="37" s="1"/>
  <c r="J14" i="37"/>
  <c r="T12" i="37"/>
  <c r="U68" i="4"/>
  <c r="U73" i="4"/>
  <c r="J183" i="39"/>
  <c r="K183" i="39" s="1"/>
  <c r="I271" i="39"/>
  <c r="I237" i="39" s="1"/>
  <c r="M237" i="39" s="1"/>
  <c r="N275" i="39"/>
  <c r="O275" i="39" s="1"/>
  <c r="N276" i="39"/>
  <c r="O276" i="39" s="1"/>
  <c r="N274" i="39"/>
  <c r="O274" i="39" s="1"/>
  <c r="N272" i="39"/>
  <c r="O272" i="39" s="1"/>
  <c r="Q159" i="39"/>
  <c r="Q170" i="39"/>
  <c r="P200" i="39"/>
  <c r="P199" i="39" s="1"/>
  <c r="P232" i="39"/>
  <c r="J273" i="39" l="1"/>
  <c r="M271" i="39"/>
  <c r="U72" i="4"/>
  <c r="U115" i="4"/>
  <c r="J12" i="37"/>
  <c r="K14" i="37"/>
  <c r="P34" i="37"/>
  <c r="Q232" i="39"/>
  <c r="R232" i="39" s="1"/>
  <c r="U63" i="4"/>
  <c r="N271" i="39"/>
  <c r="P186" i="39"/>
  <c r="P204" i="39"/>
  <c r="N237" i="39" l="1"/>
  <c r="N212" i="39" s="1"/>
  <c r="K12" i="37"/>
  <c r="O271" i="39"/>
  <c r="U59" i="4"/>
  <c r="U98" i="4"/>
  <c r="U37" i="4"/>
  <c r="O237" i="39" l="1"/>
  <c r="U78" i="4"/>
  <c r="U32" i="4"/>
  <c r="U56" i="4"/>
  <c r="U25" i="4" l="1"/>
  <c r="Q34" i="37"/>
  <c r="R34" i="37" s="1"/>
  <c r="R282" i="39"/>
  <c r="P209" i="39"/>
  <c r="U12" i="4" l="1"/>
  <c r="U41" i="4"/>
  <c r="Q236" i="39"/>
  <c r="R17" i="54"/>
  <c r="R19" i="54"/>
  <c r="R20" i="54"/>
  <c r="R22" i="54"/>
  <c r="R23" i="54"/>
  <c r="R24" i="54"/>
  <c r="R25" i="54"/>
  <c r="R26" i="54"/>
  <c r="R27" i="54"/>
  <c r="R28" i="54"/>
  <c r="R30" i="54"/>
  <c r="U11" i="4" l="1"/>
  <c r="R236" i="39"/>
  <c r="R16" i="54"/>
  <c r="P159" i="39"/>
  <c r="R159" i="39" s="1"/>
  <c r="P110" i="39"/>
  <c r="P36" i="39"/>
  <c r="P16" i="37"/>
  <c r="U10" i="4" l="1"/>
  <c r="U9" i="4" s="1"/>
  <c r="P14" i="37"/>
  <c r="R16" i="37"/>
  <c r="P182" i="39"/>
  <c r="P38" i="39"/>
  <c r="Q157" i="39" l="1"/>
  <c r="R14" i="54"/>
  <c r="P152" i="39"/>
  <c r="P153" i="39"/>
  <c r="P30" i="37" l="1"/>
  <c r="R21" i="54"/>
  <c r="P140" i="39"/>
  <c r="P208" i="39" l="1"/>
  <c r="P207" i="39" s="1"/>
  <c r="R211" i="39"/>
  <c r="Q156" i="39"/>
  <c r="R13" i="54"/>
  <c r="AA32" i="4" l="1"/>
  <c r="R12" i="54"/>
  <c r="Q155" i="39"/>
  <c r="K17" i="35"/>
  <c r="AA28" i="4" l="1"/>
  <c r="K15" i="35"/>
  <c r="AA25" i="4" l="1"/>
  <c r="R28" i="4"/>
  <c r="P279" i="39"/>
  <c r="P280" i="39"/>
  <c r="S28" i="4" l="1"/>
  <c r="R25" i="4"/>
  <c r="R210" i="39"/>
  <c r="P281" i="39"/>
  <c r="P278" i="39"/>
  <c r="R160" i="39"/>
  <c r="AA11" i="4" l="1"/>
  <c r="S25" i="4"/>
  <c r="P277" i="39"/>
  <c r="AA10" i="4" l="1"/>
  <c r="P32" i="54"/>
  <c r="AA9" i="4" l="1"/>
  <c r="P144" i="39"/>
  <c r="P26" i="35"/>
  <c r="R15" i="54"/>
  <c r="R29" i="54"/>
  <c r="R75" i="4" l="1"/>
  <c r="K77" i="4"/>
  <c r="R174" i="4"/>
  <c r="R179" i="4"/>
  <c r="K169" i="4"/>
  <c r="K170" i="4"/>
  <c r="K84" i="4"/>
  <c r="K171" i="4"/>
  <c r="K172" i="4"/>
  <c r="R169" i="4"/>
  <c r="K93" i="4"/>
  <c r="K95" i="4"/>
  <c r="K90" i="4"/>
  <c r="K94" i="4"/>
  <c r="K97" i="4"/>
  <c r="K96" i="4"/>
  <c r="K91" i="4"/>
  <c r="K92" i="4"/>
  <c r="R161" i="4"/>
  <c r="K164" i="4"/>
  <c r="K148" i="4"/>
  <c r="K111" i="4"/>
  <c r="K110" i="4"/>
  <c r="R114" i="4"/>
  <c r="R145" i="4"/>
  <c r="R110" i="4"/>
  <c r="R39" i="4"/>
  <c r="R107" i="4"/>
  <c r="R105" i="4"/>
  <c r="R131" i="4"/>
  <c r="R178" i="4"/>
  <c r="R140" i="4"/>
  <c r="R119" i="4"/>
  <c r="R120" i="4"/>
  <c r="R46" i="4"/>
  <c r="R106" i="4"/>
  <c r="R83" i="4"/>
  <c r="R132" i="4"/>
  <c r="R141" i="4"/>
  <c r="K118" i="4"/>
  <c r="K61" i="4"/>
  <c r="K127" i="4"/>
  <c r="K18" i="4"/>
  <c r="K105" i="4"/>
  <c r="K174" i="4"/>
  <c r="K66" i="4"/>
  <c r="K135" i="4"/>
  <c r="K100" i="4"/>
  <c r="K88" i="4"/>
  <c r="K104" i="4"/>
  <c r="K132" i="4"/>
  <c r="K178" i="4"/>
  <c r="K87" i="4"/>
  <c r="R125" i="4"/>
  <c r="R162" i="4"/>
  <c r="R186" i="4"/>
  <c r="R94" i="4"/>
  <c r="K30" i="4"/>
  <c r="K161" i="4"/>
  <c r="K177" i="4"/>
  <c r="R166" i="4"/>
  <c r="R71" i="4"/>
  <c r="R35" i="4"/>
  <c r="R87" i="4"/>
  <c r="R64" i="4"/>
  <c r="R150" i="4"/>
  <c r="R185" i="4"/>
  <c r="R184" i="4"/>
  <c r="R97" i="4"/>
  <c r="R70" i="4"/>
  <c r="R163" i="4"/>
  <c r="R152" i="4"/>
  <c r="R95" i="4"/>
  <c r="R31" i="4"/>
  <c r="R160" i="4"/>
  <c r="R49" i="4"/>
  <c r="K42" i="4"/>
  <c r="K56" i="4"/>
  <c r="K181" i="4"/>
  <c r="K48" i="4"/>
  <c r="K49" i="4"/>
  <c r="K186" i="4"/>
  <c r="K86" i="4"/>
  <c r="K156" i="4"/>
  <c r="K167" i="4"/>
  <c r="K34" i="4"/>
  <c r="K21" i="4"/>
  <c r="K64" i="4"/>
  <c r="K162" i="4"/>
  <c r="K109" i="4"/>
  <c r="R102" i="4"/>
  <c r="R111" i="4"/>
  <c r="K106" i="4"/>
  <c r="K180" i="4"/>
  <c r="K121" i="4"/>
  <c r="K26" i="4"/>
  <c r="R50" i="4"/>
  <c r="R129" i="4"/>
  <c r="R123" i="4"/>
  <c r="R112" i="4"/>
  <c r="R44" i="4"/>
  <c r="R101" i="4"/>
  <c r="R89" i="4"/>
  <c r="R151" i="4"/>
  <c r="R133" i="4"/>
  <c r="R60" i="4"/>
  <c r="R55" i="4"/>
  <c r="R118" i="4"/>
  <c r="R59" i="4"/>
  <c r="R113" i="4"/>
  <c r="R121" i="4"/>
  <c r="K183" i="4"/>
  <c r="K115" i="4"/>
  <c r="K58" i="4"/>
  <c r="K89" i="4"/>
  <c r="K22" i="4"/>
  <c r="K128" i="4"/>
  <c r="K103" i="4"/>
  <c r="K74" i="4"/>
  <c r="K185" i="4"/>
  <c r="K184" i="4"/>
  <c r="K131" i="4"/>
  <c r="K44" i="4"/>
  <c r="K108" i="4"/>
  <c r="K99" i="4"/>
  <c r="K145" i="4"/>
  <c r="K187" i="4"/>
  <c r="K31" i="4"/>
  <c r="R143" i="4"/>
  <c r="R90" i="4"/>
  <c r="K69" i="4"/>
  <c r="K46" i="4"/>
  <c r="K163" i="4"/>
  <c r="K25" i="4"/>
  <c r="R149" i="4"/>
  <c r="R164" i="4"/>
  <c r="R77" i="4"/>
  <c r="R40" i="4"/>
  <c r="R91" i="4"/>
  <c r="R130" i="4"/>
  <c r="R181" i="4"/>
  <c r="R43" i="4"/>
  <c r="R53" i="4"/>
  <c r="R109" i="4"/>
  <c r="R88" i="4"/>
  <c r="Q88" i="39" s="1"/>
  <c r="R88" i="39" s="1"/>
  <c r="R122" i="4"/>
  <c r="R124" i="4"/>
  <c r="R104" i="4"/>
  <c r="K175" i="4"/>
  <c r="K57" i="4"/>
  <c r="K28" i="4"/>
  <c r="K117" i="4"/>
  <c r="K140" i="4"/>
  <c r="K38" i="4"/>
  <c r="K102" i="4"/>
  <c r="K129" i="4"/>
  <c r="K101" i="4"/>
  <c r="K179" i="4"/>
  <c r="K122" i="4"/>
  <c r="K62" i="4"/>
  <c r="K33" i="4"/>
  <c r="K165" i="4"/>
  <c r="K41" i="4"/>
  <c r="K53" i="4"/>
  <c r="R80" i="4"/>
  <c r="R52" i="4"/>
  <c r="R92" i="4"/>
  <c r="R86" i="4"/>
  <c r="K60" i="4"/>
  <c r="K120" i="4"/>
  <c r="K65" i="4"/>
  <c r="K76" i="4"/>
  <c r="K27" i="4"/>
  <c r="R69" i="4"/>
  <c r="R99" i="4"/>
  <c r="R58" i="4"/>
  <c r="R136" i="4"/>
  <c r="R127" i="4"/>
  <c r="R168" i="4"/>
  <c r="R96" i="4"/>
  <c r="R116" i="4"/>
  <c r="R108" i="4"/>
  <c r="R144" i="4"/>
  <c r="R36" i="4"/>
  <c r="R81" i="4"/>
  <c r="R183" i="4"/>
  <c r="R137" i="4"/>
  <c r="R47" i="4"/>
  <c r="K176" i="4"/>
  <c r="K54" i="4"/>
  <c r="K24" i="4"/>
  <c r="K80" i="4"/>
  <c r="K40" i="4"/>
  <c r="K139" i="4"/>
  <c r="K114" i="4"/>
  <c r="K126" i="4"/>
  <c r="K36" i="4"/>
  <c r="K116" i="4"/>
  <c r="K35" i="4"/>
  <c r="K45" i="4"/>
  <c r="R48" i="4"/>
  <c r="R134" i="4"/>
  <c r="R165" i="4"/>
  <c r="R158" i="4"/>
  <c r="R33" i="4"/>
  <c r="R82" i="4"/>
  <c r="R66" i="4"/>
  <c r="R153" i="4"/>
  <c r="R159" i="4"/>
  <c r="R187" i="4"/>
  <c r="R103" i="4"/>
  <c r="R135" i="4"/>
  <c r="R62" i="4"/>
  <c r="R57" i="4"/>
  <c r="R126" i="4"/>
  <c r="R128" i="4"/>
  <c r="K78" i="4"/>
  <c r="K59" i="4"/>
  <c r="K23" i="4"/>
  <c r="K157" i="4"/>
  <c r="K20" i="4"/>
  <c r="K71" i="4"/>
  <c r="K136" i="4"/>
  <c r="K70" i="4"/>
  <c r="K113" i="4"/>
  <c r="K47" i="4"/>
  <c r="K112" i="4"/>
  <c r="K134" i="4"/>
  <c r="K50" i="4"/>
  <c r="K43" i="4"/>
  <c r="K51" i="4"/>
  <c r="R93" i="4"/>
  <c r="R74" i="4"/>
  <c r="R61" i="4"/>
  <c r="K159" i="4"/>
  <c r="R156" i="4"/>
  <c r="R84" i="4"/>
  <c r="R56" i="4"/>
  <c r="R139" i="4"/>
  <c r="R177" i="4"/>
  <c r="R167" i="4"/>
  <c r="R38" i="4"/>
  <c r="R45" i="4"/>
  <c r="R100" i="4"/>
  <c r="R76" i="4"/>
  <c r="R54" i="4"/>
  <c r="R51" i="4"/>
  <c r="R157" i="4"/>
  <c r="R154" i="4"/>
  <c r="R142" i="4"/>
  <c r="R65" i="4"/>
  <c r="R180" i="4"/>
  <c r="K119" i="4"/>
  <c r="K55" i="4"/>
  <c r="K29" i="4"/>
  <c r="K137" i="4"/>
  <c r="K19" i="4"/>
  <c r="K83" i="4"/>
  <c r="K144" i="4"/>
  <c r="K82" i="4"/>
  <c r="K124" i="4"/>
  <c r="K81" i="4"/>
  <c r="K123" i="4"/>
  <c r="K151" i="4"/>
  <c r="K39" i="4"/>
  <c r="K52" i="4"/>
  <c r="K75" i="4"/>
  <c r="K141" i="4"/>
  <c r="R34" i="4"/>
  <c r="R117" i="4"/>
  <c r="R41" i="4"/>
  <c r="P276" i="39"/>
  <c r="R276" i="39" s="1"/>
  <c r="P35" i="54"/>
  <c r="P34" i="54" s="1"/>
  <c r="P54" i="37"/>
  <c r="P143" i="39"/>
  <c r="I34" i="54"/>
  <c r="N34" i="54" s="1"/>
  <c r="L77" i="4" l="1"/>
  <c r="L170" i="4"/>
  <c r="K168" i="4"/>
  <c r="R73" i="4"/>
  <c r="Q204" i="39"/>
  <c r="R204" i="39" s="1"/>
  <c r="Q77" i="39"/>
  <c r="R77" i="39" s="1"/>
  <c r="K173" i="4"/>
  <c r="L169" i="4"/>
  <c r="L84" i="4"/>
  <c r="L172" i="4"/>
  <c r="L171" i="4"/>
  <c r="S161" i="4"/>
  <c r="S89" i="4"/>
  <c r="L91" i="4"/>
  <c r="L96" i="4"/>
  <c r="L97" i="4"/>
  <c r="L94" i="4"/>
  <c r="L90" i="4"/>
  <c r="L95" i="4"/>
  <c r="L92" i="4"/>
  <c r="L93" i="4"/>
  <c r="K147" i="4"/>
  <c r="J198" i="39"/>
  <c r="K198" i="39" s="1"/>
  <c r="S184" i="4"/>
  <c r="S187" i="4"/>
  <c r="S185" i="4"/>
  <c r="S186" i="4"/>
  <c r="S65" i="4"/>
  <c r="S180" i="4"/>
  <c r="S100" i="4"/>
  <c r="S179" i="4"/>
  <c r="S144" i="4"/>
  <c r="S92" i="4"/>
  <c r="S90" i="4"/>
  <c r="S60" i="4"/>
  <c r="S123" i="4"/>
  <c r="S102" i="4"/>
  <c r="S70" i="4"/>
  <c r="S71" i="4"/>
  <c r="S125" i="4"/>
  <c r="S119" i="4"/>
  <c r="S110" i="4"/>
  <c r="S108" i="4"/>
  <c r="S169" i="4"/>
  <c r="S129" i="4"/>
  <c r="S140" i="4"/>
  <c r="S145" i="4"/>
  <c r="S142" i="4"/>
  <c r="S61" i="4"/>
  <c r="S103" i="4"/>
  <c r="S158" i="4"/>
  <c r="S80" i="4"/>
  <c r="S53" i="4"/>
  <c r="S164" i="4"/>
  <c r="S151" i="4"/>
  <c r="S50" i="4"/>
  <c r="S49" i="4"/>
  <c r="S141" i="4"/>
  <c r="S178" i="4"/>
  <c r="S114" i="4"/>
  <c r="S97" i="4"/>
  <c r="S167" i="4"/>
  <c r="S165" i="4"/>
  <c r="S47" i="4"/>
  <c r="S96" i="4"/>
  <c r="S121" i="4"/>
  <c r="S160" i="4"/>
  <c r="S132" i="4"/>
  <c r="S131" i="4"/>
  <c r="S143" i="4"/>
  <c r="S41" i="4"/>
  <c r="S157" i="4"/>
  <c r="S177" i="4"/>
  <c r="S93" i="4"/>
  <c r="S159" i="4"/>
  <c r="S134" i="4"/>
  <c r="S137" i="4"/>
  <c r="S168" i="4"/>
  <c r="S181" i="4"/>
  <c r="S113" i="4"/>
  <c r="S101" i="4"/>
  <c r="S150" i="4"/>
  <c r="S83" i="4"/>
  <c r="S105" i="4"/>
  <c r="S109" i="4"/>
  <c r="S133" i="4"/>
  <c r="S166" i="4"/>
  <c r="S51" i="4"/>
  <c r="S128" i="4"/>
  <c r="S48" i="4"/>
  <c r="S127" i="4"/>
  <c r="S104" i="4"/>
  <c r="S130" i="4"/>
  <c r="S59" i="4"/>
  <c r="S95" i="4"/>
  <c r="S94" i="4"/>
  <c r="S106" i="4"/>
  <c r="S107" i="4"/>
  <c r="S135" i="4"/>
  <c r="S52" i="4"/>
  <c r="S117" i="4"/>
  <c r="S56" i="4"/>
  <c r="S126" i="4"/>
  <c r="S66" i="4"/>
  <c r="S136" i="4"/>
  <c r="S124" i="4"/>
  <c r="S91" i="4"/>
  <c r="S118" i="4"/>
  <c r="S112" i="4"/>
  <c r="S152" i="4"/>
  <c r="S87" i="4"/>
  <c r="S174" i="4"/>
  <c r="S34" i="4"/>
  <c r="S84" i="4"/>
  <c r="S57" i="4"/>
  <c r="S82" i="4"/>
  <c r="S36" i="4"/>
  <c r="S58" i="4"/>
  <c r="S122" i="4"/>
  <c r="S40" i="4"/>
  <c r="S55" i="4"/>
  <c r="S111" i="4"/>
  <c r="S163" i="4"/>
  <c r="S35" i="4"/>
  <c r="S162" i="4"/>
  <c r="S120" i="4"/>
  <c r="S39" i="4"/>
  <c r="J147" i="39"/>
  <c r="L148" i="4"/>
  <c r="K147" i="39" s="1"/>
  <c r="L111" i="4"/>
  <c r="L137" i="4"/>
  <c r="L113" i="4"/>
  <c r="L78" i="4"/>
  <c r="L139" i="4"/>
  <c r="L65" i="4"/>
  <c r="L41" i="4"/>
  <c r="L102" i="4"/>
  <c r="L175" i="4"/>
  <c r="L25" i="4"/>
  <c r="L145" i="4"/>
  <c r="L74" i="4"/>
  <c r="L26" i="4"/>
  <c r="L161" i="4"/>
  <c r="L132" i="4"/>
  <c r="L105" i="4"/>
  <c r="L123" i="4"/>
  <c r="L29" i="4"/>
  <c r="L51" i="4"/>
  <c r="L70" i="4"/>
  <c r="L40" i="4"/>
  <c r="L165" i="4"/>
  <c r="L163" i="4"/>
  <c r="L99" i="4"/>
  <c r="L103" i="4"/>
  <c r="L121" i="4"/>
  <c r="L21" i="4"/>
  <c r="L30" i="4"/>
  <c r="L104" i="4"/>
  <c r="L81" i="4"/>
  <c r="L55" i="4"/>
  <c r="L43" i="4"/>
  <c r="L136" i="4"/>
  <c r="L45" i="4"/>
  <c r="L80" i="4"/>
  <c r="L60" i="4"/>
  <c r="L33" i="4"/>
  <c r="L38" i="4"/>
  <c r="L46" i="4"/>
  <c r="L128" i="4"/>
  <c r="L180" i="4"/>
  <c r="L49" i="4"/>
  <c r="L88" i="4"/>
  <c r="L141" i="4"/>
  <c r="L124" i="4"/>
  <c r="L119" i="4"/>
  <c r="L50" i="4"/>
  <c r="L71" i="4"/>
  <c r="L35" i="4"/>
  <c r="L24" i="4"/>
  <c r="L62" i="4"/>
  <c r="L140" i="4"/>
  <c r="L69" i="4"/>
  <c r="L44" i="4"/>
  <c r="L22" i="4"/>
  <c r="L106" i="4"/>
  <c r="L34" i="4"/>
  <c r="L48" i="4"/>
  <c r="L100" i="4"/>
  <c r="L127" i="4"/>
  <c r="L134" i="4"/>
  <c r="L20" i="4"/>
  <c r="L116" i="4"/>
  <c r="L122" i="4"/>
  <c r="L117" i="4"/>
  <c r="L131" i="4"/>
  <c r="L89" i="4"/>
  <c r="L167" i="4"/>
  <c r="L181" i="4"/>
  <c r="L135" i="4"/>
  <c r="L75" i="4"/>
  <c r="L144" i="4"/>
  <c r="L159" i="4"/>
  <c r="L157" i="4"/>
  <c r="L179" i="4"/>
  <c r="L184" i="4"/>
  <c r="L58" i="4"/>
  <c r="L56" i="4"/>
  <c r="L61" i="4"/>
  <c r="L52" i="4"/>
  <c r="L39" i="4"/>
  <c r="L126" i="4"/>
  <c r="L27" i="4"/>
  <c r="L101" i="4"/>
  <c r="L28" i="4"/>
  <c r="L31" i="4"/>
  <c r="L164" i="4"/>
  <c r="L115" i="4"/>
  <c r="L109" i="4"/>
  <c r="L156" i="4"/>
  <c r="L42" i="4"/>
  <c r="L87" i="4"/>
  <c r="L66" i="4"/>
  <c r="L118" i="4"/>
  <c r="L82" i="4"/>
  <c r="L83" i="4"/>
  <c r="L151" i="4"/>
  <c r="L19" i="4"/>
  <c r="L47" i="4"/>
  <c r="L59" i="4"/>
  <c r="L76" i="4"/>
  <c r="L53" i="4"/>
  <c r="L129" i="4"/>
  <c r="L57" i="4"/>
  <c r="L185" i="4"/>
  <c r="L162" i="4"/>
  <c r="L177" i="4"/>
  <c r="L178" i="4"/>
  <c r="L174" i="4"/>
  <c r="Q54" i="39"/>
  <c r="R54" i="39" s="1"/>
  <c r="S54" i="4"/>
  <c r="S183" i="4"/>
  <c r="R182" i="4"/>
  <c r="L186" i="4"/>
  <c r="J281" i="39"/>
  <c r="S156" i="4"/>
  <c r="R155" i="4"/>
  <c r="S86" i="4"/>
  <c r="R85" i="4"/>
  <c r="S64" i="4"/>
  <c r="R63" i="4"/>
  <c r="L18" i="4"/>
  <c r="K12" i="4"/>
  <c r="R79" i="4"/>
  <c r="S81" i="4"/>
  <c r="Q45" i="39"/>
  <c r="S45" i="4"/>
  <c r="L54" i="4"/>
  <c r="K54" i="39" s="1"/>
  <c r="J54" i="39"/>
  <c r="S99" i="4"/>
  <c r="R98" i="4"/>
  <c r="S46" i="4"/>
  <c r="Q46" i="39"/>
  <c r="R37" i="4"/>
  <c r="S38" i="4"/>
  <c r="R32" i="4"/>
  <c r="S33" i="4"/>
  <c r="J203" i="39"/>
  <c r="K203" i="39" s="1"/>
  <c r="L176" i="4"/>
  <c r="S69" i="4"/>
  <c r="R68" i="4"/>
  <c r="S76" i="4"/>
  <c r="Q76" i="39"/>
  <c r="L108" i="4"/>
  <c r="K107" i="4"/>
  <c r="S44" i="4"/>
  <c r="Q44" i="39"/>
  <c r="L23" i="4"/>
  <c r="J23" i="39"/>
  <c r="K23" i="39" s="1"/>
  <c r="S75" i="4"/>
  <c r="Q75" i="39"/>
  <c r="S116" i="4"/>
  <c r="R115" i="4"/>
  <c r="J110" i="39"/>
  <c r="K110" i="39" s="1"/>
  <c r="S43" i="4"/>
  <c r="Q43" i="39"/>
  <c r="R42" i="4"/>
  <c r="R147" i="4"/>
  <c r="S149" i="4"/>
  <c r="K182" i="4"/>
  <c r="L183" i="4"/>
  <c r="S74" i="4"/>
  <c r="R138" i="4"/>
  <c r="S139" i="4"/>
  <c r="Q197" i="39"/>
  <c r="K63" i="4"/>
  <c r="L64" i="4"/>
  <c r="K85" i="4"/>
  <c r="L86" i="4"/>
  <c r="M58" i="54"/>
  <c r="O34" i="54"/>
  <c r="R18" i="54"/>
  <c r="P142" i="39"/>
  <c r="P11" i="54"/>
  <c r="P10" i="54" s="1"/>
  <c r="P155" i="39"/>
  <c r="R155" i="39" s="1"/>
  <c r="O58" i="54"/>
  <c r="P33" i="39"/>
  <c r="P34" i="39"/>
  <c r="P35" i="39"/>
  <c r="P40" i="39"/>
  <c r="P48" i="39"/>
  <c r="P49" i="39"/>
  <c r="P50" i="39"/>
  <c r="P57" i="39"/>
  <c r="P58" i="39"/>
  <c r="P60" i="39"/>
  <c r="P64" i="39"/>
  <c r="P65" i="39"/>
  <c r="P66" i="39"/>
  <c r="P81" i="39"/>
  <c r="P82" i="39"/>
  <c r="P86" i="39"/>
  <c r="P90" i="39"/>
  <c r="P93" i="39"/>
  <c r="P94" i="39"/>
  <c r="P95" i="39"/>
  <c r="P96" i="39"/>
  <c r="P116" i="39"/>
  <c r="P119" i="39"/>
  <c r="P126" i="39"/>
  <c r="P132" i="39"/>
  <c r="P134" i="39"/>
  <c r="P139" i="39"/>
  <c r="P141" i="39"/>
  <c r="P181" i="39"/>
  <c r="P188" i="39"/>
  <c r="P272" i="39"/>
  <c r="P273" i="39"/>
  <c r="P274" i="39"/>
  <c r="P275" i="39"/>
  <c r="P23" i="37"/>
  <c r="R23" i="37" s="1"/>
  <c r="P257" i="39"/>
  <c r="P258" i="39"/>
  <c r="P240" i="39"/>
  <c r="P241" i="39"/>
  <c r="P242" i="39"/>
  <c r="P246" i="39"/>
  <c r="P247" i="39"/>
  <c r="P248" i="39"/>
  <c r="P249" i="39"/>
  <c r="P250" i="39"/>
  <c r="P256" i="39"/>
  <c r="P252" i="39"/>
  <c r="L173" i="4" l="1"/>
  <c r="R72" i="4"/>
  <c r="L168" i="4"/>
  <c r="S182" i="4"/>
  <c r="S63" i="4"/>
  <c r="S85" i="4"/>
  <c r="S147" i="4"/>
  <c r="S37" i="4"/>
  <c r="S98" i="4"/>
  <c r="S115" i="4"/>
  <c r="S68" i="4"/>
  <c r="S138" i="4"/>
  <c r="P79" i="39"/>
  <c r="L107" i="4"/>
  <c r="L12" i="4"/>
  <c r="L85" i="4"/>
  <c r="L63" i="4"/>
  <c r="S32" i="4"/>
  <c r="R11" i="4"/>
  <c r="R146" i="4"/>
  <c r="S155" i="4"/>
  <c r="S73" i="4"/>
  <c r="R78" i="4"/>
  <c r="S79" i="4"/>
  <c r="S42" i="4"/>
  <c r="Q42" i="39"/>
  <c r="P271" i="39"/>
  <c r="P63" i="39"/>
  <c r="P239" i="39"/>
  <c r="P244" i="39"/>
  <c r="M34" i="54"/>
  <c r="P32" i="39"/>
  <c r="P9" i="54"/>
  <c r="R158" i="39"/>
  <c r="P148" i="39"/>
  <c r="P156" i="39"/>
  <c r="R156" i="39" s="1"/>
  <c r="P191" i="39"/>
  <c r="P14" i="35"/>
  <c r="P13" i="35" s="1"/>
  <c r="R31" i="54"/>
  <c r="P177" i="39"/>
  <c r="R265" i="39"/>
  <c r="P183" i="39"/>
  <c r="P113" i="39"/>
  <c r="P84" i="39"/>
  <c r="P131" i="39"/>
  <c r="P74" i="39"/>
  <c r="P73" i="39" s="1"/>
  <c r="P72" i="39" s="1"/>
  <c r="S11" i="4" l="1"/>
  <c r="S78" i="4"/>
  <c r="S72" i="4"/>
  <c r="S146" i="4"/>
  <c r="R14" i="35"/>
  <c r="P10" i="35"/>
  <c r="P83" i="39"/>
  <c r="Q175" i="39"/>
  <c r="P39" i="39"/>
  <c r="P149" i="39"/>
  <c r="P150" i="39"/>
  <c r="P151" i="39"/>
  <c r="P192" i="39"/>
  <c r="P193" i="39"/>
  <c r="P194" i="39"/>
  <c r="R251" i="39"/>
  <c r="P146" i="39" l="1"/>
  <c r="R11" i="54"/>
  <c r="Q275" i="39"/>
  <c r="R275" i="39" s="1"/>
  <c r="R161" i="39"/>
  <c r="R162" i="39"/>
  <c r="R163" i="39"/>
  <c r="P190" i="39"/>
  <c r="P233" i="39"/>
  <c r="P234" i="39"/>
  <c r="P254" i="39"/>
  <c r="P255" i="39"/>
  <c r="P260" i="39"/>
  <c r="P261" i="39"/>
  <c r="P262" i="39"/>
  <c r="P263" i="39"/>
  <c r="P264" i="39"/>
  <c r="R267" i="39"/>
  <c r="K253" i="39"/>
  <c r="Q28" i="37"/>
  <c r="P237" i="39" l="1"/>
  <c r="K251" i="39"/>
  <c r="Q209" i="39"/>
  <c r="R209" i="39" s="1"/>
  <c r="P235" i="39"/>
  <c r="R253" i="39"/>
  <c r="P175" i="39"/>
  <c r="R175" i="39" s="1"/>
  <c r="P157" i="39"/>
  <c r="R157" i="39" s="1"/>
  <c r="P170" i="39"/>
  <c r="R170" i="39" s="1"/>
  <c r="G256" i="39"/>
  <c r="G240" i="39"/>
  <c r="G241" i="39"/>
  <c r="G242" i="39"/>
  <c r="G245" i="39"/>
  <c r="G246" i="39"/>
  <c r="G247" i="39"/>
  <c r="G248" i="39"/>
  <c r="G249" i="39"/>
  <c r="G250" i="39"/>
  <c r="P187" i="39"/>
  <c r="G206" i="39"/>
  <c r="B206" i="39"/>
  <c r="P154" i="39" l="1"/>
  <c r="Q208" i="39"/>
  <c r="H249" i="39"/>
  <c r="H242" i="39"/>
  <c r="H245" i="39"/>
  <c r="H240" i="39"/>
  <c r="H246" i="39"/>
  <c r="H248" i="39"/>
  <c r="H241" i="39"/>
  <c r="H247" i="39"/>
  <c r="H256" i="39"/>
  <c r="H250" i="39"/>
  <c r="H28" i="37"/>
  <c r="H206" i="39" s="1"/>
  <c r="H244" i="39" l="1"/>
  <c r="H239" i="39"/>
  <c r="Q207" i="39"/>
  <c r="R207" i="39" s="1"/>
  <c r="R208" i="39"/>
  <c r="I206" i="39"/>
  <c r="M206" i="39" s="1"/>
  <c r="M28" i="37"/>
  <c r="N28" i="37"/>
  <c r="O28" i="37" s="1"/>
  <c r="P28" i="37"/>
  <c r="H42" i="35"/>
  <c r="H41" i="35" s="1"/>
  <c r="H237" i="39" l="1"/>
  <c r="R28" i="37"/>
  <c r="N206" i="39"/>
  <c r="O206" i="39" s="1"/>
  <c r="M42" i="35"/>
  <c r="O42" i="35"/>
  <c r="O41" i="35" l="1"/>
  <c r="M41" i="35"/>
  <c r="M40" i="35" l="1"/>
  <c r="O40" i="35"/>
  <c r="Q257" i="39" l="1"/>
  <c r="R257" i="39" s="1"/>
  <c r="Q249" i="39" l="1"/>
  <c r="R249" i="39" s="1"/>
  <c r="Q274" i="39"/>
  <c r="R274" i="39" s="1"/>
  <c r="Q258" i="39" l="1"/>
  <c r="R258" i="39" s="1"/>
  <c r="I37" i="35" l="1"/>
  <c r="P37" i="35"/>
  <c r="H37" i="35"/>
  <c r="P196" i="39" l="1"/>
  <c r="N37" i="35"/>
  <c r="O37" i="35" s="1"/>
  <c r="M37" i="35"/>
  <c r="M32" i="54" l="1"/>
  <c r="I9" i="54"/>
  <c r="N9" i="54" s="1"/>
  <c r="Q37" i="35"/>
  <c r="R37" i="35" s="1"/>
  <c r="Q247" i="39" l="1"/>
  <c r="R247" i="39" s="1"/>
  <c r="Q188" i="39"/>
  <c r="R188" i="39" s="1"/>
  <c r="Q240" i="39" l="1"/>
  <c r="R240" i="39" l="1"/>
  <c r="I30" i="35" l="1"/>
  <c r="N30" i="35" l="1"/>
  <c r="O30" i="35" s="1"/>
  <c r="K30" i="35"/>
  <c r="Q256" i="39"/>
  <c r="R256" i="39" s="1"/>
  <c r="Q246" i="39"/>
  <c r="R246" i="39" s="1"/>
  <c r="Q242" i="39"/>
  <c r="R242" i="39" s="1"/>
  <c r="Q245" i="39"/>
  <c r="Q248" i="39"/>
  <c r="R248" i="39" s="1"/>
  <c r="M30" i="35"/>
  <c r="P12" i="37"/>
  <c r="Q250" i="39"/>
  <c r="R250" i="39" s="1"/>
  <c r="R245" i="39" l="1"/>
  <c r="Q244" i="39"/>
  <c r="R244" i="39" s="1"/>
  <c r="Q241" i="39"/>
  <c r="N189" i="39"/>
  <c r="Q14" i="37"/>
  <c r="R14" i="37" s="1"/>
  <c r="R241" i="39" l="1"/>
  <c r="Q239" i="39"/>
  <c r="R239" i="39" s="1"/>
  <c r="H30" i="35"/>
  <c r="P213" i="39" l="1"/>
  <c r="P212" i="39" s="1"/>
  <c r="H89" i="39" l="1"/>
  <c r="H23" i="37" l="1"/>
  <c r="V35" i="54" l="1"/>
  <c r="P189" i="39" l="1"/>
  <c r="H26" i="35"/>
  <c r="H181" i="39" s="1"/>
  <c r="T35" i="54" l="1"/>
  <c r="T58" i="54"/>
  <c r="M26" i="37" l="1"/>
  <c r="N26" i="37" l="1"/>
  <c r="O26" i="37" s="1"/>
  <c r="Q272" i="39" l="1"/>
  <c r="R272" i="39" s="1"/>
  <c r="Q273" i="39"/>
  <c r="R273" i="39" s="1"/>
  <c r="Q42" i="35"/>
  <c r="Q271" i="39" l="1"/>
  <c r="R271" i="39" s="1"/>
  <c r="Q41" i="35" l="1"/>
  <c r="Q26" i="35" l="1"/>
  <c r="R26" i="35" s="1"/>
  <c r="Q181" i="39" l="1"/>
  <c r="R181" i="39" s="1"/>
  <c r="P26" i="37" l="1"/>
  <c r="H14" i="37" l="1"/>
  <c r="I189" i="39" l="1"/>
  <c r="H189" i="39"/>
  <c r="M189" i="39" l="1"/>
  <c r="O189" i="39"/>
  <c r="Q40" i="35"/>
  <c r="F89" i="39" l="1"/>
  <c r="L89" i="39" l="1"/>
  <c r="N89" i="39"/>
  <c r="I89" i="39" l="1"/>
  <c r="M89" i="39" l="1"/>
  <c r="O89" i="39"/>
  <c r="J243" i="39"/>
  <c r="K243" i="39" s="1"/>
  <c r="H76" i="39" l="1"/>
  <c r="F76" i="39"/>
  <c r="I76" i="39" l="1"/>
  <c r="O76" i="39" l="1"/>
  <c r="M76" i="39"/>
  <c r="F121" i="39"/>
  <c r="L121" i="39" l="1"/>
  <c r="N121" i="39"/>
  <c r="P120" i="39" l="1"/>
  <c r="H188" i="39" l="1"/>
  <c r="R10" i="4" l="1"/>
  <c r="H28" i="35"/>
  <c r="R9" i="4" l="1"/>
  <c r="Q28" i="35"/>
  <c r="R28" i="35" s="1"/>
  <c r="H26" i="37" l="1"/>
  <c r="P48" i="35" l="1"/>
  <c r="N280" i="39"/>
  <c r="O280" i="39" s="1"/>
  <c r="V70" i="54"/>
  <c r="T70" i="54"/>
  <c r="J70" i="54"/>
  <c r="K70" i="54" s="1"/>
  <c r="F229" i="39"/>
  <c r="F228" i="39"/>
  <c r="F227" i="39"/>
  <c r="F226" i="39"/>
  <c r="F225" i="39"/>
  <c r="F224" i="39"/>
  <c r="F223" i="39"/>
  <c r="F222" i="39"/>
  <c r="F221" i="39"/>
  <c r="F220" i="39"/>
  <c r="F219" i="39"/>
  <c r="F218" i="39"/>
  <c r="F217" i="39"/>
  <c r="F216" i="39"/>
  <c r="F215" i="39"/>
  <c r="F214" i="39"/>
  <c r="F189" i="39"/>
  <c r="F188" i="39"/>
  <c r="F187" i="39"/>
  <c r="F185" i="39"/>
  <c r="F184" i="39"/>
  <c r="F183" i="39"/>
  <c r="F180" i="39"/>
  <c r="F178" i="39"/>
  <c r="F177" i="39"/>
  <c r="F141" i="39"/>
  <c r="F139" i="39"/>
  <c r="F137" i="39"/>
  <c r="F136" i="39"/>
  <c r="F135" i="39"/>
  <c r="F134" i="39"/>
  <c r="F131" i="39"/>
  <c r="I131" i="39" s="1"/>
  <c r="I130" i="39" s="1"/>
  <c r="F129" i="39"/>
  <c r="F128" i="39"/>
  <c r="F127" i="39"/>
  <c r="F126" i="39"/>
  <c r="F124" i="39"/>
  <c r="F123" i="39"/>
  <c r="F122" i="39"/>
  <c r="F120" i="39"/>
  <c r="F119" i="39"/>
  <c r="F117" i="39"/>
  <c r="F116" i="39"/>
  <c r="F114" i="39"/>
  <c r="F113" i="39"/>
  <c r="F112" i="39"/>
  <c r="F111" i="39"/>
  <c r="H111" i="39" s="1"/>
  <c r="F109" i="39"/>
  <c r="F108" i="39"/>
  <c r="F106" i="39"/>
  <c r="F105" i="39"/>
  <c r="F104" i="39"/>
  <c r="H104" i="39" s="1"/>
  <c r="F103" i="39"/>
  <c r="I103" i="39" s="1"/>
  <c r="F102" i="39"/>
  <c r="H102" i="39" s="1"/>
  <c r="F101" i="39"/>
  <c r="H101" i="39" s="1"/>
  <c r="F100" i="39"/>
  <c r="F99" i="39"/>
  <c r="F97" i="39"/>
  <c r="F96" i="39"/>
  <c r="F95" i="39"/>
  <c r="F94" i="39"/>
  <c r="F93" i="39"/>
  <c r="F92" i="39"/>
  <c r="F91" i="39"/>
  <c r="F90" i="39"/>
  <c r="F86" i="39"/>
  <c r="F84" i="39"/>
  <c r="H84" i="39" s="1"/>
  <c r="F82" i="39"/>
  <c r="I82" i="39" s="1"/>
  <c r="F81" i="39"/>
  <c r="F75" i="39"/>
  <c r="F74" i="39"/>
  <c r="F71" i="39"/>
  <c r="F70" i="39"/>
  <c r="F69" i="39"/>
  <c r="F66" i="39"/>
  <c r="F65" i="39"/>
  <c r="F64" i="39"/>
  <c r="F61" i="39"/>
  <c r="F60" i="39"/>
  <c r="F58" i="39"/>
  <c r="F57" i="39"/>
  <c r="I57" i="39" s="1"/>
  <c r="F53" i="39"/>
  <c r="F52" i="39"/>
  <c r="F51" i="39"/>
  <c r="F50" i="39"/>
  <c r="F49" i="39"/>
  <c r="F48" i="39"/>
  <c r="F47" i="39"/>
  <c r="F46" i="39"/>
  <c r="F45" i="39"/>
  <c r="F44" i="39"/>
  <c r="F43" i="39"/>
  <c r="F40" i="39"/>
  <c r="F39" i="39"/>
  <c r="F38" i="39"/>
  <c r="F35" i="39"/>
  <c r="F34" i="39"/>
  <c r="F33" i="39"/>
  <c r="F30" i="39"/>
  <c r="F29" i="39"/>
  <c r="F27" i="39"/>
  <c r="F26" i="39"/>
  <c r="J26" i="39" s="1"/>
  <c r="F22" i="39"/>
  <c r="F21" i="39"/>
  <c r="F20" i="39"/>
  <c r="F19" i="39"/>
  <c r="F18" i="39"/>
  <c r="N18" i="39" s="1"/>
  <c r="F17" i="39"/>
  <c r="F16" i="39"/>
  <c r="F15" i="39"/>
  <c r="N15" i="39" s="1"/>
  <c r="F14" i="39"/>
  <c r="N14" i="39" s="1"/>
  <c r="F13" i="39"/>
  <c r="P42" i="35" l="1"/>
  <c r="R42" i="35" s="1"/>
  <c r="L16" i="39"/>
  <c r="N16" i="39"/>
  <c r="L27" i="39"/>
  <c r="N27" i="39"/>
  <c r="L40" i="39"/>
  <c r="N40" i="39"/>
  <c r="L50" i="39"/>
  <c r="N50" i="39"/>
  <c r="L64" i="39"/>
  <c r="N64" i="39"/>
  <c r="L81" i="39"/>
  <c r="N81" i="39"/>
  <c r="L94" i="39"/>
  <c r="N94" i="39"/>
  <c r="L103" i="39"/>
  <c r="N103" i="39"/>
  <c r="L113" i="39"/>
  <c r="N113" i="39"/>
  <c r="L124" i="39"/>
  <c r="N124" i="39"/>
  <c r="L136" i="39"/>
  <c r="N136" i="39"/>
  <c r="L17" i="39"/>
  <c r="N17" i="39"/>
  <c r="L51" i="39"/>
  <c r="N51" i="39"/>
  <c r="L82" i="39"/>
  <c r="N82" i="39"/>
  <c r="L114" i="39"/>
  <c r="N114" i="39"/>
  <c r="L137" i="39"/>
  <c r="N137" i="39"/>
  <c r="L18" i="39"/>
  <c r="L30" i="39"/>
  <c r="N30" i="39"/>
  <c r="L44" i="39"/>
  <c r="N44" i="39"/>
  <c r="L52" i="39"/>
  <c r="N52" i="39"/>
  <c r="L66" i="39"/>
  <c r="N66" i="39"/>
  <c r="L84" i="39"/>
  <c r="N84" i="39"/>
  <c r="L96" i="39"/>
  <c r="N96" i="39"/>
  <c r="L105" i="39"/>
  <c r="N105" i="39"/>
  <c r="L116" i="39"/>
  <c r="N116" i="39"/>
  <c r="L127" i="39"/>
  <c r="N127" i="39"/>
  <c r="L139" i="39"/>
  <c r="N139" i="39"/>
  <c r="N187" i="39"/>
  <c r="L187" i="39"/>
  <c r="L95" i="39"/>
  <c r="N95" i="39"/>
  <c r="L33" i="39"/>
  <c r="N33" i="39"/>
  <c r="L45" i="39"/>
  <c r="N45" i="39"/>
  <c r="L53" i="39"/>
  <c r="N53" i="39"/>
  <c r="L69" i="39"/>
  <c r="N69" i="39"/>
  <c r="L86" i="39"/>
  <c r="N86" i="39"/>
  <c r="L97" i="39"/>
  <c r="N97" i="39"/>
  <c r="L106" i="39"/>
  <c r="N106" i="39"/>
  <c r="L117" i="39"/>
  <c r="N117" i="39"/>
  <c r="L128" i="39"/>
  <c r="N128" i="39"/>
  <c r="L141" i="39"/>
  <c r="N141" i="39"/>
  <c r="N185" i="39"/>
  <c r="L19" i="39"/>
  <c r="N19" i="39"/>
  <c r="L20" i="39"/>
  <c r="N20" i="39"/>
  <c r="L34" i="39"/>
  <c r="N34" i="39"/>
  <c r="L46" i="39"/>
  <c r="N46" i="39"/>
  <c r="L57" i="39"/>
  <c r="N57" i="39"/>
  <c r="L70" i="39"/>
  <c r="N70" i="39"/>
  <c r="L90" i="39"/>
  <c r="N90" i="39"/>
  <c r="L99" i="39"/>
  <c r="N99" i="39"/>
  <c r="L108" i="39"/>
  <c r="N108" i="39"/>
  <c r="L119" i="39"/>
  <c r="N119" i="39"/>
  <c r="L129" i="39"/>
  <c r="N129" i="39"/>
  <c r="N177" i="39"/>
  <c r="L177" i="39"/>
  <c r="L13" i="39"/>
  <c r="N13" i="39"/>
  <c r="L21" i="39"/>
  <c r="N21" i="39"/>
  <c r="L35" i="39"/>
  <c r="N35" i="39"/>
  <c r="L47" i="39"/>
  <c r="N47" i="39"/>
  <c r="L58" i="39"/>
  <c r="N58" i="39"/>
  <c r="L71" i="39"/>
  <c r="N71" i="39"/>
  <c r="L91" i="39"/>
  <c r="N91" i="39"/>
  <c r="L100" i="39"/>
  <c r="N100" i="39"/>
  <c r="L109" i="39"/>
  <c r="N109" i="39"/>
  <c r="L120" i="39"/>
  <c r="N120" i="39"/>
  <c r="L131" i="39"/>
  <c r="M131" i="39" s="1"/>
  <c r="N131" i="39"/>
  <c r="O131" i="39" s="1"/>
  <c r="L29" i="39"/>
  <c r="N29" i="39"/>
  <c r="L43" i="39"/>
  <c r="N43" i="39"/>
  <c r="L65" i="39"/>
  <c r="N65" i="39"/>
  <c r="L104" i="39"/>
  <c r="N104" i="39"/>
  <c r="L126" i="39"/>
  <c r="N126" i="39"/>
  <c r="L22" i="39"/>
  <c r="N22" i="39"/>
  <c r="L38" i="39"/>
  <c r="N38" i="39"/>
  <c r="L48" i="39"/>
  <c r="N48" i="39"/>
  <c r="L60" i="39"/>
  <c r="N60" i="39"/>
  <c r="L74" i="39"/>
  <c r="N74" i="39"/>
  <c r="L92" i="39"/>
  <c r="N92" i="39"/>
  <c r="L101" i="39"/>
  <c r="N101" i="39"/>
  <c r="L111" i="39"/>
  <c r="N111" i="39"/>
  <c r="L122" i="39"/>
  <c r="N122" i="39"/>
  <c r="L134" i="39"/>
  <c r="N134" i="39"/>
  <c r="L26" i="39"/>
  <c r="N26" i="39"/>
  <c r="L39" i="39"/>
  <c r="N39" i="39"/>
  <c r="L49" i="39"/>
  <c r="N49" i="39"/>
  <c r="L61" i="39"/>
  <c r="N61" i="39"/>
  <c r="L75" i="39"/>
  <c r="N75" i="39"/>
  <c r="L93" i="39"/>
  <c r="N93" i="39"/>
  <c r="L102" i="39"/>
  <c r="N102" i="39"/>
  <c r="L112" i="39"/>
  <c r="N112" i="39"/>
  <c r="L123" i="39"/>
  <c r="N123" i="39"/>
  <c r="L135" i="39"/>
  <c r="N135" i="39"/>
  <c r="L14" i="39"/>
  <c r="H14" i="39"/>
  <c r="L15" i="39"/>
  <c r="I15" i="39"/>
  <c r="P185" i="39"/>
  <c r="P106" i="39"/>
  <c r="P51" i="39"/>
  <c r="R51" i="39" s="1"/>
  <c r="P124" i="39"/>
  <c r="P129" i="39"/>
  <c r="P130" i="39"/>
  <c r="P43" i="39"/>
  <c r="P97" i="39"/>
  <c r="P85" i="39" s="1"/>
  <c r="P44" i="39"/>
  <c r="P117" i="39"/>
  <c r="P45" i="39"/>
  <c r="P52" i="39"/>
  <c r="P100" i="39"/>
  <c r="P122" i="39"/>
  <c r="P61" i="39"/>
  <c r="P59" i="39" s="1"/>
  <c r="P123" i="39"/>
  <c r="P46" i="39"/>
  <c r="P109" i="39"/>
  <c r="P47" i="39"/>
  <c r="P69" i="39"/>
  <c r="P102" i="39"/>
  <c r="P111" i="39"/>
  <c r="P127" i="39"/>
  <c r="P135" i="39"/>
  <c r="P53" i="39"/>
  <c r="P101" i="39"/>
  <c r="P70" i="39"/>
  <c r="P103" i="39"/>
  <c r="P128" i="39"/>
  <c r="P136" i="39"/>
  <c r="P30" i="39"/>
  <c r="P121" i="39"/>
  <c r="P71" i="39"/>
  <c r="P104" i="39"/>
  <c r="P114" i="39"/>
  <c r="H58" i="54"/>
  <c r="H34" i="54" s="1"/>
  <c r="P105" i="39"/>
  <c r="I124" i="39"/>
  <c r="I17" i="39"/>
  <c r="I39" i="39"/>
  <c r="I53" i="39"/>
  <c r="I93" i="39"/>
  <c r="I100" i="39"/>
  <c r="I126" i="39"/>
  <c r="I18" i="39"/>
  <c r="I33" i="39"/>
  <c r="I40" i="39"/>
  <c r="I47" i="39"/>
  <c r="I86" i="39"/>
  <c r="I94" i="39"/>
  <c r="I101" i="39"/>
  <c r="I121" i="39"/>
  <c r="M121" i="39" s="1"/>
  <c r="I139" i="39"/>
  <c r="I22" i="39"/>
  <c r="I105" i="39"/>
  <c r="I30" i="39"/>
  <c r="I51" i="39"/>
  <c r="I74" i="39"/>
  <c r="I136" i="39"/>
  <c r="I187" i="39"/>
  <c r="I45" i="39"/>
  <c r="I99" i="39"/>
  <c r="I19" i="39"/>
  <c r="I27" i="39"/>
  <c r="I34" i="39"/>
  <c r="I48" i="39"/>
  <c r="I71" i="39"/>
  <c r="I102" i="39"/>
  <c r="I122" i="39"/>
  <c r="I66" i="39"/>
  <c r="I90" i="39"/>
  <c r="I185" i="39"/>
  <c r="I106" i="39"/>
  <c r="I52" i="39"/>
  <c r="I13" i="39"/>
  <c r="I20" i="39"/>
  <c r="I35" i="39"/>
  <c r="I49" i="39"/>
  <c r="I64" i="39"/>
  <c r="I96" i="39"/>
  <c r="I117" i="39"/>
  <c r="I123" i="39"/>
  <c r="I43" i="39"/>
  <c r="I44" i="39"/>
  <c r="I16" i="39"/>
  <c r="I60" i="39"/>
  <c r="I92" i="39"/>
  <c r="I14" i="39"/>
  <c r="I50" i="39"/>
  <c r="I65" i="39"/>
  <c r="I97" i="39"/>
  <c r="I104" i="39"/>
  <c r="I111" i="39"/>
  <c r="I141" i="39"/>
  <c r="I95" i="39"/>
  <c r="I135" i="39"/>
  <c r="I113" i="39"/>
  <c r="H185" i="39"/>
  <c r="H187" i="39"/>
  <c r="H95" i="39"/>
  <c r="H126" i="39"/>
  <c r="H97" i="39"/>
  <c r="H106" i="39"/>
  <c r="H116" i="39"/>
  <c r="H119" i="39"/>
  <c r="H127" i="39"/>
  <c r="H91" i="39"/>
  <c r="H100" i="39"/>
  <c r="H108" i="39"/>
  <c r="H113" i="39"/>
  <c r="H122" i="39"/>
  <c r="H131" i="39"/>
  <c r="H134" i="39"/>
  <c r="H92" i="39"/>
  <c r="H96" i="39"/>
  <c r="H105" i="39"/>
  <c r="H114" i="39"/>
  <c r="H123" i="39"/>
  <c r="H135" i="39"/>
  <c r="H82" i="39"/>
  <c r="H93" i="39"/>
  <c r="H136" i="39"/>
  <c r="H141" i="39"/>
  <c r="H90" i="39"/>
  <c r="H94" i="39"/>
  <c r="H103" i="39"/>
  <c r="H117" i="39"/>
  <c r="H124" i="39"/>
  <c r="H128" i="39"/>
  <c r="H137" i="39"/>
  <c r="H139" i="39"/>
  <c r="H21" i="39"/>
  <c r="H27" i="39"/>
  <c r="H34" i="39"/>
  <c r="H39" i="39"/>
  <c r="H44" i="39"/>
  <c r="H48" i="39"/>
  <c r="H51" i="39"/>
  <c r="H65" i="39"/>
  <c r="H71" i="39"/>
  <c r="H13" i="39"/>
  <c r="H16" i="39"/>
  <c r="H20" i="39"/>
  <c r="H33" i="39"/>
  <c r="H38" i="39"/>
  <c r="H43" i="39"/>
  <c r="H47" i="39"/>
  <c r="H57" i="39"/>
  <c r="H64" i="39"/>
  <c r="H70" i="39"/>
  <c r="H75" i="39"/>
  <c r="H15" i="39"/>
  <c r="H18" i="39"/>
  <c r="H22" i="39"/>
  <c r="H35" i="39"/>
  <c r="H40" i="39"/>
  <c r="H45" i="39"/>
  <c r="H49" i="39"/>
  <c r="H52" i="39"/>
  <c r="H60" i="39"/>
  <c r="H19" i="39"/>
  <c r="H30" i="39"/>
  <c r="H46" i="39"/>
  <c r="H50" i="39"/>
  <c r="H53" i="39"/>
  <c r="H61" i="39"/>
  <c r="H69" i="39"/>
  <c r="Q183" i="39"/>
  <c r="R183" i="39" s="1"/>
  <c r="H183" i="39"/>
  <c r="P205" i="39"/>
  <c r="P201" i="39" s="1"/>
  <c r="H280" i="39"/>
  <c r="H120" i="39"/>
  <c r="H40" i="35"/>
  <c r="H14" i="35"/>
  <c r="I184" i="39"/>
  <c r="H207" i="39"/>
  <c r="P184" i="39"/>
  <c r="H205" i="39"/>
  <c r="H201" i="39" s="1"/>
  <c r="H277" i="39"/>
  <c r="H278" i="39"/>
  <c r="H279" i="39"/>
  <c r="P118" i="39" l="1"/>
  <c r="N85" i="39"/>
  <c r="N63" i="39"/>
  <c r="L176" i="39"/>
  <c r="L145" i="39" s="1"/>
  <c r="I63" i="39"/>
  <c r="H42" i="39"/>
  <c r="P68" i="39"/>
  <c r="M40" i="39"/>
  <c r="M39" i="39"/>
  <c r="N12" i="39"/>
  <c r="L12" i="39"/>
  <c r="O20" i="39"/>
  <c r="M20" i="39"/>
  <c r="O13" i="39"/>
  <c r="M13" i="39"/>
  <c r="M35" i="39"/>
  <c r="O35" i="39"/>
  <c r="M18" i="39"/>
  <c r="O18" i="39"/>
  <c r="O14" i="39"/>
  <c r="M14" i="39"/>
  <c r="M34" i="39"/>
  <c r="O34" i="39"/>
  <c r="O15" i="39"/>
  <c r="M15" i="39"/>
  <c r="M27" i="39"/>
  <c r="O27" i="39"/>
  <c r="O30" i="39"/>
  <c r="M30" i="39"/>
  <c r="O16" i="39"/>
  <c r="M16" i="39"/>
  <c r="O19" i="39"/>
  <c r="M19" i="39"/>
  <c r="M17" i="39"/>
  <c r="O17" i="39"/>
  <c r="O22" i="39"/>
  <c r="M22" i="39"/>
  <c r="O33" i="39"/>
  <c r="M33" i="39"/>
  <c r="O184" i="39"/>
  <c r="M184" i="39"/>
  <c r="K184" i="39"/>
  <c r="M185" i="39"/>
  <c r="M187" i="39"/>
  <c r="M50" i="39"/>
  <c r="M135" i="39"/>
  <c r="M93" i="39"/>
  <c r="M111" i="39"/>
  <c r="M60" i="39"/>
  <c r="M126" i="39"/>
  <c r="M100" i="39"/>
  <c r="M47" i="39"/>
  <c r="M99" i="39"/>
  <c r="M106" i="39"/>
  <c r="M53" i="39"/>
  <c r="M105" i="39"/>
  <c r="M52" i="39"/>
  <c r="M136" i="39"/>
  <c r="M94" i="39"/>
  <c r="M123" i="39"/>
  <c r="M101" i="39"/>
  <c r="M48" i="39"/>
  <c r="M104" i="39"/>
  <c r="M90" i="39"/>
  <c r="M141" i="39"/>
  <c r="M97" i="39"/>
  <c r="M45" i="39"/>
  <c r="M139" i="39"/>
  <c r="M96" i="39"/>
  <c r="M44" i="39"/>
  <c r="M82" i="39"/>
  <c r="M124" i="39"/>
  <c r="M92" i="39"/>
  <c r="M65" i="39"/>
  <c r="M71" i="39"/>
  <c r="M86" i="39"/>
  <c r="M51" i="39"/>
  <c r="M113" i="39"/>
  <c r="M64" i="39"/>
  <c r="M102" i="39"/>
  <c r="M49" i="39"/>
  <c r="M122" i="39"/>
  <c r="M74" i="39"/>
  <c r="M43" i="39"/>
  <c r="M57" i="39"/>
  <c r="M117" i="39"/>
  <c r="M95" i="39"/>
  <c r="M66" i="39"/>
  <c r="O124" i="39"/>
  <c r="O65" i="39"/>
  <c r="O71" i="39"/>
  <c r="O102" i="39"/>
  <c r="O49" i="39"/>
  <c r="O122" i="39"/>
  <c r="O43" i="39"/>
  <c r="L130" i="39"/>
  <c r="M130" i="39" s="1"/>
  <c r="O82" i="39"/>
  <c r="O51" i="39"/>
  <c r="O113" i="39"/>
  <c r="O64" i="39"/>
  <c r="O74" i="39"/>
  <c r="O57" i="39"/>
  <c r="O117" i="39"/>
  <c r="O95" i="39"/>
  <c r="O66" i="39"/>
  <c r="O92" i="39"/>
  <c r="O86" i="39"/>
  <c r="O50" i="39"/>
  <c r="O135" i="39"/>
  <c r="O93" i="39"/>
  <c r="O39" i="39"/>
  <c r="O111" i="39"/>
  <c r="O60" i="39"/>
  <c r="O126" i="39"/>
  <c r="O100" i="39"/>
  <c r="O47" i="39"/>
  <c r="O99" i="39"/>
  <c r="O106" i="39"/>
  <c r="O53" i="39"/>
  <c r="O105" i="39"/>
  <c r="O52" i="39"/>
  <c r="O121" i="39"/>
  <c r="O185" i="39"/>
  <c r="O187" i="39"/>
  <c r="O136" i="39"/>
  <c r="O94" i="39"/>
  <c r="O40" i="39"/>
  <c r="O123" i="39"/>
  <c r="O101" i="39"/>
  <c r="O48" i="39"/>
  <c r="O104" i="39"/>
  <c r="O90" i="39"/>
  <c r="O141" i="39"/>
  <c r="O97" i="39"/>
  <c r="O45" i="39"/>
  <c r="O139" i="39"/>
  <c r="O96" i="39"/>
  <c r="O44" i="39"/>
  <c r="N59" i="39"/>
  <c r="L59" i="39"/>
  <c r="N42" i="39"/>
  <c r="L42" i="39"/>
  <c r="N28" i="39"/>
  <c r="L28" i="39"/>
  <c r="P41" i="35"/>
  <c r="P40" i="35" s="1"/>
  <c r="P9" i="35" s="1"/>
  <c r="O20" i="35"/>
  <c r="I13" i="35"/>
  <c r="N32" i="39"/>
  <c r="L32" i="39"/>
  <c r="H138" i="39"/>
  <c r="H32" i="39"/>
  <c r="I32" i="39"/>
  <c r="L79" i="39"/>
  <c r="P42" i="39"/>
  <c r="L63" i="39"/>
  <c r="L25" i="39"/>
  <c r="L37" i="39"/>
  <c r="M20" i="35"/>
  <c r="O14" i="35"/>
  <c r="N98" i="39"/>
  <c r="N133" i="39"/>
  <c r="N37" i="39"/>
  <c r="L98" i="39"/>
  <c r="L133" i="39"/>
  <c r="N130" i="39"/>
  <c r="O130" i="39" s="1"/>
  <c r="N138" i="39"/>
  <c r="N73" i="39"/>
  <c r="L138" i="39"/>
  <c r="L73" i="39"/>
  <c r="N118" i="39"/>
  <c r="N83" i="39"/>
  <c r="N79" i="39"/>
  <c r="L118" i="39"/>
  <c r="L85" i="39"/>
  <c r="L83" i="39"/>
  <c r="N25" i="39"/>
  <c r="N125" i="39"/>
  <c r="N107" i="39"/>
  <c r="N56" i="39"/>
  <c r="N68" i="39"/>
  <c r="L125" i="39"/>
  <c r="L107" i="39"/>
  <c r="L56" i="39"/>
  <c r="L68" i="39"/>
  <c r="L115" i="39"/>
  <c r="R171" i="39"/>
  <c r="H10" i="54"/>
  <c r="H151" i="39" s="1"/>
  <c r="H178" i="39"/>
  <c r="H13" i="35"/>
  <c r="H10" i="35" s="1"/>
  <c r="H9" i="35" s="1"/>
  <c r="H180" i="39"/>
  <c r="H129" i="39"/>
  <c r="I129" i="39"/>
  <c r="M129" i="39" s="1"/>
  <c r="H112" i="39"/>
  <c r="I112" i="39"/>
  <c r="O112" i="39" s="1"/>
  <c r="P180" i="39"/>
  <c r="P178" i="39"/>
  <c r="V10" i="54"/>
  <c r="I180" i="39"/>
  <c r="M180" i="39" s="1"/>
  <c r="Q189" i="39"/>
  <c r="R189" i="39" s="1"/>
  <c r="H121" i="39"/>
  <c r="I178" i="39"/>
  <c r="M178" i="39" s="1"/>
  <c r="H74" i="39"/>
  <c r="I128" i="39"/>
  <c r="M128" i="39" s="1"/>
  <c r="T10" i="54"/>
  <c r="I29" i="39"/>
  <c r="I127" i="39"/>
  <c r="O127" i="39" s="1"/>
  <c r="I114" i="39"/>
  <c r="M114" i="39" s="1"/>
  <c r="I75" i="39"/>
  <c r="M75" i="39" s="1"/>
  <c r="I116" i="39"/>
  <c r="O116" i="39" s="1"/>
  <c r="I70" i="39"/>
  <c r="O70" i="39" s="1"/>
  <c r="J49" i="54"/>
  <c r="H12" i="37"/>
  <c r="H11" i="37" s="1"/>
  <c r="H184" i="39"/>
  <c r="T34" i="54"/>
  <c r="T32" i="54" s="1"/>
  <c r="I84" i="39"/>
  <c r="O84" i="39" s="1"/>
  <c r="I137" i="39"/>
  <c r="O137" i="39" s="1"/>
  <c r="P115" i="39"/>
  <c r="I38" i="39"/>
  <c r="I61" i="39"/>
  <c r="I59" i="39" s="1"/>
  <c r="I81" i="39"/>
  <c r="I79" i="39" s="1"/>
  <c r="I108" i="39"/>
  <c r="O108" i="39" s="1"/>
  <c r="H58" i="39"/>
  <c r="I58" i="39"/>
  <c r="O58" i="39" s="1"/>
  <c r="P137" i="39"/>
  <c r="I26" i="39"/>
  <c r="H29" i="39"/>
  <c r="H66" i="39"/>
  <c r="M103" i="39"/>
  <c r="I134" i="39"/>
  <c r="O134" i="39" s="1"/>
  <c r="I138" i="39"/>
  <c r="P138" i="39"/>
  <c r="H81" i="39"/>
  <c r="P29" i="39"/>
  <c r="I46" i="39"/>
  <c r="I42" i="39" s="1"/>
  <c r="P56" i="39"/>
  <c r="I69" i="39"/>
  <c r="M69" i="39" s="1"/>
  <c r="H26" i="39"/>
  <c r="P125" i="39"/>
  <c r="H109" i="39"/>
  <c r="I21" i="39"/>
  <c r="I12" i="39" s="1"/>
  <c r="H17" i="39"/>
  <c r="P108" i="39"/>
  <c r="P107" i="39" s="1"/>
  <c r="H59" i="39"/>
  <c r="H133" i="39"/>
  <c r="I119" i="39"/>
  <c r="O119" i="39" s="1"/>
  <c r="I91" i="39"/>
  <c r="M91" i="39" s="1"/>
  <c r="H99" i="39"/>
  <c r="I109" i="39"/>
  <c r="M109" i="39" s="1"/>
  <c r="P99" i="39"/>
  <c r="H130" i="39"/>
  <c r="I120" i="39"/>
  <c r="M120" i="39" s="1"/>
  <c r="H86" i="39"/>
  <c r="H37" i="39"/>
  <c r="H68" i="39"/>
  <c r="I177" i="39"/>
  <c r="M177" i="39" s="1"/>
  <c r="H177" i="39"/>
  <c r="I10" i="35" l="1"/>
  <c r="N10" i="35" s="1"/>
  <c r="N13" i="35"/>
  <c r="O13" i="35" s="1"/>
  <c r="K49" i="54"/>
  <c r="J227" i="39"/>
  <c r="H63" i="39"/>
  <c r="H12" i="39"/>
  <c r="O12" i="39"/>
  <c r="M12" i="39"/>
  <c r="O32" i="39"/>
  <c r="M32" i="39"/>
  <c r="M26" i="39"/>
  <c r="O26" i="39"/>
  <c r="I28" i="39"/>
  <c r="O29" i="39"/>
  <c r="M29" i="39"/>
  <c r="O38" i="39"/>
  <c r="M38" i="39"/>
  <c r="O21" i="39"/>
  <c r="M21" i="39"/>
  <c r="M81" i="39"/>
  <c r="M63" i="39"/>
  <c r="M42" i="39"/>
  <c r="M108" i="39"/>
  <c r="M70" i="39"/>
  <c r="M134" i="39"/>
  <c r="M119" i="39"/>
  <c r="M61" i="39"/>
  <c r="M138" i="39"/>
  <c r="M79" i="39"/>
  <c r="M59" i="39"/>
  <c r="M116" i="39"/>
  <c r="M58" i="39"/>
  <c r="M84" i="39"/>
  <c r="M112" i="39"/>
  <c r="M46" i="39"/>
  <c r="M127" i="39"/>
  <c r="M137" i="39"/>
  <c r="O114" i="39"/>
  <c r="O109" i="39"/>
  <c r="O81" i="39"/>
  <c r="O46" i="39"/>
  <c r="O75" i="39"/>
  <c r="O129" i="39"/>
  <c r="O177" i="39"/>
  <c r="O103" i="39"/>
  <c r="O69" i="39"/>
  <c r="L72" i="39"/>
  <c r="O42" i="39"/>
  <c r="O128" i="39"/>
  <c r="O91" i="39"/>
  <c r="O120" i="39"/>
  <c r="N72" i="39"/>
  <c r="O59" i="39"/>
  <c r="O63" i="39"/>
  <c r="O138" i="39"/>
  <c r="O79" i="39"/>
  <c r="O61" i="39"/>
  <c r="R40" i="35"/>
  <c r="I176" i="39"/>
  <c r="I79" i="4"/>
  <c r="P133" i="39"/>
  <c r="P98" i="39"/>
  <c r="P28" i="39"/>
  <c r="I133" i="39"/>
  <c r="M133" i="39" s="1"/>
  <c r="L78" i="39"/>
  <c r="H73" i="39"/>
  <c r="N178" i="39"/>
  <c r="O178" i="39" s="1"/>
  <c r="P176" i="39"/>
  <c r="P145" i="39" s="1"/>
  <c r="M13" i="35"/>
  <c r="N180" i="39"/>
  <c r="O180" i="39" s="1"/>
  <c r="L11" i="39"/>
  <c r="N41" i="39"/>
  <c r="N11" i="39"/>
  <c r="L41" i="39"/>
  <c r="N115" i="39"/>
  <c r="N78" i="39" s="1"/>
  <c r="I98" i="39"/>
  <c r="O98" i="39" s="1"/>
  <c r="I37" i="39"/>
  <c r="I25" i="39"/>
  <c r="I83" i="39"/>
  <c r="M83" i="39" s="1"/>
  <c r="I73" i="39"/>
  <c r="I72" i="39" s="1"/>
  <c r="I56" i="39"/>
  <c r="M56" i="39" s="1"/>
  <c r="H213" i="39"/>
  <c r="I76" i="37"/>
  <c r="I80" i="37" s="1"/>
  <c r="H125" i="39"/>
  <c r="H118" i="39"/>
  <c r="H79" i="39"/>
  <c r="H83" i="39"/>
  <c r="H98" i="39"/>
  <c r="H85" i="39"/>
  <c r="H56" i="39"/>
  <c r="H25" i="39"/>
  <c r="H28" i="39"/>
  <c r="H115" i="39"/>
  <c r="H107" i="39"/>
  <c r="I115" i="39"/>
  <c r="M115" i="39" s="1"/>
  <c r="I85" i="39"/>
  <c r="O85" i="39" s="1"/>
  <c r="I118" i="39"/>
  <c r="O118" i="39" s="1"/>
  <c r="I125" i="39"/>
  <c r="O125" i="39" s="1"/>
  <c r="I107" i="39"/>
  <c r="M107" i="39" s="1"/>
  <c r="Q184" i="39"/>
  <c r="R184" i="39" s="1"/>
  <c r="I68" i="39"/>
  <c r="M68" i="39" s="1"/>
  <c r="H9" i="54"/>
  <c r="H176" i="39"/>
  <c r="H145" i="39" s="1"/>
  <c r="Q48" i="35"/>
  <c r="R48" i="35" s="1"/>
  <c r="P41" i="39"/>
  <c r="N10" i="39" l="1"/>
  <c r="M176" i="39"/>
  <c r="M10" i="35"/>
  <c r="P78" i="39"/>
  <c r="K240" i="39"/>
  <c r="P290" i="39"/>
  <c r="H212" i="39"/>
  <c r="H41" i="39"/>
  <c r="I41" i="39"/>
  <c r="H72" i="39"/>
  <c r="O28" i="39"/>
  <c r="M28" i="39"/>
  <c r="O37" i="39"/>
  <c r="M37" i="39"/>
  <c r="O25" i="39"/>
  <c r="M25" i="39"/>
  <c r="M125" i="39"/>
  <c r="M98" i="39"/>
  <c r="M118" i="39"/>
  <c r="M72" i="39"/>
  <c r="M73" i="39"/>
  <c r="M85" i="39"/>
  <c r="O56" i="39"/>
  <c r="O83" i="39"/>
  <c r="O107" i="39"/>
  <c r="O133" i="39"/>
  <c r="O115" i="39"/>
  <c r="O73" i="39"/>
  <c r="O68" i="39"/>
  <c r="O72" i="39"/>
  <c r="H290" i="39"/>
  <c r="J241" i="39"/>
  <c r="J242" i="39"/>
  <c r="K242" i="39" s="1"/>
  <c r="P27" i="39"/>
  <c r="J14" i="35"/>
  <c r="I11" i="39"/>
  <c r="O11" i="39" s="1"/>
  <c r="I87" i="37"/>
  <c r="I90" i="37"/>
  <c r="I91" i="37" s="1"/>
  <c r="I86" i="37"/>
  <c r="K45" i="35"/>
  <c r="J274" i="39"/>
  <c r="K274" i="39" s="1"/>
  <c r="I78" i="39"/>
  <c r="M78" i="39" s="1"/>
  <c r="L10" i="39"/>
  <c r="N176" i="39"/>
  <c r="J247" i="39"/>
  <c r="K247" i="39" s="1"/>
  <c r="I84" i="37"/>
  <c r="J248" i="39"/>
  <c r="K248" i="39" s="1"/>
  <c r="I85" i="37"/>
  <c r="J246" i="39"/>
  <c r="K246" i="39" s="1"/>
  <c r="I83" i="37"/>
  <c r="J245" i="39"/>
  <c r="I82" i="37"/>
  <c r="O10" i="35"/>
  <c r="J250" i="39"/>
  <c r="K250" i="39" s="1"/>
  <c r="J249" i="39"/>
  <c r="K249" i="39" s="1"/>
  <c r="J256" i="39"/>
  <c r="K256" i="39" s="1"/>
  <c r="K34" i="35"/>
  <c r="J38" i="35"/>
  <c r="H11" i="39"/>
  <c r="H78" i="39"/>
  <c r="Q30" i="37"/>
  <c r="R30" i="37" s="1"/>
  <c r="R167" i="39"/>
  <c r="H292" i="39"/>
  <c r="Q13" i="35"/>
  <c r="Q10" i="35" s="1"/>
  <c r="H10" i="39" l="1"/>
  <c r="J244" i="39"/>
  <c r="K14" i="35"/>
  <c r="J239" i="39"/>
  <c r="K239" i="39" s="1"/>
  <c r="K245" i="39"/>
  <c r="K241" i="39"/>
  <c r="O176" i="39"/>
  <c r="I88" i="37"/>
  <c r="M41" i="39"/>
  <c r="K38" i="35"/>
  <c r="M11" i="39"/>
  <c r="O78" i="39"/>
  <c r="O41" i="39"/>
  <c r="Q9" i="35"/>
  <c r="R13" i="35"/>
  <c r="K50" i="35"/>
  <c r="P26" i="39"/>
  <c r="P25" i="39" s="1"/>
  <c r="I10" i="39"/>
  <c r="K47" i="35"/>
  <c r="K35" i="35"/>
  <c r="K24" i="35"/>
  <c r="K49" i="35"/>
  <c r="K46" i="35"/>
  <c r="K31" i="35"/>
  <c r="K32" i="35"/>
  <c r="K36" i="35"/>
  <c r="K33" i="35"/>
  <c r="R173" i="39"/>
  <c r="R166" i="39"/>
  <c r="R164" i="39"/>
  <c r="R168" i="39"/>
  <c r="R165" i="39"/>
  <c r="R169" i="39"/>
  <c r="R172" i="39"/>
  <c r="K42" i="35"/>
  <c r="K23" i="35"/>
  <c r="K41" i="35"/>
  <c r="J189" i="39"/>
  <c r="K189" i="39" s="1"/>
  <c r="J181" i="39"/>
  <c r="K181" i="39" s="1"/>
  <c r="K20" i="35"/>
  <c r="J180" i="39"/>
  <c r="K180" i="39" s="1"/>
  <c r="J272" i="39"/>
  <c r="K43" i="35"/>
  <c r="J37" i="35"/>
  <c r="K273" i="39"/>
  <c r="K44" i="35"/>
  <c r="J276" i="39"/>
  <c r="K276" i="39" s="1"/>
  <c r="J275" i="39"/>
  <c r="K275" i="39" s="1"/>
  <c r="H9" i="39"/>
  <c r="Q54" i="37"/>
  <c r="R54" i="37" s="1"/>
  <c r="Q178" i="39"/>
  <c r="R178" i="39" s="1"/>
  <c r="Q12" i="37"/>
  <c r="Q180" i="39"/>
  <c r="R180" i="39" s="1"/>
  <c r="R9" i="35" l="1"/>
  <c r="K37" i="35"/>
  <c r="J271" i="39"/>
  <c r="K271" i="39" s="1"/>
  <c r="K272" i="39"/>
  <c r="P22" i="39"/>
  <c r="M10" i="39"/>
  <c r="O10" i="39"/>
  <c r="R266" i="39"/>
  <c r="J188" i="39"/>
  <c r="K188" i="39" s="1"/>
  <c r="Q290" i="39"/>
  <c r="J40" i="35"/>
  <c r="R12" i="37"/>
  <c r="P21" i="39" l="1"/>
  <c r="R290" i="39"/>
  <c r="Q154" i="39"/>
  <c r="R154" i="39" s="1"/>
  <c r="K40" i="35"/>
  <c r="J178" i="39"/>
  <c r="K178" i="39" s="1"/>
  <c r="J13" i="35"/>
  <c r="I48" i="35"/>
  <c r="I277" i="39" l="1"/>
  <c r="M277" i="39" s="1"/>
  <c r="I9" i="35"/>
  <c r="J10" i="35"/>
  <c r="K13" i="35"/>
  <c r="P20" i="39"/>
  <c r="M48" i="35"/>
  <c r="N48" i="35"/>
  <c r="N277" i="39" s="1"/>
  <c r="K48" i="35"/>
  <c r="N9" i="35" l="1"/>
  <c r="J9" i="35"/>
  <c r="K10" i="35"/>
  <c r="O48" i="35"/>
  <c r="O277" i="39"/>
  <c r="P19" i="39"/>
  <c r="M9" i="35"/>
  <c r="I290" i="39"/>
  <c r="M290" i="39" l="1"/>
  <c r="M236" i="39"/>
  <c r="P18" i="39"/>
  <c r="K9" i="35"/>
  <c r="O9" i="35"/>
  <c r="N290" i="39"/>
  <c r="O290" i="39" s="1"/>
  <c r="L213" i="39" l="1"/>
  <c r="M213" i="39" s="1"/>
  <c r="K170" i="39"/>
  <c r="K169" i="39"/>
  <c r="K165" i="39"/>
  <c r="K162" i="39"/>
  <c r="P17" i="39"/>
  <c r="O159" i="39" l="1"/>
  <c r="K159" i="39"/>
  <c r="N162" i="39"/>
  <c r="N165" i="39"/>
  <c r="O165" i="39" s="1"/>
  <c r="N169" i="39"/>
  <c r="O169" i="39" s="1"/>
  <c r="N170" i="39"/>
  <c r="O170" i="39" s="1"/>
  <c r="K154" i="39"/>
  <c r="P16" i="39"/>
  <c r="J290" i="39"/>
  <c r="S290" i="39" s="1"/>
  <c r="O162" i="39" l="1"/>
  <c r="N154" i="39"/>
  <c r="N145" i="39" s="1"/>
  <c r="N9" i="39" s="1"/>
  <c r="I78" i="4"/>
  <c r="P15" i="39"/>
  <c r="K290" i="39"/>
  <c r="I9" i="4" l="1"/>
  <c r="O154" i="39"/>
  <c r="P14" i="39"/>
  <c r="P12" i="39" s="1"/>
  <c r="P37" i="39" l="1"/>
  <c r="S10" i="4" l="1"/>
  <c r="P11" i="39"/>
  <c r="P10" i="39" l="1"/>
  <c r="P9" i="39" s="1"/>
  <c r="P289" i="39" l="1"/>
  <c r="R214" i="39" l="1"/>
  <c r="R36" i="54"/>
  <c r="J10" i="54" l="1"/>
  <c r="J151" i="39" s="1"/>
  <c r="R10" i="54" l="1"/>
  <c r="O9" i="54" l="1"/>
  <c r="M9" i="54"/>
  <c r="P292" i="39"/>
  <c r="N292" i="39" l="1"/>
  <c r="K10" i="54" l="1"/>
  <c r="I151" i="39"/>
  <c r="I146" i="39" s="1"/>
  <c r="O146" i="39" l="1"/>
  <c r="M146" i="39"/>
  <c r="I145" i="39"/>
  <c r="O151" i="39"/>
  <c r="M151" i="39"/>
  <c r="K151" i="39"/>
  <c r="I292" i="39"/>
  <c r="M292" i="39" l="1"/>
  <c r="O292" i="39"/>
  <c r="M145" i="39" l="1"/>
  <c r="O145" i="39"/>
  <c r="H289" i="39"/>
  <c r="V62" i="54"/>
  <c r="Q62" i="54" s="1"/>
  <c r="V61" i="54"/>
  <c r="Q61" i="54" s="1"/>
  <c r="V65" i="54"/>
  <c r="V66" i="54"/>
  <c r="V64" i="54"/>
  <c r="Q64" i="54" s="1"/>
  <c r="V63" i="54"/>
  <c r="Q63" i="54" s="1"/>
  <c r="V58" i="54" l="1"/>
  <c r="V34" i="54" s="1"/>
  <c r="V32" i="54" l="1"/>
  <c r="V9" i="54"/>
  <c r="Q53" i="54" l="1"/>
  <c r="Q32" i="54"/>
  <c r="Q45" i="54"/>
  <c r="Q223" i="39" s="1"/>
  <c r="Q54" i="54"/>
  <c r="Q46" i="54"/>
  <c r="Q224" i="39" s="1"/>
  <c r="Q55" i="54"/>
  <c r="Q47" i="54"/>
  <c r="Q225" i="39" s="1"/>
  <c r="Q56" i="54"/>
  <c r="Q48" i="54"/>
  <c r="Q226" i="39" s="1"/>
  <c r="Q49" i="54"/>
  <c r="Q227" i="39" s="1"/>
  <c r="Q43" i="54"/>
  <c r="Q221" i="39" s="1"/>
  <c r="Q42" i="54"/>
  <c r="Q220" i="39" s="1"/>
  <c r="Q50" i="54"/>
  <c r="Q228" i="39" s="1"/>
  <c r="Q51" i="54"/>
  <c r="Q229" i="39" s="1"/>
  <c r="Q44" i="54"/>
  <c r="Q222" i="39" s="1"/>
  <c r="Q52" i="54"/>
  <c r="Q70" i="54"/>
  <c r="R70" i="54" s="1"/>
  <c r="Q57" i="54"/>
  <c r="R57" i="54" s="1"/>
  <c r="Q68" i="54"/>
  <c r="Q69" i="54"/>
  <c r="R69" i="54" s="1"/>
  <c r="Q67" i="54"/>
  <c r="Q65" i="54"/>
  <c r="Q66" i="54"/>
  <c r="J57" i="54"/>
  <c r="J56" i="54"/>
  <c r="K56" i="54" s="1"/>
  <c r="J52" i="54"/>
  <c r="K52" i="54" s="1"/>
  <c r="J36" i="54"/>
  <c r="J50" i="54"/>
  <c r="J228" i="39" s="1"/>
  <c r="J48" i="54"/>
  <c r="J226" i="39" s="1"/>
  <c r="J39" i="54"/>
  <c r="J217" i="39" s="1"/>
  <c r="J51" i="54"/>
  <c r="K51" i="54" s="1"/>
  <c r="J45" i="54"/>
  <c r="J223" i="39" s="1"/>
  <c r="J55" i="54"/>
  <c r="K55" i="54" s="1"/>
  <c r="J59" i="54"/>
  <c r="J46" i="54"/>
  <c r="J224" i="39" s="1"/>
  <c r="J54" i="54"/>
  <c r="K54" i="54" s="1"/>
  <c r="J44" i="54"/>
  <c r="J222" i="39" s="1"/>
  <c r="J42" i="54"/>
  <c r="J220" i="39" s="1"/>
  <c r="J47" i="54"/>
  <c r="J225" i="39" s="1"/>
  <c r="J40" i="54"/>
  <c r="J218" i="39" s="1"/>
  <c r="J38" i="54"/>
  <c r="J216" i="39" s="1"/>
  <c r="J60" i="54"/>
  <c r="K60" i="54" s="1"/>
  <c r="J43" i="54"/>
  <c r="J221" i="39" s="1"/>
  <c r="J33" i="54"/>
  <c r="J197" i="39" s="1"/>
  <c r="J41" i="54"/>
  <c r="J219" i="39" s="1"/>
  <c r="J37" i="54"/>
  <c r="J215" i="39" s="1"/>
  <c r="J58" i="54"/>
  <c r="K58" i="54" s="1"/>
  <c r="J214" i="39" l="1"/>
  <c r="J35" i="54"/>
  <c r="R53" i="54"/>
  <c r="R231" i="39" s="1"/>
  <c r="Q231" i="39"/>
  <c r="Q230" i="39"/>
  <c r="R230" i="39" s="1"/>
  <c r="J236" i="39"/>
  <c r="K236" i="39" s="1"/>
  <c r="R227" i="39"/>
  <c r="R49" i="54"/>
  <c r="R222" i="39"/>
  <c r="R44" i="54"/>
  <c r="Q35" i="54"/>
  <c r="Q58" i="54"/>
  <c r="R58" i="54" s="1"/>
  <c r="R52" i="54"/>
  <c r="K57" i="54"/>
  <c r="K38" i="54"/>
  <c r="K46" i="54"/>
  <c r="K45" i="54"/>
  <c r="K48" i="54"/>
  <c r="K37" i="54"/>
  <c r="K40" i="54"/>
  <c r="K59" i="54"/>
  <c r="J238" i="39"/>
  <c r="K50" i="54"/>
  <c r="K41" i="54"/>
  <c r="K36" i="54"/>
  <c r="K47" i="54"/>
  <c r="K39" i="54"/>
  <c r="K42" i="54"/>
  <c r="K43" i="54"/>
  <c r="K44" i="54"/>
  <c r="R51" i="54"/>
  <c r="R229" i="39"/>
  <c r="R32" i="54"/>
  <c r="Q235" i="39"/>
  <c r="R235" i="39" s="1"/>
  <c r="R56" i="54"/>
  <c r="R37" i="54"/>
  <c r="R61" i="54"/>
  <c r="Q252" i="39"/>
  <c r="Q261" i="39"/>
  <c r="R261" i="39" s="1"/>
  <c r="R65" i="54"/>
  <c r="R219" i="39"/>
  <c r="R41" i="54"/>
  <c r="R54" i="54"/>
  <c r="Q233" i="39"/>
  <c r="R233" i="39" s="1"/>
  <c r="R217" i="39"/>
  <c r="R39" i="54"/>
  <c r="Q263" i="39"/>
  <c r="R263" i="39" s="1"/>
  <c r="R67" i="54"/>
  <c r="R228" i="39"/>
  <c r="R50" i="54"/>
  <c r="R68" i="54"/>
  <c r="Q264" i="39"/>
  <c r="R264" i="39" s="1"/>
  <c r="Q238" i="39"/>
  <c r="R238" i="39" s="1"/>
  <c r="R62" i="54"/>
  <c r="Q254" i="39"/>
  <c r="R254" i="39" s="1"/>
  <c r="K33" i="54"/>
  <c r="J32" i="54"/>
  <c r="R43" i="54"/>
  <c r="R221" i="39"/>
  <c r="R224" i="39"/>
  <c r="R46" i="54"/>
  <c r="R64" i="54"/>
  <c r="Q260" i="39"/>
  <c r="R260" i="39" s="1"/>
  <c r="Q262" i="39"/>
  <c r="R262" i="39" s="1"/>
  <c r="R66" i="54"/>
  <c r="R33" i="54"/>
  <c r="R215" i="39"/>
  <c r="R218" i="39"/>
  <c r="R40" i="54"/>
  <c r="R42" i="54"/>
  <c r="R220" i="39"/>
  <c r="Q255" i="39"/>
  <c r="R255" i="39" s="1"/>
  <c r="R63" i="54"/>
  <c r="R45" i="54"/>
  <c r="R223" i="39"/>
  <c r="R47" i="54"/>
  <c r="R225" i="39"/>
  <c r="R216" i="39"/>
  <c r="R38" i="54"/>
  <c r="J269" i="39"/>
  <c r="K269" i="39" s="1"/>
  <c r="R55" i="54"/>
  <c r="Q234" i="39"/>
  <c r="R234" i="39" s="1"/>
  <c r="R226" i="39"/>
  <c r="R48" i="54"/>
  <c r="K238" i="39" l="1"/>
  <c r="Q237" i="39"/>
  <c r="R237" i="39" s="1"/>
  <c r="R252" i="39"/>
  <c r="L212" i="39" s="1"/>
  <c r="Q213" i="39"/>
  <c r="Q34" i="54"/>
  <c r="Q9" i="54" s="1"/>
  <c r="K32" i="54"/>
  <c r="R35" i="54"/>
  <c r="R213" i="39" l="1"/>
  <c r="Q212" i="39"/>
  <c r="R34" i="54"/>
  <c r="R9" i="54" l="1"/>
  <c r="Q292" i="39"/>
  <c r="R292" i="39" l="1"/>
  <c r="K221" i="39" l="1"/>
  <c r="K226" i="39"/>
  <c r="K227" i="39"/>
  <c r="K224" i="39"/>
  <c r="K217" i="39"/>
  <c r="K219" i="39"/>
  <c r="K222" i="39"/>
  <c r="K220" i="39"/>
  <c r="K218" i="39"/>
  <c r="K223" i="39"/>
  <c r="K229" i="39"/>
  <c r="K215" i="39"/>
  <c r="K225" i="39"/>
  <c r="K228" i="39"/>
  <c r="K214" i="39" l="1"/>
  <c r="K216" i="39"/>
  <c r="K270" i="39"/>
  <c r="J192" i="39" l="1"/>
  <c r="K192" i="39" s="1"/>
  <c r="J62" i="39"/>
  <c r="K62" i="39" s="1"/>
  <c r="J55" i="39"/>
  <c r="K55" i="39" s="1"/>
  <c r="J179" i="39"/>
  <c r="K179" i="39" s="1"/>
  <c r="J31" i="39"/>
  <c r="K31" i="39" s="1"/>
  <c r="J16" i="39"/>
  <c r="K16" i="39" s="1"/>
  <c r="J15" i="39"/>
  <c r="K15" i="39" s="1"/>
  <c r="J13" i="39"/>
  <c r="K13" i="39" s="1"/>
  <c r="J14" i="39"/>
  <c r="K14" i="39" s="1"/>
  <c r="J17" i="39"/>
  <c r="K17" i="39" s="1"/>
  <c r="J24" i="39" l="1"/>
  <c r="K24" i="39" s="1"/>
  <c r="J191" i="39"/>
  <c r="K191" i="39" s="1"/>
  <c r="J202" i="39"/>
  <c r="K202" i="39" s="1"/>
  <c r="Q109" i="39"/>
  <c r="R109" i="39" s="1"/>
  <c r="Q113" i="39"/>
  <c r="R113" i="39" s="1"/>
  <c r="Q95" i="39"/>
  <c r="R95" i="39" s="1"/>
  <c r="Q96" i="39"/>
  <c r="R96" i="39" s="1"/>
  <c r="Q94" i="39"/>
  <c r="R94" i="39" s="1"/>
  <c r="Q144" i="39"/>
  <c r="R144" i="39" s="1"/>
  <c r="Q90" i="39"/>
  <c r="R90" i="39" s="1"/>
  <c r="Q137" i="39"/>
  <c r="R137" i="39" s="1"/>
  <c r="Q101" i="39"/>
  <c r="R101" i="39" s="1"/>
  <c r="Q82" i="39"/>
  <c r="R82" i="39" s="1"/>
  <c r="Q192" i="39"/>
  <c r="R192" i="39" s="1"/>
  <c r="Q187" i="39"/>
  <c r="R187" i="39" s="1"/>
  <c r="Q97" i="39"/>
  <c r="R97" i="39" s="1"/>
  <c r="Q185" i="39"/>
  <c r="R185" i="39" s="1"/>
  <c r="Q152" i="39"/>
  <c r="R152" i="39" s="1"/>
  <c r="Q150" i="39"/>
  <c r="R150" i="39" s="1"/>
  <c r="Q106" i="39"/>
  <c r="R106" i="39" s="1"/>
  <c r="Q120" i="39"/>
  <c r="R120" i="39" s="1"/>
  <c r="Q281" i="39"/>
  <c r="R281" i="39" s="1"/>
  <c r="Q129" i="39"/>
  <c r="R129" i="39" s="1"/>
  <c r="Q153" i="39"/>
  <c r="R153" i="39" s="1"/>
  <c r="Q91" i="39"/>
  <c r="R91" i="39" s="1"/>
  <c r="Q186" i="39"/>
  <c r="R186" i="39" s="1"/>
  <c r="Q124" i="39"/>
  <c r="R124" i="39" s="1"/>
  <c r="Q136" i="39"/>
  <c r="R136" i="39" s="1"/>
  <c r="J195" i="39"/>
  <c r="K195" i="39" s="1"/>
  <c r="J132" i="39"/>
  <c r="K132" i="39" s="1"/>
  <c r="K143" i="4"/>
  <c r="J114" i="39"/>
  <c r="K114" i="39" s="1"/>
  <c r="J111" i="39"/>
  <c r="K111" i="39" s="1"/>
  <c r="J120" i="39"/>
  <c r="K120" i="39" s="1"/>
  <c r="J112" i="39"/>
  <c r="K112" i="39" s="1"/>
  <c r="J91" i="39"/>
  <c r="K91" i="39" s="1"/>
  <c r="J84" i="39"/>
  <c r="K84" i="39" s="1"/>
  <c r="J102" i="39"/>
  <c r="K102" i="39" s="1"/>
  <c r="J60" i="39"/>
  <c r="K60" i="39" s="1"/>
  <c r="J94" i="39"/>
  <c r="K94" i="39" s="1"/>
  <c r="J49" i="39"/>
  <c r="K49" i="39" s="1"/>
  <c r="J280" i="39"/>
  <c r="K280" i="39" s="1"/>
  <c r="J113" i="39"/>
  <c r="K113" i="39" s="1"/>
  <c r="J27" i="39"/>
  <c r="K27" i="39" s="1"/>
  <c r="J105" i="39"/>
  <c r="K105" i="39" s="1"/>
  <c r="J64" i="39"/>
  <c r="K64" i="39" s="1"/>
  <c r="J75" i="39"/>
  <c r="K75" i="39" s="1"/>
  <c r="J136" i="39"/>
  <c r="K136" i="39" s="1"/>
  <c r="J278" i="39"/>
  <c r="K278" i="39" s="1"/>
  <c r="J99" i="39"/>
  <c r="K99" i="39" s="1"/>
  <c r="J109" i="39"/>
  <c r="K109" i="39" s="1"/>
  <c r="J89" i="39"/>
  <c r="K89" i="39" s="1"/>
  <c r="J185" i="39"/>
  <c r="K185" i="39" s="1"/>
  <c r="J104" i="39"/>
  <c r="K104" i="39" s="1"/>
  <c r="J187" i="39"/>
  <c r="K187" i="39" s="1"/>
  <c r="J18" i="39"/>
  <c r="K18" i="39" s="1"/>
  <c r="J129" i="39"/>
  <c r="K129" i="39" s="1"/>
  <c r="J121" i="39"/>
  <c r="K121" i="39" s="1"/>
  <c r="J134" i="39"/>
  <c r="K134" i="39" s="1"/>
  <c r="J140" i="39"/>
  <c r="K140" i="39" s="1"/>
  <c r="J90" i="39"/>
  <c r="K90" i="39" s="1"/>
  <c r="Q148" i="39"/>
  <c r="R148" i="39" s="1"/>
  <c r="J144" i="39"/>
  <c r="K144" i="39" s="1"/>
  <c r="Q177" i="39"/>
  <c r="R177" i="39" s="1"/>
  <c r="Q139" i="39"/>
  <c r="R139" i="39" s="1"/>
  <c r="J135" i="39"/>
  <c r="K135" i="39" s="1"/>
  <c r="J40" i="39"/>
  <c r="K40" i="39" s="1"/>
  <c r="J46" i="39"/>
  <c r="K46" i="39" s="1"/>
  <c r="J77" i="39"/>
  <c r="K77" i="39" s="1"/>
  <c r="K281" i="39"/>
  <c r="Q131" i="39"/>
  <c r="R131" i="39" s="1"/>
  <c r="J106" i="39"/>
  <c r="K106" i="39" s="1"/>
  <c r="Q99" i="39"/>
  <c r="R99" i="39" s="1"/>
  <c r="J48" i="39"/>
  <c r="K48" i="39" s="1"/>
  <c r="Q116" i="39"/>
  <c r="R116" i="39" s="1"/>
  <c r="J53" i="39"/>
  <c r="K53" i="39" s="1"/>
  <c r="J33" i="39"/>
  <c r="K33" i="39" s="1"/>
  <c r="J50" i="39"/>
  <c r="K50" i="39" s="1"/>
  <c r="J69" i="39"/>
  <c r="K69" i="39" s="1"/>
  <c r="J92" i="39"/>
  <c r="K92" i="39" s="1"/>
  <c r="J123" i="39"/>
  <c r="K123" i="39" s="1"/>
  <c r="J51" i="39"/>
  <c r="K51" i="39" s="1"/>
  <c r="J86" i="39"/>
  <c r="K86" i="39" s="1"/>
  <c r="Q278" i="39"/>
  <c r="R278" i="39" s="1"/>
  <c r="J76" i="39"/>
  <c r="K76" i="39" s="1"/>
  <c r="J29" i="39"/>
  <c r="K29" i="39" s="1"/>
  <c r="Q134" i="39"/>
  <c r="R134" i="39" s="1"/>
  <c r="J128" i="39"/>
  <c r="K128" i="39" s="1"/>
  <c r="J124" i="39"/>
  <c r="K124" i="39" s="1"/>
  <c r="Q108" i="39"/>
  <c r="R108" i="39" s="1"/>
  <c r="Q126" i="39"/>
  <c r="R126" i="39" s="1"/>
  <c r="J43" i="39"/>
  <c r="K43" i="39" s="1"/>
  <c r="J70" i="39"/>
  <c r="K70" i="39" s="1"/>
  <c r="Q119" i="39"/>
  <c r="R119" i="39" s="1"/>
  <c r="Q84" i="39"/>
  <c r="R84" i="39" s="1"/>
  <c r="J19" i="39"/>
  <c r="K19" i="39" s="1"/>
  <c r="J103" i="39"/>
  <c r="K103" i="39" s="1"/>
  <c r="R197" i="39"/>
  <c r="J74" i="39"/>
  <c r="K74" i="39" s="1"/>
  <c r="J97" i="39"/>
  <c r="K97" i="39" s="1"/>
  <c r="J127" i="39"/>
  <c r="K127" i="39" s="1"/>
  <c r="J93" i="39"/>
  <c r="K93" i="39" s="1"/>
  <c r="J139" i="39"/>
  <c r="K139" i="39" s="1"/>
  <c r="J141" i="39"/>
  <c r="K141" i="39" s="1"/>
  <c r="J38" i="39"/>
  <c r="K38" i="39" s="1"/>
  <c r="J116" i="39"/>
  <c r="K116" i="39" s="1"/>
  <c r="J279" i="39"/>
  <c r="K279" i="39" s="1"/>
  <c r="J131" i="39"/>
  <c r="K131" i="39" s="1"/>
  <c r="J95" i="39"/>
  <c r="K95" i="39" s="1"/>
  <c r="J177" i="39"/>
  <c r="K177" i="39" s="1"/>
  <c r="J65" i="39"/>
  <c r="K65" i="39" s="1"/>
  <c r="J137" i="39"/>
  <c r="K137" i="39" s="1"/>
  <c r="J96" i="39"/>
  <c r="K96" i="39" s="1"/>
  <c r="J57" i="39"/>
  <c r="K57" i="39" s="1"/>
  <c r="J44" i="39"/>
  <c r="K44" i="39" s="1"/>
  <c r="J126" i="39"/>
  <c r="K126" i="39" s="1"/>
  <c r="J82" i="39"/>
  <c r="K82" i="39" s="1"/>
  <c r="Q191" i="39"/>
  <c r="R191" i="39" s="1"/>
  <c r="J87" i="39"/>
  <c r="K87" i="39" s="1"/>
  <c r="J30" i="39"/>
  <c r="K30" i="39" s="1"/>
  <c r="J108" i="39"/>
  <c r="K108" i="39" s="1"/>
  <c r="J66" i="39"/>
  <c r="K66" i="39" s="1"/>
  <c r="J81" i="39"/>
  <c r="K81" i="39" s="1"/>
  <c r="J34" i="39"/>
  <c r="K34" i="39" s="1"/>
  <c r="J20" i="39"/>
  <c r="K20" i="39" s="1"/>
  <c r="J21" i="39"/>
  <c r="K21" i="39" s="1"/>
  <c r="J122" i="39"/>
  <c r="K122" i="39" s="1"/>
  <c r="J119" i="39"/>
  <c r="K119" i="39" s="1"/>
  <c r="J36" i="39"/>
  <c r="K36" i="39" s="1"/>
  <c r="J61" i="39"/>
  <c r="K61" i="39" s="1"/>
  <c r="J100" i="39"/>
  <c r="K100" i="39" s="1"/>
  <c r="J71" i="39"/>
  <c r="K71" i="39" s="1"/>
  <c r="J117" i="39"/>
  <c r="K117" i="39" s="1"/>
  <c r="J58" i="39"/>
  <c r="K58" i="39" s="1"/>
  <c r="J101" i="39"/>
  <c r="K101" i="39" s="1"/>
  <c r="J45" i="39"/>
  <c r="K45" i="39" s="1"/>
  <c r="Q86" i="39"/>
  <c r="R86" i="39" s="1"/>
  <c r="K133" i="4"/>
  <c r="J25" i="39" l="1"/>
  <c r="K25" i="39" s="1"/>
  <c r="K26" i="39"/>
  <c r="L143" i="4"/>
  <c r="L133" i="4"/>
  <c r="L182" i="4"/>
  <c r="J277" i="39"/>
  <c r="K277" i="39" s="1"/>
  <c r="K197" i="39"/>
  <c r="Q182" i="39"/>
  <c r="R182" i="39" s="1"/>
  <c r="Q117" i="39"/>
  <c r="R117" i="39" s="1"/>
  <c r="Q111" i="39"/>
  <c r="R111" i="39" s="1"/>
  <c r="Q104" i="39"/>
  <c r="R104" i="39" s="1"/>
  <c r="Q93" i="39"/>
  <c r="R93" i="39" s="1"/>
  <c r="Q123" i="39"/>
  <c r="R123" i="39" s="1"/>
  <c r="Q87" i="39"/>
  <c r="R87" i="39" s="1"/>
  <c r="Q135" i="39"/>
  <c r="R135" i="39" s="1"/>
  <c r="Q151" i="39"/>
  <c r="R151" i="39" s="1"/>
  <c r="Q89" i="39"/>
  <c r="R89" i="39" s="1"/>
  <c r="J130" i="39"/>
  <c r="K130" i="39" s="1"/>
  <c r="Q132" i="39"/>
  <c r="Q141" i="39"/>
  <c r="R141" i="39" s="1"/>
  <c r="Q105" i="39"/>
  <c r="R105" i="39" s="1"/>
  <c r="Q193" i="39"/>
  <c r="R193" i="39" s="1"/>
  <c r="Q280" i="39"/>
  <c r="R280" i="39" s="1"/>
  <c r="Q110" i="39"/>
  <c r="R110" i="39" s="1"/>
  <c r="Q102" i="39"/>
  <c r="R102" i="39" s="1"/>
  <c r="Q114" i="39"/>
  <c r="R114" i="39" s="1"/>
  <c r="Q92" i="39"/>
  <c r="R92" i="39" s="1"/>
  <c r="Q194" i="39"/>
  <c r="R194" i="39" s="1"/>
  <c r="Q100" i="39"/>
  <c r="R100" i="39" s="1"/>
  <c r="Q122" i="39"/>
  <c r="R122" i="39" s="1"/>
  <c r="Q121" i="39"/>
  <c r="R121" i="39" s="1"/>
  <c r="Q127" i="39"/>
  <c r="R127" i="39" s="1"/>
  <c r="Q140" i="39"/>
  <c r="R140" i="39" s="1"/>
  <c r="Q205" i="39"/>
  <c r="Q201" i="39" s="1"/>
  <c r="Q149" i="39"/>
  <c r="R149" i="39" s="1"/>
  <c r="Q112" i="39"/>
  <c r="R112" i="39" s="1"/>
  <c r="Q279" i="39"/>
  <c r="R279" i="39" s="1"/>
  <c r="Q128" i="39"/>
  <c r="R128" i="39" s="1"/>
  <c r="Q195" i="39"/>
  <c r="R195" i="39" s="1"/>
  <c r="J59" i="39"/>
  <c r="K59" i="39" s="1"/>
  <c r="J28" i="39"/>
  <c r="K28" i="39" s="1"/>
  <c r="J35" i="39"/>
  <c r="K35" i="39" s="1"/>
  <c r="J52" i="39"/>
  <c r="K52" i="39" s="1"/>
  <c r="J150" i="39"/>
  <c r="J39" i="39"/>
  <c r="K39" i="39" s="1"/>
  <c r="J47" i="39"/>
  <c r="K47" i="39" s="1"/>
  <c r="J88" i="39"/>
  <c r="K88" i="39" s="1"/>
  <c r="J80" i="39"/>
  <c r="K80" i="39" s="1"/>
  <c r="Q103" i="39"/>
  <c r="R103" i="39" s="1"/>
  <c r="J22" i="39"/>
  <c r="K22" i="39" s="1"/>
  <c r="J83" i="39"/>
  <c r="K83" i="39" s="1"/>
  <c r="K142" i="4"/>
  <c r="J205" i="39"/>
  <c r="K205" i="39" s="1"/>
  <c r="J125" i="39"/>
  <c r="K125" i="39" s="1"/>
  <c r="J176" i="39"/>
  <c r="K176" i="39" s="1"/>
  <c r="Q196" i="39"/>
  <c r="R196" i="39" s="1"/>
  <c r="Q83" i="39"/>
  <c r="R83" i="39" s="1"/>
  <c r="J143" i="39"/>
  <c r="K143" i="39" s="1"/>
  <c r="J68" i="39"/>
  <c r="K68" i="39" s="1"/>
  <c r="J98" i="39"/>
  <c r="K98" i="39" s="1"/>
  <c r="J204" i="39"/>
  <c r="K204" i="39" s="1"/>
  <c r="J138" i="39"/>
  <c r="K138" i="39" s="1"/>
  <c r="J73" i="39"/>
  <c r="K73" i="39" s="1"/>
  <c r="J133" i="39"/>
  <c r="K133" i="39" s="1"/>
  <c r="J118" i="39"/>
  <c r="K118" i="39" s="1"/>
  <c r="J107" i="39"/>
  <c r="K107" i="39" s="1"/>
  <c r="J56" i="39"/>
  <c r="K56" i="39" s="1"/>
  <c r="J63" i="39"/>
  <c r="K63" i="39" s="1"/>
  <c r="J115" i="39"/>
  <c r="K115" i="39" s="1"/>
  <c r="Q143" i="39"/>
  <c r="R143" i="39" s="1"/>
  <c r="K155" i="4"/>
  <c r="K130" i="4"/>
  <c r="K150" i="39" l="1"/>
  <c r="J146" i="39"/>
  <c r="K146" i="39" s="1"/>
  <c r="L142" i="4"/>
  <c r="L155" i="4"/>
  <c r="L130" i="4"/>
  <c r="J12" i="39"/>
  <c r="K12" i="39" s="1"/>
  <c r="Q130" i="39"/>
  <c r="R130" i="39" s="1"/>
  <c r="R132" i="39"/>
  <c r="R201" i="39"/>
  <c r="R205" i="39"/>
  <c r="Q115" i="39"/>
  <c r="R115" i="39" s="1"/>
  <c r="Q176" i="39"/>
  <c r="R176" i="39" s="1"/>
  <c r="Q133" i="39"/>
  <c r="R133" i="39" s="1"/>
  <c r="Q277" i="39"/>
  <c r="R277" i="39" s="1"/>
  <c r="Q190" i="39"/>
  <c r="R190" i="39" s="1"/>
  <c r="Q85" i="39"/>
  <c r="R85" i="39" s="1"/>
  <c r="Q146" i="39"/>
  <c r="R146" i="39" s="1"/>
  <c r="Q138" i="39"/>
  <c r="R138" i="39" s="1"/>
  <c r="Q125" i="39"/>
  <c r="R125" i="39" s="1"/>
  <c r="Q107" i="39"/>
  <c r="R107" i="39" s="1"/>
  <c r="Q118" i="39"/>
  <c r="R118" i="39" s="1"/>
  <c r="J42" i="39"/>
  <c r="K42" i="39" s="1"/>
  <c r="J201" i="39"/>
  <c r="K201" i="39" s="1"/>
  <c r="Q98" i="39"/>
  <c r="R98" i="39" s="1"/>
  <c r="J32" i="39"/>
  <c r="K32" i="39" s="1"/>
  <c r="J85" i="39"/>
  <c r="K85" i="39" s="1"/>
  <c r="J190" i="39"/>
  <c r="K190" i="39" s="1"/>
  <c r="J79" i="39"/>
  <c r="K79" i="39" s="1"/>
  <c r="J37" i="39"/>
  <c r="K37" i="39" s="1"/>
  <c r="J142" i="39"/>
  <c r="K142" i="39" s="1"/>
  <c r="J72" i="39"/>
  <c r="K72" i="39" s="1"/>
  <c r="Q142" i="39"/>
  <c r="R142" i="39" s="1"/>
  <c r="K125" i="4"/>
  <c r="L125" i="4" l="1"/>
  <c r="L147" i="4"/>
  <c r="K146" i="4"/>
  <c r="Q81" i="39"/>
  <c r="R81" i="39" s="1"/>
  <c r="Q145" i="39"/>
  <c r="R145" i="39" s="1"/>
  <c r="J145" i="39"/>
  <c r="K145" i="39" s="1"/>
  <c r="J41" i="39"/>
  <c r="K41" i="39" s="1"/>
  <c r="J11" i="39"/>
  <c r="K11" i="39" s="1"/>
  <c r="J78" i="39"/>
  <c r="K78" i="39" s="1"/>
  <c r="L146" i="4" l="1"/>
  <c r="Q79" i="39"/>
  <c r="R79" i="39" s="1"/>
  <c r="J10" i="39"/>
  <c r="K138" i="4"/>
  <c r="K10" i="39" l="1"/>
  <c r="L138" i="4"/>
  <c r="Q78" i="39"/>
  <c r="R78" i="39" s="1"/>
  <c r="K98" i="4" l="1"/>
  <c r="L98" i="4" l="1"/>
  <c r="R76" i="39"/>
  <c r="R75" i="39" l="1"/>
  <c r="K79" i="4"/>
  <c r="L79" i="4" l="1"/>
  <c r="Q74" i="39"/>
  <c r="R74" i="39" l="1"/>
  <c r="Q73" i="39"/>
  <c r="Q72" i="39" s="1"/>
  <c r="K73" i="4"/>
  <c r="L73" i="4" l="1"/>
  <c r="R73" i="39"/>
  <c r="R72" i="39"/>
  <c r="K72" i="4"/>
  <c r="L72" i="4" l="1"/>
  <c r="Q71" i="39"/>
  <c r="R71" i="39" s="1"/>
  <c r="K68" i="4"/>
  <c r="L68" i="4" l="1"/>
  <c r="Q70" i="39"/>
  <c r="R70" i="39" s="1"/>
  <c r="Q69" i="39" l="1"/>
  <c r="R69" i="39" l="1"/>
  <c r="Q68" i="39"/>
  <c r="R68" i="39" s="1"/>
  <c r="Q66" i="39" l="1"/>
  <c r="R66" i="39" s="1"/>
  <c r="Q65" i="39" l="1"/>
  <c r="R65" i="39" s="1"/>
  <c r="Q64" i="39" l="1"/>
  <c r="K37" i="4"/>
  <c r="L37" i="4" l="1"/>
  <c r="R64" i="39"/>
  <c r="Q63" i="39"/>
  <c r="R63" i="39" s="1"/>
  <c r="K32" i="4"/>
  <c r="L32" i="4" l="1"/>
  <c r="Q61" i="39"/>
  <c r="R61" i="39" s="1"/>
  <c r="K11" i="4"/>
  <c r="L11" i="4" l="1"/>
  <c r="Q60" i="39"/>
  <c r="K10" i="4"/>
  <c r="K9" i="4" l="1"/>
  <c r="R60" i="39"/>
  <c r="Q59" i="39"/>
  <c r="R59" i="39" s="1"/>
  <c r="L10" i="4"/>
  <c r="Q58" i="39" l="1"/>
  <c r="R58" i="39" s="1"/>
  <c r="J289" i="39"/>
  <c r="S289" i="39" l="1"/>
  <c r="Q57" i="39"/>
  <c r="AB11" i="37"/>
  <c r="L33" i="37"/>
  <c r="AD33" i="37"/>
  <c r="AD11" i="37" s="1"/>
  <c r="Z33" i="37"/>
  <c r="Z11" i="37" s="1"/>
  <c r="AM33" i="37"/>
  <c r="AM11" i="37" s="1"/>
  <c r="V33" i="37"/>
  <c r="V11" i="37" s="1"/>
  <c r="L23" i="37" s="1"/>
  <c r="T33" i="37"/>
  <c r="T11" i="37" s="1"/>
  <c r="AJ33" i="37"/>
  <c r="AJ11" i="37" s="1"/>
  <c r="H291" i="39"/>
  <c r="H294" i="39" s="1"/>
  <c r="AK33" i="37"/>
  <c r="AK11" i="37" s="1"/>
  <c r="AL33" i="37"/>
  <c r="AL11" i="37" s="1"/>
  <c r="JW60" i="115"/>
  <c r="AH33" i="37"/>
  <c r="AH11" i="37" s="1"/>
  <c r="X11" i="37"/>
  <c r="P33" i="37"/>
  <c r="S33" i="37"/>
  <c r="AF33" i="37"/>
  <c r="AF11" i="37" s="1"/>
  <c r="S11" i="37" l="1"/>
  <c r="J33" i="37"/>
  <c r="P11" i="37"/>
  <c r="R57" i="39"/>
  <c r="Q56" i="39"/>
  <c r="R56" i="39" s="1"/>
  <c r="H296" i="39"/>
  <c r="M33" i="37"/>
  <c r="Q27" i="37"/>
  <c r="N33" i="37"/>
  <c r="O33" i="37" s="1"/>
  <c r="I291" i="39"/>
  <c r="L197" i="39"/>
  <c r="Q33" i="37"/>
  <c r="R33" i="37" s="1"/>
  <c r="P291" i="39" l="1"/>
  <c r="P294" i="39" s="1"/>
  <c r="P296" i="39" s="1"/>
  <c r="J52" i="37"/>
  <c r="J53" i="37"/>
  <c r="K33" i="37"/>
  <c r="R27" i="37"/>
  <c r="M23" i="37"/>
  <c r="H295" i="39"/>
  <c r="Q55" i="39"/>
  <c r="R55" i="39" s="1"/>
  <c r="Q200" i="39"/>
  <c r="R200" i="39" s="1"/>
  <c r="Q26" i="37"/>
  <c r="L11" i="37"/>
  <c r="N23" i="37"/>
  <c r="O23" i="37" s="1"/>
  <c r="J35" i="37"/>
  <c r="J23" i="37"/>
  <c r="J196" i="39" s="1"/>
  <c r="J34" i="37"/>
  <c r="K34" i="37" s="1"/>
  <c r="J28" i="37"/>
  <c r="J30" i="37"/>
  <c r="J51" i="37"/>
  <c r="J29" i="37"/>
  <c r="J31" i="37"/>
  <c r="J26" i="37"/>
  <c r="R212" i="39"/>
  <c r="N11" i="37" l="1"/>
  <c r="P295" i="39"/>
  <c r="K196" i="39"/>
  <c r="J37" i="37"/>
  <c r="K37" i="37" s="1"/>
  <c r="K53" i="37"/>
  <c r="K259" i="39" s="1"/>
  <c r="J259" i="39"/>
  <c r="J11" i="37"/>
  <c r="K52" i="37"/>
  <c r="K51" i="37"/>
  <c r="K28" i="37"/>
  <c r="K26" i="37"/>
  <c r="K29" i="37"/>
  <c r="K30" i="37"/>
  <c r="K31" i="37"/>
  <c r="K23" i="37"/>
  <c r="R26" i="37"/>
  <c r="L291" i="39"/>
  <c r="M197" i="39"/>
  <c r="L196" i="39"/>
  <c r="L9" i="39" s="1"/>
  <c r="JX60" i="115"/>
  <c r="Q53" i="39"/>
  <c r="R53" i="39" s="1"/>
  <c r="Q199" i="39"/>
  <c r="R199" i="39" s="1"/>
  <c r="M11" i="37"/>
  <c r="Q11" i="37"/>
  <c r="J232" i="39"/>
  <c r="K35" i="37"/>
  <c r="J257" i="39"/>
  <c r="J258" i="39"/>
  <c r="K258" i="39" s="1"/>
  <c r="J206" i="39"/>
  <c r="J208" i="39"/>
  <c r="K208" i="39" s="1"/>
  <c r="ET54" i="132" l="1"/>
  <c r="J237" i="39"/>
  <c r="K237" i="39" s="1"/>
  <c r="K206" i="39"/>
  <c r="Q291" i="39"/>
  <c r="R291" i="39" s="1"/>
  <c r="K257" i="39"/>
  <c r="M291" i="39"/>
  <c r="L294" i="39"/>
  <c r="M196" i="39"/>
  <c r="K232" i="39"/>
  <c r="Q52" i="39"/>
  <c r="R52" i="39" s="1"/>
  <c r="R11" i="37"/>
  <c r="N291" i="39"/>
  <c r="O11" i="37"/>
  <c r="K11" i="37"/>
  <c r="JY60" i="115"/>
  <c r="J291" i="39"/>
  <c r="J207" i="39"/>
  <c r="K207" i="39" s="1"/>
  <c r="S291" i="39" l="1"/>
  <c r="K244" i="39"/>
  <c r="O291" i="39"/>
  <c r="N294" i="39"/>
  <c r="N296" i="39" s="1"/>
  <c r="K291" i="39"/>
  <c r="Q50" i="39" l="1"/>
  <c r="R50" i="39" s="1"/>
  <c r="I212" i="39"/>
  <c r="Q49" i="39" l="1"/>
  <c r="R49" i="39" s="1"/>
  <c r="O212" i="39"/>
  <c r="M212" i="39"/>
  <c r="Q48" i="39" l="1"/>
  <c r="R48" i="39" s="1"/>
  <c r="Q47" i="39" l="1"/>
  <c r="R47" i="39" s="1"/>
  <c r="L295" i="39"/>
  <c r="L296" i="39"/>
  <c r="N295" i="39"/>
  <c r="R46" i="39" l="1"/>
  <c r="R45" i="39" l="1"/>
  <c r="R44" i="39" l="1"/>
  <c r="R43" i="39" l="1"/>
  <c r="R42" i="39" l="1"/>
  <c r="Q41" i="39"/>
  <c r="R41" i="39" s="1"/>
  <c r="Q40" i="39" l="1"/>
  <c r="R40" i="39" s="1"/>
  <c r="Q39" i="39" l="1"/>
  <c r="R39" i="39" s="1"/>
  <c r="Q38" i="39" l="1"/>
  <c r="R38" i="39" l="1"/>
  <c r="Q37" i="39"/>
  <c r="R37" i="39" s="1"/>
  <c r="Q36" i="39" l="1"/>
  <c r="R36" i="39" s="1"/>
  <c r="Q35" i="39" l="1"/>
  <c r="R35" i="39" s="1"/>
  <c r="Q34" i="39" l="1"/>
  <c r="R34" i="39" s="1"/>
  <c r="Q33" i="39" l="1"/>
  <c r="R33" i="39" l="1"/>
  <c r="Q32" i="39"/>
  <c r="R32" i="39" s="1"/>
  <c r="Q31" i="39"/>
  <c r="R31" i="39" l="1"/>
  <c r="Q30" i="39"/>
  <c r="R30" i="39" s="1"/>
  <c r="Q29" i="39" l="1"/>
  <c r="R29" i="39" l="1"/>
  <c r="Q28" i="39"/>
  <c r="R28" i="39" l="1"/>
  <c r="Q27" i="39"/>
  <c r="R27" i="39" s="1"/>
  <c r="Q26" i="39" l="1"/>
  <c r="R26" i="39" l="1"/>
  <c r="Q25" i="39"/>
  <c r="R25" i="39" s="1"/>
  <c r="Q24" i="39" l="1"/>
  <c r="R24" i="39" s="1"/>
  <c r="Q22" i="39" l="1"/>
  <c r="R22" i="39" s="1"/>
  <c r="Q21" i="39" l="1"/>
  <c r="R21" i="39" s="1"/>
  <c r="Q20" i="39" l="1"/>
  <c r="R20" i="39" s="1"/>
  <c r="Q19" i="39" l="1"/>
  <c r="R19" i="39" s="1"/>
  <c r="Q18" i="39" l="1"/>
  <c r="R18" i="39" s="1"/>
  <c r="Q17" i="39" l="1"/>
  <c r="R17" i="39" s="1"/>
  <c r="Q16" i="39" l="1"/>
  <c r="R16" i="39" s="1"/>
  <c r="Q15" i="39" l="1"/>
  <c r="R15" i="39" s="1"/>
  <c r="Q14" i="39" l="1"/>
  <c r="R14" i="39" s="1"/>
  <c r="Q13" i="39" l="1"/>
  <c r="Q12" i="39" s="1"/>
  <c r="Q11" i="39" s="1"/>
  <c r="R13" i="39" l="1"/>
  <c r="R12" i="39"/>
  <c r="R11" i="39" l="1"/>
  <c r="Q10" i="39"/>
  <c r="S9" i="4"/>
  <c r="Q289" i="39" l="1"/>
  <c r="R10" i="39"/>
  <c r="Q9" i="39"/>
  <c r="R9" i="39" l="1"/>
  <c r="R289" i="39"/>
  <c r="Q294" i="39"/>
  <c r="R294" i="39" s="1"/>
  <c r="R296" i="39" l="1"/>
  <c r="Q296" i="39"/>
  <c r="Q295" i="39"/>
  <c r="R295" i="39"/>
  <c r="K53" i="54"/>
  <c r="K231" i="39"/>
  <c r="J213" i="39"/>
  <c r="K213" i="39" s="1"/>
  <c r="J34" i="54"/>
  <c r="J9" i="54" s="1"/>
  <c r="K34" i="54" l="1"/>
  <c r="K35" i="54"/>
  <c r="J212" i="39"/>
  <c r="J9" i="39" s="1"/>
  <c r="K9" i="54" l="1"/>
  <c r="J292" i="39"/>
  <c r="K212" i="39"/>
  <c r="S292" i="39" l="1"/>
  <c r="K292" i="39"/>
  <c r="J294" i="39"/>
  <c r="J295" i="39" l="1"/>
  <c r="J296" i="39"/>
  <c r="P183" i="4"/>
  <c r="L187" i="4" l="1"/>
  <c r="N184" i="4"/>
  <c r="N182" i="4" s="1"/>
  <c r="N180" i="4" s="1"/>
  <c r="J9" i="4"/>
  <c r="I282" i="39"/>
  <c r="K282" i="39" s="1"/>
  <c r="I289" i="39" l="1"/>
  <c r="O289" i="39" s="1"/>
  <c r="N9" i="4"/>
  <c r="L9" i="4"/>
  <c r="P9" i="4"/>
  <c r="M282" i="39"/>
  <c r="I9" i="39"/>
  <c r="O282" i="39"/>
  <c r="M289" i="39" l="1"/>
  <c r="I294" i="39"/>
  <c r="K294" i="39" s="1"/>
  <c r="K289" i="39"/>
  <c r="O9" i="39"/>
  <c r="M9" i="39"/>
  <c r="K9" i="39"/>
  <c r="O294" i="39" l="1"/>
  <c r="O296" i="39" s="1"/>
  <c r="I296" i="39"/>
  <c r="M294" i="39"/>
  <c r="M295" i="39" s="1"/>
  <c r="I295" i="39"/>
  <c r="K296" i="39"/>
  <c r="K295" i="39"/>
  <c r="M296" i="39" l="1"/>
  <c r="O295" i="39"/>
</calcChain>
</file>

<file path=xl/comments1.xml><?xml version="1.0" encoding="utf-8"?>
<comments xmlns="http://schemas.openxmlformats.org/spreadsheetml/2006/main">
  <authors>
    <author>Stefanni Cifuentes Rivas</author>
  </authors>
  <commentList>
    <comment ref="P236" authorId="0" shapeId="0">
      <text>
        <r>
          <rPr>
            <b/>
            <sz val="9"/>
            <color indexed="81"/>
            <rFont val="Tahoma"/>
            <family val="2"/>
          </rPr>
          <t>2021 Y 2022, CAMBIA NOMBRE DE IMPUTACION. P03 Y P05-06</t>
        </r>
      </text>
    </comment>
  </commentList>
</comments>
</file>

<file path=xl/comments2.xml><?xml version="1.0" encoding="utf-8"?>
<comments xmlns="http://schemas.openxmlformats.org/spreadsheetml/2006/main">
  <authors>
    <author>Stefanni Cifuentes Rivas</author>
  </authors>
  <commentList>
    <comment ref="AH170" authorId="0" shapeId="0">
      <text>
        <r>
          <rPr>
            <sz val="9"/>
            <color indexed="81"/>
            <rFont val="Tahoma"/>
            <family val="2"/>
          </rPr>
          <t>PARA EFECTOS DE ESTE INFORME, SE MANTIENEN LOS VALORES DE  EJECUCIÓN DE ENERO A AGOSTO TAL CUAL SE PRESENTAN EN LA REPORTABILIDAD MENSUAL (A NIVEL DE ITEM Y ASIGNACION CUANDO CORRESPONDE).
PARA EL PROXIMO AÑO: CONSIDERAR QUE EN EL MES DE AGOSTO LOS GASTOS ACUMULADOS SE MUESTRAN DESAGREGADOS EN NUEVAS ASIGNACIONES (ANTERIOMENTE ESTAN SOLAMANTE A NIVEL DE ITEM)
EN LAS CELDAS DE EJECUCIÓN CON EL PROPOSITO DE VISUALIZAR COMO SE MUESTRA EN  SIGFE, SE INCORPORAR LOS VALORES TAL Y CUAL SE PRESENTA EN LA EJECUCIÓN ACUMULADA POR SUBASIGANCIONES. INDEPENDIENTE QUE EN LA EJECUCIÓN MENSUAL SE ENCUENTE A NIVEL DE ITEM.
EN RESUMEN: LOS MONTOS CUADRAN. SOLO QUE LA EJECUCION ACUMULADA EN AGOSTO LOS MUESTRA DESAGREGADO EN ASIGACIONES QUE ANTERIORMENTE NO ESTABAN APERUTRADAS Y QUE EN ESE INSTANTE SE MOSTRARON EN POR ITEM.</t>
        </r>
      </text>
    </comment>
  </commentList>
</comments>
</file>

<file path=xl/comments3.xml><?xml version="1.0" encoding="utf-8"?>
<comments xmlns="http://schemas.openxmlformats.org/spreadsheetml/2006/main">
  <authors>
    <author>Stefanni Cifuentes Rivas</author>
  </authors>
  <commentList>
    <comment ref="EA101" authorId="0" shapeId="0">
      <text>
        <r>
          <rPr>
            <b/>
            <sz val="9"/>
            <color indexed="81"/>
            <rFont val="Tahoma"/>
            <family val="2"/>
          </rPr>
          <t>reporte de estado de ejecucion presupuestaria acumulada a julio, indica monto en requerimiento de 115,196. Con proposito de cuadrar se restan -2</t>
        </r>
      </text>
    </comment>
  </commentList>
</comments>
</file>

<file path=xl/sharedStrings.xml><?xml version="1.0" encoding="utf-8"?>
<sst xmlns="http://schemas.openxmlformats.org/spreadsheetml/2006/main" count="21365" uniqueCount="1074">
  <si>
    <t>ENERO</t>
  </si>
  <si>
    <t xml:space="preserve">24   </t>
  </si>
  <si>
    <t xml:space="preserve">  </t>
  </si>
  <si>
    <t xml:space="preserve"> A Otras Entidades Públicas </t>
  </si>
  <si>
    <t xml:space="preserve">33   </t>
  </si>
  <si>
    <t xml:space="preserve"> Al Gobierno Central </t>
  </si>
  <si>
    <t>MARZO</t>
  </si>
  <si>
    <t>ABRIL</t>
  </si>
  <si>
    <t>MAYO</t>
  </si>
  <si>
    <t>JUNIO</t>
  </si>
  <si>
    <t>AGOSTO</t>
  </si>
  <si>
    <t>SEPTIEMBRE</t>
  </si>
  <si>
    <t>OCTUBRE</t>
  </si>
  <si>
    <t>NOVIEMBRE</t>
  </si>
  <si>
    <t>DICIEMBRE</t>
  </si>
  <si>
    <t>BIENES Y SERVICIOS DE CONSUMO</t>
  </si>
  <si>
    <t>GASTOS EN PERSONAL</t>
  </si>
  <si>
    <t>Personal de Planta</t>
  </si>
  <si>
    <t>Sueldos y Sobresueldos</t>
  </si>
  <si>
    <t>Asignación de Antigüedad</t>
  </si>
  <si>
    <t>Asignación Profesional</t>
  </si>
  <si>
    <t>Asignación de Zona</t>
  </si>
  <si>
    <t>Gastos de Representación</t>
  </si>
  <si>
    <t>Asignación de Dirección Superior</t>
  </si>
  <si>
    <t>Asignaciones Compensatorias</t>
  </si>
  <si>
    <t>Asignaciones Sustitutivas</t>
  </si>
  <si>
    <t>Componente Base Asignación de Desempeño</t>
  </si>
  <si>
    <t>Asignación de Responsabilidad Superior</t>
  </si>
  <si>
    <t>Aportes del Empleador</t>
  </si>
  <si>
    <t>A Servicios de Bienestar</t>
  </si>
  <si>
    <t>Otras Cotizaciones Previsionales</t>
  </si>
  <si>
    <t>Asignaciones por Desempeño</t>
  </si>
  <si>
    <t>Desempeño Institucional</t>
  </si>
  <si>
    <t>Desempeño Colectivo</t>
  </si>
  <si>
    <t>Remuneraciones Variables</t>
  </si>
  <si>
    <t>Asignación por Desempeño de Funciones Críticas</t>
  </si>
  <si>
    <t>Trabajos Extraordinarios</t>
  </si>
  <si>
    <t>Comisiones de Servicios en el País</t>
  </si>
  <si>
    <t>Comisiones de Servicios en el Exterior</t>
  </si>
  <si>
    <t>Personal a Contrata</t>
  </si>
  <si>
    <t>Asignación Zonas Extremas</t>
  </si>
  <si>
    <t>Honorarios a Suma Alzada - Personas Naturales</t>
  </si>
  <si>
    <t>Honorarios a Suma Alzada-Honorarios</t>
  </si>
  <si>
    <t>Honorarios a Suma Alzada-Viaticos</t>
  </si>
  <si>
    <t>Textiles, Vestuario y Calzado</t>
  </si>
  <si>
    <t>Vestuario, Accesorios y Prendas Diversas</t>
  </si>
  <si>
    <t>Combustibles y Lubricantes</t>
  </si>
  <si>
    <t>Materiales de Uso o Consumo</t>
  </si>
  <si>
    <t>Insumos, Repuestos y Accesorios Computacionales</t>
  </si>
  <si>
    <t>Materiales para Mantenimiento y Reparaciones de Inmuebles</t>
  </si>
  <si>
    <t>Repuestos y Accesorios para Mantenimiento y Reparaciones de Vehículos</t>
  </si>
  <si>
    <t>Otros</t>
  </si>
  <si>
    <t>Servicios Básicos</t>
  </si>
  <si>
    <t>Electricidad</t>
  </si>
  <si>
    <t>Agua</t>
  </si>
  <si>
    <t>Gas</t>
  </si>
  <si>
    <t>Correo</t>
  </si>
  <si>
    <t>Telefonía Fija</t>
  </si>
  <si>
    <t>Telefonía Celular</t>
  </si>
  <si>
    <t>Acceso a Internet</t>
  </si>
  <si>
    <t>Enlaces de Telecomunicaciones</t>
  </si>
  <si>
    <t>Mantenimiento y Reparación de Vehículos</t>
  </si>
  <si>
    <t>Mantenimiento y Reparación de Máquinas y Equipos de Oficina</t>
  </si>
  <si>
    <t>Mantenimiento y Reparación de Equipos Informáticos</t>
  </si>
  <si>
    <t>Publicidad y Difusión</t>
  </si>
  <si>
    <t>Servicios de Publicidad</t>
  </si>
  <si>
    <t>Servicios de Impresión</t>
  </si>
  <si>
    <t>Servicios Generales</t>
  </si>
  <si>
    <t>Servicios de Aseo</t>
  </si>
  <si>
    <t>Servicios de Vigilancia</t>
  </si>
  <si>
    <t>Servicios de Suscripción y Similares</t>
  </si>
  <si>
    <t>Arriendo de Edificios</t>
  </si>
  <si>
    <t>Gastos Bancarios</t>
  </si>
  <si>
    <t>Servicios Técnicos y Profesionales</t>
  </si>
  <si>
    <t>Estudios e Investigaciones</t>
  </si>
  <si>
    <t>Cursos de Capacitación</t>
  </si>
  <si>
    <t>Otros Gastos en Bienes y Servicios de Consumo</t>
  </si>
  <si>
    <t>Gastos Menores</t>
  </si>
  <si>
    <t>Gastos de Representación, Protocolo y Ceremonial</t>
  </si>
  <si>
    <t>JULIO</t>
  </si>
  <si>
    <t>Programas Informáticos</t>
  </si>
  <si>
    <t>Equipos Informáticos</t>
  </si>
  <si>
    <t>CONSOLIDADO PROGRAMA 01</t>
  </si>
  <si>
    <t>SERVICIO DE LA DEUDA</t>
  </si>
  <si>
    <t>Amortizacion de la Deuda Externa</t>
  </si>
  <si>
    <t>Intereses Deuda Externa</t>
  </si>
  <si>
    <t>Al Gobierno Central</t>
  </si>
  <si>
    <t>A Otras Entidades Publicas</t>
  </si>
  <si>
    <t>Programa Inversión Regional Región Metropolitana</t>
  </si>
  <si>
    <t xml:space="preserve">02            </t>
  </si>
  <si>
    <t xml:space="preserve">04            </t>
  </si>
  <si>
    <t>Sub.</t>
  </si>
  <si>
    <t>Item.</t>
  </si>
  <si>
    <t>Asig.</t>
  </si>
  <si>
    <t>Sub</t>
  </si>
  <si>
    <t>Aguinaldos</t>
  </si>
  <si>
    <t>Bono de Escolaridad</t>
  </si>
  <si>
    <t xml:space="preserve">Bonos Especiales </t>
  </si>
  <si>
    <t>sueldos base</t>
  </si>
  <si>
    <t>Asignaciónes del DL N° 2.411, de 1978</t>
  </si>
  <si>
    <t>Asignaciónes del DL N° 3.551, de 1981</t>
  </si>
  <si>
    <t xml:space="preserve">Asignación de Responsabilidad Superior </t>
  </si>
  <si>
    <t xml:space="preserve">Otras Remuneraciones </t>
  </si>
  <si>
    <t xml:space="preserve">Para Vehículos </t>
  </si>
  <si>
    <t xml:space="preserve">Materiales de Oficina </t>
  </si>
  <si>
    <t xml:space="preserve">Materiales y útiles de Aseo </t>
  </si>
  <si>
    <t xml:space="preserve">Menaje para Oficina, Casino y Otros </t>
  </si>
  <si>
    <t xml:space="preserve">Otros Materiales, Repuestos y Útiles Diversos para Mantenimiento </t>
  </si>
  <si>
    <t xml:space="preserve">Equipos Menores </t>
  </si>
  <si>
    <t xml:space="preserve">Otros </t>
  </si>
  <si>
    <t>Mantenimiento y Reparaciones.</t>
  </si>
  <si>
    <t>Mantenimiento y Reparación de Edificaciones.</t>
  </si>
  <si>
    <t>Mantenimiento y Reparación de Mobiliarios y Otros.</t>
  </si>
  <si>
    <t>Pasajes, Fletes y Bodegaje.</t>
  </si>
  <si>
    <t>Salas Cunas y/o Jardines Infantiles.</t>
  </si>
  <si>
    <t>Arriendo</t>
  </si>
  <si>
    <t xml:space="preserve">Arriendo de Máquinas  y Equipos </t>
  </si>
  <si>
    <t>Arriendo de Equipos Informaticos</t>
  </si>
  <si>
    <t xml:space="preserve">Servicios Financieros y de Seguros </t>
  </si>
  <si>
    <t xml:space="preserve">Primas y Gastos de Seguros </t>
  </si>
  <si>
    <t>Sercicios Informáticos</t>
  </si>
  <si>
    <t>Provisión Fondo nacional de Desarrollo Regional</t>
  </si>
  <si>
    <t>Provisión Incorporación Mayores Ingresos Propios</t>
  </si>
  <si>
    <t>Provisión Energización</t>
  </si>
  <si>
    <t>Sueldo Bases</t>
  </si>
  <si>
    <t>SALDO FINAL DE CAJA</t>
  </si>
  <si>
    <t>Calzado</t>
  </si>
  <si>
    <t>SI</t>
  </si>
  <si>
    <t>Deuda Flotante</t>
  </si>
  <si>
    <t>Asig. Del DL N° 3,551, de 1981</t>
  </si>
  <si>
    <t>[ 1 ]</t>
  </si>
  <si>
    <t>[ 2 ]</t>
  </si>
  <si>
    <t>[ 3 ]</t>
  </si>
  <si>
    <t>[ 3/2 ]</t>
  </si>
  <si>
    <t>[ 2/1 ]</t>
  </si>
  <si>
    <t>A Organismos Internacionales</t>
  </si>
  <si>
    <t>CONSOLIDADO POR SUBTITULO PROGRAMA 02</t>
  </si>
  <si>
    <t>FEBRERO</t>
  </si>
  <si>
    <t>CONSOLIDADO PROGRAMA 02</t>
  </si>
  <si>
    <t>Programa Academia Capacitación Muncipal y Regional</t>
  </si>
  <si>
    <t xml:space="preserve">Deuda Flotante </t>
  </si>
  <si>
    <t>TOTAL</t>
  </si>
  <si>
    <t>Municipalidades</t>
  </si>
  <si>
    <t>CONSOLIDADO POR SUBTITULO PROGRAMA 03</t>
  </si>
  <si>
    <t>CONSOLIDADO PROGRAMA 03</t>
  </si>
  <si>
    <t>PRESTAMOS</t>
  </si>
  <si>
    <t>De Fomento</t>
  </si>
  <si>
    <t>CONSOLIDADO PROGRAMAS</t>
  </si>
  <si>
    <t xml:space="preserve">TRANSFERENCIAS CORRIENTES </t>
  </si>
  <si>
    <t xml:space="preserve">PRESTAMOS </t>
  </si>
  <si>
    <t xml:space="preserve">TRANSFERENCIAS DE CAPITAL </t>
  </si>
  <si>
    <t>CONSOLIDADO POR PROGRAMA</t>
  </si>
  <si>
    <t>FRC</t>
  </si>
  <si>
    <t xml:space="preserve">Presupuesto inicial </t>
  </si>
  <si>
    <t>Emergencia</t>
  </si>
  <si>
    <t>21.</t>
  </si>
  <si>
    <t>001.</t>
  </si>
  <si>
    <t>01.</t>
  </si>
  <si>
    <t>002.</t>
  </si>
  <si>
    <t>003.</t>
  </si>
  <si>
    <t>004.</t>
  </si>
  <si>
    <t>005.</t>
  </si>
  <si>
    <t>02.</t>
  </si>
  <si>
    <t>03.</t>
  </si>
  <si>
    <t>.02</t>
  </si>
  <si>
    <t>.002</t>
  </si>
  <si>
    <t>.003</t>
  </si>
  <si>
    <t>.03</t>
  </si>
  <si>
    <t>.04</t>
  </si>
  <si>
    <t>.001</t>
  </si>
  <si>
    <t>.007</t>
  </si>
  <si>
    <t>.008</t>
  </si>
  <si>
    <t>.009</t>
  </si>
  <si>
    <t>.010</t>
  </si>
  <si>
    <t>.011</t>
  </si>
  <si>
    <t>.012</t>
  </si>
  <si>
    <t>.013</t>
  </si>
  <si>
    <t>.999</t>
  </si>
  <si>
    <t>.05</t>
  </si>
  <si>
    <t>.004</t>
  </si>
  <si>
    <t>.005</t>
  </si>
  <si>
    <t>.006</t>
  </si>
  <si>
    <t>.06</t>
  </si>
  <si>
    <t>.07</t>
  </si>
  <si>
    <t>.08</t>
  </si>
  <si>
    <t>.09</t>
  </si>
  <si>
    <t>.10</t>
  </si>
  <si>
    <t>.11</t>
  </si>
  <si>
    <t>.12</t>
  </si>
  <si>
    <t>.110</t>
  </si>
  <si>
    <t>.111</t>
  </si>
  <si>
    <t>.014</t>
  </si>
  <si>
    <t>.015</t>
  </si>
  <si>
    <t>.017</t>
  </si>
  <si>
    <t>.021</t>
  </si>
  <si>
    <t>.024</t>
  </si>
  <si>
    <t>.025</t>
  </si>
  <si>
    <t>.130</t>
  </si>
  <si>
    <t>.190</t>
  </si>
  <si>
    <t>.418</t>
  </si>
  <si>
    <t>.421</t>
  </si>
  <si>
    <t>.426</t>
  </si>
  <si>
    <t>.429</t>
  </si>
  <si>
    <t>34.02</t>
  </si>
  <si>
    <t>34.04</t>
  </si>
  <si>
    <t>34.07</t>
  </si>
  <si>
    <t>21.01.004.007</t>
  </si>
  <si>
    <t>Productos Químicos</t>
  </si>
  <si>
    <t>Servicios Informáticos</t>
  </si>
  <si>
    <t>22.12.003</t>
  </si>
  <si>
    <t>TRANSFERENCIAS CORRIENTES</t>
  </si>
  <si>
    <t>A Otras Entidades Públicas</t>
  </si>
  <si>
    <t>29.06</t>
  </si>
  <si>
    <t>29.06.001</t>
  </si>
  <si>
    <t>Equipos Computacionales y Periféricos</t>
  </si>
  <si>
    <t>29.07</t>
  </si>
  <si>
    <t>Programas Computacionales</t>
  </si>
  <si>
    <t>24.03.026</t>
  </si>
  <si>
    <t>Buscador</t>
  </si>
  <si>
    <t>24.03.403</t>
  </si>
  <si>
    <t>Municipalidades (Compensación por Predios Exentos)</t>
  </si>
  <si>
    <t>Tradicional</t>
  </si>
  <si>
    <t>33.03.110</t>
  </si>
  <si>
    <t>Municipalidades (Fondo de Incentivo al Mejoramiento de la Gestión Municipal)</t>
  </si>
  <si>
    <t>32.04.002</t>
  </si>
  <si>
    <t>.026</t>
  </si>
  <si>
    <t>.403</t>
  </si>
  <si>
    <t>.016</t>
  </si>
  <si>
    <t>24.02.101</t>
  </si>
  <si>
    <t>24.02.103</t>
  </si>
  <si>
    <t>24.02.104</t>
  </si>
  <si>
    <t>24.02.105</t>
  </si>
  <si>
    <t>24.02.106</t>
  </si>
  <si>
    <t>24.02.107</t>
  </si>
  <si>
    <t>24.02.108</t>
  </si>
  <si>
    <t>24.02.109</t>
  </si>
  <si>
    <t>24.02.110</t>
  </si>
  <si>
    <t>24.02.111</t>
  </si>
  <si>
    <t>24.02.112</t>
  </si>
  <si>
    <t>24.02.113</t>
  </si>
  <si>
    <t>24.02.114</t>
  </si>
  <si>
    <t>24.02.115</t>
  </si>
  <si>
    <t>Capacitación en Desarrollo Regional y Comunal</t>
  </si>
  <si>
    <t>Capacitacion en Desarrollo Regional y Comunal</t>
  </si>
  <si>
    <t>24.07.002</t>
  </si>
  <si>
    <t>CONSOLIDADO POR SUBTITULO PROGRAMA 05</t>
  </si>
  <si>
    <t>Provisión Fondo Nacional de Desarrollo Regional</t>
  </si>
  <si>
    <t>Provisión Programa Infraestructura Rural</t>
  </si>
  <si>
    <t>Provisión Puesta en Valor del Patrimonio</t>
  </si>
  <si>
    <t>Provisión de Apoyo a la Gestión Subnacional</t>
  </si>
  <si>
    <t>Provisión Programa Saneamiento Sanitario</t>
  </si>
  <si>
    <t>Provisión Programa Residuos Sólidos</t>
  </si>
  <si>
    <t>PROGRAMA 02 - SUBNACIONAL</t>
  </si>
  <si>
    <t>PROGRAMA 03 - DESARROLLO LOCAL</t>
  </si>
  <si>
    <t>Municipalidades (Programa Esterilización y Atención Sanitaria de Animales de Compañía)</t>
  </si>
  <si>
    <t>.406</t>
  </si>
  <si>
    <t>24.03.406</t>
  </si>
  <si>
    <t>.409</t>
  </si>
  <si>
    <t>.415</t>
  </si>
  <si>
    <t>.427</t>
  </si>
  <si>
    <t>.428</t>
  </si>
  <si>
    <t>Oficina Revitalización de Barrios e Infraestructural Patrimonial</t>
  </si>
  <si>
    <t>Oficina de Donación Española</t>
  </si>
  <si>
    <t xml:space="preserve">Programa de Apoyo a la Acreditación de Calidad de Servicios Municipales </t>
  </si>
  <si>
    <t>Municipalidades (Programa Esterilización y Atención Sanitaria de Animales de Compañia)</t>
  </si>
  <si>
    <t>Municipalidades (Prevención y Mitigación de Riesgos)</t>
  </si>
  <si>
    <t>Terrenos</t>
  </si>
  <si>
    <t>Otras Transferencias</t>
  </si>
  <si>
    <t>33.03.111</t>
  </si>
  <si>
    <t>Municipalidades (Progr Revital de Barrios e Infraestruct Patrimonial Emblematica)</t>
  </si>
  <si>
    <t>Provisión Regiones Extremas</t>
  </si>
  <si>
    <t>Provisión Territorios Rezagados</t>
  </si>
  <si>
    <t>.500</t>
  </si>
  <si>
    <t>OK</t>
  </si>
  <si>
    <t>Capacitación Directiva o Diplomados</t>
  </si>
  <si>
    <t>Capacitación Alianzas Estratégica Contingente Acción de Apoyo</t>
  </si>
  <si>
    <t>Transferencias - Programa Esterilización</t>
  </si>
  <si>
    <t>Honorarios - Programa Esterilización</t>
  </si>
  <si>
    <t>Viaticos - Programa Esterilización</t>
  </si>
  <si>
    <t>Otros Gastos - Programa Esterilización</t>
  </si>
  <si>
    <t>PRESTACIONES DE SEGURIDAD SOCIAL</t>
  </si>
  <si>
    <t>Fondo Retiro Funcionarios Públicos Ley N° 19.882</t>
  </si>
  <si>
    <t>23.03.003</t>
  </si>
  <si>
    <t>CLASIFICACIÓN PRESUPUESTARIA</t>
  </si>
  <si>
    <t>FORTALECIMIENTO DE LA GESTIÓN SUBNACIONAL</t>
  </si>
  <si>
    <t>TRANSFERENCIAS A GOBIERNOS REGIONALES</t>
  </si>
  <si>
    <t>PROGRAMAS PRESUPUESTARIOS</t>
  </si>
  <si>
    <t>CONSOLIDADO PROGRAMA 05</t>
  </si>
  <si>
    <t>24.02.006</t>
  </si>
  <si>
    <t>OTROS GASTOS CORRIENTES</t>
  </si>
  <si>
    <t>Devoluciones</t>
  </si>
  <si>
    <t>.</t>
  </si>
  <si>
    <t>24.02.004</t>
  </si>
  <si>
    <t>A la Dirección de Arquitectura - MOP</t>
  </si>
  <si>
    <t> A Organismos Internacionales</t>
  </si>
  <si>
    <t>Otros Gastos Financieros Deuda Externa</t>
  </si>
  <si>
    <t>34.06</t>
  </si>
  <si>
    <t>Predios Exentos</t>
  </si>
  <si>
    <t xml:space="preserve">Sistema de Capacitación por Competencias </t>
  </si>
  <si>
    <t>Fondo Concursable Becas - Ley N° 20.742</t>
  </si>
  <si>
    <t>Honorarios Fondo de Becas</t>
  </si>
  <si>
    <t>Viaticos Fondo de Becas</t>
  </si>
  <si>
    <t>Otros Gastos Fondo de Becas</t>
  </si>
  <si>
    <t>Programa de Modernización Municipal</t>
  </si>
  <si>
    <t>24.03.033</t>
  </si>
  <si>
    <t>Cuenca del Carbón</t>
  </si>
  <si>
    <t>.033</t>
  </si>
  <si>
    <t>Fondo Concursable Becas - Ley N°20.742</t>
  </si>
  <si>
    <t>Asistencia Técnica</t>
  </si>
  <si>
    <t>Al Sector Privado</t>
  </si>
  <si>
    <t>24.01.100</t>
  </si>
  <si>
    <t>.01</t>
  </si>
  <si>
    <t> Al Sector Privado</t>
  </si>
  <si>
    <t xml:space="preserve">Municipalidades (Compensación por Predios Exentos) </t>
  </si>
  <si>
    <t xml:space="preserve">A Otras Entidades Públicas </t>
  </si>
  <si>
    <t>ADQUISICIÓN DE ACTIVOS NO FINANCIEROS</t>
  </si>
  <si>
    <t>Al Consejo de Monumentos Nacionales</t>
  </si>
  <si>
    <t>24.01.101</t>
  </si>
  <si>
    <t>Alumnos en Práctica</t>
  </si>
  <si>
    <t>007</t>
  </si>
  <si>
    <t>26.01</t>
  </si>
  <si>
    <t>Pago por Servicio de Recolección de Basura</t>
  </si>
  <si>
    <t>Viáticos - Programa Esterilización</t>
  </si>
  <si>
    <t>Prevención y Mitigación de Riesgos</t>
  </si>
  <si>
    <t>Programa de Modernización</t>
  </si>
  <si>
    <t>.602</t>
  </si>
  <si>
    <t>24.07.003</t>
  </si>
  <si>
    <t>A Banco Interamericano de Desarrollo (BID)</t>
  </si>
  <si>
    <t>Otorgamiento de Becas - Aranceles</t>
  </si>
  <si>
    <t>Gastos en Personal - Honorarios</t>
  </si>
  <si>
    <t>Gastos en Personal - Viáticos</t>
  </si>
  <si>
    <t>Otros Gastos Administrativos</t>
  </si>
  <si>
    <t>Suplencias y Reemplazos</t>
  </si>
  <si>
    <t>005</t>
  </si>
  <si>
    <t>Materiales y Útiles Quirúrgicos</t>
  </si>
  <si>
    <t>Municipalidades (Programa de Modernización)</t>
  </si>
  <si>
    <t>006</t>
  </si>
  <si>
    <t xml:space="preserve"> </t>
  </si>
  <si>
    <t>24.01.102</t>
  </si>
  <si>
    <t>Otorgamiento de Becas - Manutención</t>
  </si>
  <si>
    <t>Implementación Ley N 21.020</t>
  </si>
  <si>
    <t>Fondo Concursable</t>
  </si>
  <si>
    <t>Estudios y Diseños</t>
  </si>
  <si>
    <t>Implementación Ley N 21.020 - Fondo Consursable</t>
  </si>
  <si>
    <t>Otorgamiento de Becas Aranceles</t>
  </si>
  <si>
    <t>Otorgamiento de Becas Manutención</t>
  </si>
  <si>
    <t xml:space="preserve">Sistema Información Financiera Municipal </t>
  </si>
  <si>
    <t xml:space="preserve">Gobierno Electrónico Local </t>
  </si>
  <si>
    <t>23.03</t>
  </si>
  <si>
    <t>Concepto Presupuestario</t>
  </si>
  <si>
    <t>Saldo por Aplicar</t>
  </si>
  <si>
    <t>Compromiso</t>
  </si>
  <si>
    <t>Devengado</t>
  </si>
  <si>
    <t>Saldo por Devengar</t>
  </si>
  <si>
    <t>Trabajos  Extraordinarios</t>
  </si>
  <si>
    <t>2</t>
  </si>
  <si>
    <t>Requerimiento</t>
  </si>
  <si>
    <t>Requerimiento M$</t>
  </si>
  <si>
    <t>2101002 Aportes del Empleador</t>
  </si>
  <si>
    <t>2101003002 Desempeño Colectivo</t>
  </si>
  <si>
    <t>2101004 Remuneraciones Variables</t>
  </si>
  <si>
    <t>2101005 Aguinaldos y Bonos</t>
  </si>
  <si>
    <t>2101005001 Aguinaldos</t>
  </si>
  <si>
    <t>2101005003 Bonos Especiales</t>
  </si>
  <si>
    <t>2102 Personal a Contrata</t>
  </si>
  <si>
    <t>2102001 Sueldos y Sobresueldos</t>
  </si>
  <si>
    <t>2102001001 Sueldos Bases</t>
  </si>
  <si>
    <t>2102001003 Asignación Profesional</t>
  </si>
  <si>
    <t>2102001004 Asignación de Zona</t>
  </si>
  <si>
    <t>2102002 Aportes del Empleador</t>
  </si>
  <si>
    <t>2102003002 Desempeño Colectivo</t>
  </si>
  <si>
    <t>2102004 Remuneraciones Variables</t>
  </si>
  <si>
    <t>2102005 Aguinaldos y Bonos</t>
  </si>
  <si>
    <t>2102005001 Aguinaldos</t>
  </si>
  <si>
    <t>2102005003 Bonos Especiales</t>
  </si>
  <si>
    <t>2103 Otras Remuneraciones</t>
  </si>
  <si>
    <t>2103005 Suplencias y Reemplazos</t>
  </si>
  <si>
    <t>2103007 Alumnos en Práctica</t>
  </si>
  <si>
    <t>22 BIENES Y SERVICIOS DE CONSUMO</t>
  </si>
  <si>
    <t>2202 Textiles, Vestuario y Calzado</t>
  </si>
  <si>
    <t>2202003 Calzado</t>
  </si>
  <si>
    <t>2204 Materiales de Uso o Consumo</t>
  </si>
  <si>
    <t>2204001 Materiales de Oficina</t>
  </si>
  <si>
    <t>2204003 Productos Químicos</t>
  </si>
  <si>
    <t>2204007 Materiales y Útiles de Aseo</t>
  </si>
  <si>
    <t>2204013 Equipos Menores</t>
  </si>
  <si>
    <t>2204999 Otros</t>
  </si>
  <si>
    <t>2205 Servicios Básicos</t>
  </si>
  <si>
    <t>2205001 Electricidad</t>
  </si>
  <si>
    <t>2205002 Agua</t>
  </si>
  <si>
    <t>2205003 Gas</t>
  </si>
  <si>
    <t>2205004 Correo</t>
  </si>
  <si>
    <t>2205005 Telefonía Fija</t>
  </si>
  <si>
    <t>2205006 Telefonía Celular</t>
  </si>
  <si>
    <t>2205007 Acceso a Internet</t>
  </si>
  <si>
    <t>2206 Mantenimiento y Reparaciones</t>
  </si>
  <si>
    <t>2206999 Otros</t>
  </si>
  <si>
    <t>2207 Publicidad y Difusión</t>
  </si>
  <si>
    <t>2207001 Servicios de Publicidad</t>
  </si>
  <si>
    <t>2207002 Servicios de Impresión</t>
  </si>
  <si>
    <t>2208 Servicios Generales</t>
  </si>
  <si>
    <t>2208001 Servicios de Aseo</t>
  </si>
  <si>
    <t>2208999 Otros</t>
  </si>
  <si>
    <t>2209 Arriendos</t>
  </si>
  <si>
    <t>2209002 Arriendo de Edificios</t>
  </si>
  <si>
    <t>2210002 Primas y Gastos de Seguros</t>
  </si>
  <si>
    <t>2211001 Estudios e Investigaciones</t>
  </si>
  <si>
    <t>2211002 Cursos de Capacitación</t>
  </si>
  <si>
    <t>2211003 Servicios Informáticos</t>
  </si>
  <si>
    <t>2211999 Otros</t>
  </si>
  <si>
    <t>2212002 Gastos Menores</t>
  </si>
  <si>
    <t>2212999 Otros</t>
  </si>
  <si>
    <t>24 TRANSFERENCIAS CORRIENTES</t>
  </si>
  <si>
    <t>2403 A Otras Entidades Públicas</t>
  </si>
  <si>
    <t>2906 Equipos Informáticos</t>
  </si>
  <si>
    <t>2907 Programas Informáticos</t>
  </si>
  <si>
    <t>34 SERVICIO DE LA DEUDA</t>
  </si>
  <si>
    <t>3402 Amortización Deuda Externa</t>
  </si>
  <si>
    <t>3402002 Empréstitos</t>
  </si>
  <si>
    <t>3404 Intereses Deuda Externa</t>
  </si>
  <si>
    <t>3404002 Empréstitos</t>
  </si>
  <si>
    <t>3406002 Empréstitos</t>
  </si>
  <si>
    <t>3407 Deuda Flotante</t>
  </si>
  <si>
    <t>Total</t>
  </si>
  <si>
    <t>Saldo por Comprometer</t>
  </si>
  <si>
    <t>Código Concepto</t>
  </si>
  <si>
    <t>Código Insumo</t>
  </si>
  <si>
    <t>Catálogo 01</t>
  </si>
  <si>
    <t>Catálogo 04</t>
  </si>
  <si>
    <t>Monto Devengo</t>
  </si>
  <si>
    <t>2403026</t>
  </si>
  <si>
    <t>42426003</t>
  </si>
  <si>
    <t>Capac En Alianzas Estratégicas; Capac Contingente;</t>
  </si>
  <si>
    <t>ProgramaPresupuestario - 02 P02-Fortalecimiento de la Gestión Subnacional</t>
  </si>
  <si>
    <t>2403033</t>
  </si>
  <si>
    <t>42433001</t>
  </si>
  <si>
    <t>42433002</t>
  </si>
  <si>
    <t>42433003</t>
  </si>
  <si>
    <t>2403602</t>
  </si>
  <si>
    <t>42402001</t>
  </si>
  <si>
    <t>Monto Devengo M$</t>
  </si>
  <si>
    <t>02</t>
  </si>
  <si>
    <t>2403403</t>
  </si>
  <si>
    <t>42403002</t>
  </si>
  <si>
    <t>2403406</t>
  </si>
  <si>
    <t>42406002</t>
  </si>
  <si>
    <t>42406003</t>
  </si>
  <si>
    <t>Sin Insumo</t>
  </si>
  <si>
    <t>3303110</t>
  </si>
  <si>
    <t>1</t>
  </si>
  <si>
    <t>3204002</t>
  </si>
  <si>
    <t>3303111</t>
  </si>
  <si>
    <t>3407</t>
  </si>
  <si>
    <t>Descripción Concepto</t>
  </si>
  <si>
    <t>Programa Academia Capacitación Municipal y Regiona</t>
  </si>
  <si>
    <t>42426002</t>
  </si>
  <si>
    <t>Sistema de Capacitación por Competencias</t>
  </si>
  <si>
    <t>42426001</t>
  </si>
  <si>
    <t>42433004</t>
  </si>
  <si>
    <t>42433005</t>
  </si>
  <si>
    <t>2403500</t>
  </si>
  <si>
    <t>Municipalidades (Prevención y Mitigación de Riesgo</t>
  </si>
  <si>
    <t>42402004</t>
  </si>
  <si>
    <t>3303602001</t>
  </si>
  <si>
    <t>Municipalidades - Sistema Información Financiera M</t>
  </si>
  <si>
    <t>3303602002</t>
  </si>
  <si>
    <t>Municipalidades - Unidad de Gobierno Electrónico L</t>
  </si>
  <si>
    <t>Monto Requerimiento</t>
  </si>
  <si>
    <t>Municipalidades (Programa Esterilización y Atenció</t>
  </si>
  <si>
    <t>Municipalidades (Fondo de Incentivo al Mejoramient</t>
  </si>
  <si>
    <t>Municipalidades (Progr. Revital de Barrios e Infra</t>
  </si>
  <si>
    <t>42406004</t>
  </si>
  <si>
    <t>42406005</t>
  </si>
  <si>
    <t>Implementación Ley N 21.020 - Transferencia Munici</t>
  </si>
  <si>
    <t>42406001</t>
  </si>
  <si>
    <t>Textiles y Acabados Textiles</t>
  </si>
  <si>
    <t>2101001003 Asignación Profesional</t>
  </si>
  <si>
    <t>2101001001 Sueldos Bases</t>
  </si>
  <si>
    <t>2101001 Sueldos y Sobresueldos</t>
  </si>
  <si>
    <t>2101 Personal de Planta</t>
  </si>
  <si>
    <t>21 GASTOS EN PERSONAL</t>
  </si>
  <si>
    <t>2101005002 Bono de Escolaridad</t>
  </si>
  <si>
    <t>2102005002 Bono de Escolaridad</t>
  </si>
  <si>
    <t>2402102</t>
  </si>
  <si>
    <t>2402108</t>
  </si>
  <si>
    <t>2402111</t>
  </si>
  <si>
    <t>3303001</t>
  </si>
  <si>
    <t>Monto Compromiso</t>
  </si>
  <si>
    <t>42402002</t>
  </si>
  <si>
    <t>Fortalecimiento de la gestión financiera y presupu</t>
  </si>
  <si>
    <t>Monto Requerimiento M$</t>
  </si>
  <si>
    <t>Fortalecimiento de la gestión financiera y presupuestaria</t>
  </si>
  <si>
    <t>Fortalecimiento de las Asociaciones Municipales</t>
  </si>
  <si>
    <t>2208002 Servicios de Vigilancia</t>
  </si>
  <si>
    <t>2209999 Otros</t>
  </si>
  <si>
    <t>2407 A Organismos Internacionales</t>
  </si>
  <si>
    <t>35 SALDO FINAL DE CAJA</t>
  </si>
  <si>
    <t>42403001</t>
  </si>
  <si>
    <t>42406006</t>
  </si>
  <si>
    <t>42402005</t>
  </si>
  <si>
    <t>42402003</t>
  </si>
  <si>
    <t>A Banco Mundial</t>
  </si>
  <si>
    <t>2203 Combustibles y Lubricantes</t>
  </si>
  <si>
    <t>2203001 Para Vehículos</t>
  </si>
  <si>
    <t>2210004 Gastos Bancarios</t>
  </si>
  <si>
    <t>2407006 A Banco Mundial</t>
  </si>
  <si>
    <t>3302018</t>
  </si>
  <si>
    <t>Al Serviu VIII</t>
  </si>
  <si>
    <t>2403034</t>
  </si>
  <si>
    <t>Programa Inversión Regional Región de Ñuble</t>
  </si>
  <si>
    <t>Programa Inversión Regional Región de Coquimbo</t>
  </si>
  <si>
    <t>Programa Inversión Regional Región de Atacama</t>
  </si>
  <si>
    <t>Programa Inversión Regional Región de Antofagasta</t>
  </si>
  <si>
    <t>Programa Inversión Regional Región de Valparaíso</t>
  </si>
  <si>
    <t>Programa Inversión Regional Región del Maule</t>
  </si>
  <si>
    <t>Programa Inversión Regional Región de Magallanes y de la Antártica Chilena</t>
  </si>
  <si>
    <t>Programa Inversión Regional Región Metropolitana de Santiago</t>
  </si>
  <si>
    <t>Programa Inversión Regional Región de Los Ríos</t>
  </si>
  <si>
    <t>Programa Inversión Regional Región de Arica y Parinacota</t>
  </si>
  <si>
    <t>Programa Inversión Regional Región de Tarapaca</t>
  </si>
  <si>
    <t>Programa Inversión Regional Región del Bío Bío</t>
  </si>
  <si>
    <t>Programa Inversión Regional Región de Araucanía</t>
  </si>
  <si>
    <t>Programa Inversión Regional Región de Los Lagos</t>
  </si>
  <si>
    <t xml:space="preserve">Programa de Apoyo al Mejoramiento de la Gestión y </t>
  </si>
  <si>
    <t>Monto Compromiso M$</t>
  </si>
  <si>
    <t xml:space="preserve">Apoyo a la Acreditación de Calidad de Servicios Municipales </t>
  </si>
  <si>
    <t>24.03.034</t>
  </si>
  <si>
    <t>.034</t>
  </si>
  <si>
    <t>Enero</t>
  </si>
  <si>
    <t>IRAL- Inversión Regional de Asignación Local</t>
  </si>
  <si>
    <t>abril</t>
  </si>
  <si>
    <t>2403415 Oficina de Donación Española</t>
  </si>
  <si>
    <t>2403409 Oficina Revitalización de Barrios e Infraestructur</t>
  </si>
  <si>
    <t>Municipalidades Sistema Información Municipal (SIM)</t>
  </si>
  <si>
    <t>3303602003</t>
  </si>
  <si>
    <t xml:space="preserve">Descripción Insumo </t>
  </si>
  <si>
    <t>Subsecretaría de Desarrollo Regional y Administrat</t>
  </si>
  <si>
    <t>Municipalidades Sistema Información Municipal (SIM</t>
  </si>
  <si>
    <t>2401 Al Sector Privado</t>
  </si>
  <si>
    <t>A la Subsecretaría de Bienes Nacionales</t>
  </si>
  <si>
    <t>Al Servicio Nacional del Patrimonio Cultural</t>
  </si>
  <si>
    <t xml:space="preserve">Presupuesto vigente </t>
  </si>
  <si>
    <t>INGRESOS AL FISCO</t>
  </si>
  <si>
    <t>Otros Ingresos al Fisco</t>
  </si>
  <si>
    <t>2599</t>
  </si>
  <si>
    <t>Otros Íntegros al Fisco</t>
  </si>
  <si>
    <t>INTEGROS AL FISCO</t>
  </si>
  <si>
    <t>ProgramaPresupuestario - 03 P03-Programas de Desarrollo Local</t>
  </si>
  <si>
    <t xml:space="preserve">Ley de Presupuestos </t>
  </si>
  <si>
    <t>3303021 Provisión Puesta en Valor del Patrimonio</t>
  </si>
  <si>
    <t>3303025 Provisión de Apoyo a la Gestión Subnacional</t>
  </si>
  <si>
    <t>3303017 Provisión Programa Infraestructura Rural</t>
  </si>
  <si>
    <t>Nivel Cruce</t>
  </si>
  <si>
    <t>3</t>
  </si>
  <si>
    <t>4</t>
  </si>
  <si>
    <t>2101001002 Asignación de Antigüedad</t>
  </si>
  <si>
    <t>2101001007 Asignaciones del DL N ° 3.551, de 1981</t>
  </si>
  <si>
    <t>2101001012 Gastos de Representación</t>
  </si>
  <si>
    <t>2101001013 Asignación de Dirección Superior</t>
  </si>
  <si>
    <t>2101001014 Asignaciones Compensatorias</t>
  </si>
  <si>
    <t>2101001015 Asignaciones Sustitutivas</t>
  </si>
  <si>
    <t>2101001022 Componente Base Asignación de Desempeño</t>
  </si>
  <si>
    <t>2101001039 Asignación de Responsabilidad Superior</t>
  </si>
  <si>
    <t>2101002001 A Servicios de Bienestar</t>
  </si>
  <si>
    <t>2101002002 Otras Cotizaciones Previsionales</t>
  </si>
  <si>
    <t>2101003 Asignaciones por Desempeño</t>
  </si>
  <si>
    <t>2101003001 Desempeño Institucional</t>
  </si>
  <si>
    <t>2101004004 Asignación por Desempeño de Funciones Críticas</t>
  </si>
  <si>
    <t>2101004005 Trabajos  Extraordinarios</t>
  </si>
  <si>
    <t>2101004007 Comisiones de Servicios en el Exterior</t>
  </si>
  <si>
    <t>2102001002 Asignación de Antigüedad</t>
  </si>
  <si>
    <t>2102001006 Asignaciones del DL N ° 2.411, de 1978</t>
  </si>
  <si>
    <t>2102001007 Asignaciones del DL N ° 3.551, de 1981</t>
  </si>
  <si>
    <t>2102001013 Asignaciones Compensatorias</t>
  </si>
  <si>
    <t>2102001014 Asignaciones Sustitutivas</t>
  </si>
  <si>
    <t>2102001021 Componente Base Asignación de Desempeño</t>
  </si>
  <si>
    <t>2102001037 Asignación Zonas Extremas</t>
  </si>
  <si>
    <t>2102001038 Asignación de Responsabilidad Superior</t>
  </si>
  <si>
    <t>2102002001 A Servicios de Bienestar</t>
  </si>
  <si>
    <t>2102002002 Otras Cotizaciones Previsionales</t>
  </si>
  <si>
    <t>2102003 Asignaciones por Desempeño</t>
  </si>
  <si>
    <t>2102003001 Desempeño Institucional</t>
  </si>
  <si>
    <t>2102004004 Asignación por Desempeño de Funciones Críticas</t>
  </si>
  <si>
    <t>2102004005 Trabajos Extraordinarios</t>
  </si>
  <si>
    <t>2103001 Honorarios a Suma Alzada - Personas Naturales</t>
  </si>
  <si>
    <t>2103001001 Honorarios a Suma Alzada-Honorarios</t>
  </si>
  <si>
    <t>2103001002 Honorarios a Suma Alzada - Viáticos</t>
  </si>
  <si>
    <t>2202001 Textiles y Acabados Textiles</t>
  </si>
  <si>
    <t>2202002 Vestuario, Accesorios y Prendas Diversas</t>
  </si>
  <si>
    <t>2204005 Materiales y Útiles Quirúrgicos</t>
  </si>
  <si>
    <t>2204008 Menaje para Oficina, Casino y Otros</t>
  </si>
  <si>
    <t>2204009 Insumos, Repuestos y Accesorios Computacionales</t>
  </si>
  <si>
    <t>2204010 Materiales para Mantenimiento y Reparaciones de In</t>
  </si>
  <si>
    <t>2204011 Repuestos y Accesorios para Mantenimiento y Repara</t>
  </si>
  <si>
    <t>2204012 Otros Materiales, Repuestos y Útiles Diversos para</t>
  </si>
  <si>
    <t>2205008 Enlaces de Telecomunicaciones</t>
  </si>
  <si>
    <t>2206001 Mantenimiento y Reparación de Edificaciones</t>
  </si>
  <si>
    <t>2206002 Mantenimiento y Reparación de Vehículos</t>
  </si>
  <si>
    <t>2206003 Mantenimiento y Reparación de Mobiliarios y Otros</t>
  </si>
  <si>
    <t>2206004 Mantenimiento y Reparación de Máquinas y Equipos d</t>
  </si>
  <si>
    <t>2206007 Mantenimiento y Reparación de Equipos Informáticos</t>
  </si>
  <si>
    <t>2208007 Pasajes, Fletes y Bodegajes</t>
  </si>
  <si>
    <t>2208008 Salas Cunas y/o Jardines Infantiles</t>
  </si>
  <si>
    <t>2208010 Servicios de Suscripción y Similares</t>
  </si>
  <si>
    <t>2209005 Arriendo de Máquinas y Equipos</t>
  </si>
  <si>
    <t>2209006 Arriendo de  Equipos Informáticos</t>
  </si>
  <si>
    <t>2210 Servicios Financieros y de Seguros</t>
  </si>
  <si>
    <t>2211 Servicios Técnicos y Profesionales</t>
  </si>
  <si>
    <t>2212 Otros Gastos en Bienes y Servicios de Consumo</t>
  </si>
  <si>
    <t>2212003 Gastos de Representación, Protocolo y Ceremonial</t>
  </si>
  <si>
    <t>23 PRESTACIONES DE SEGURIDAD SOCIAL</t>
  </si>
  <si>
    <t>2303 Prestaciones Sociales del Empleador</t>
  </si>
  <si>
    <t>2303003 Fondo Retiro Funcionarios Públicos Ley N° 19.882</t>
  </si>
  <si>
    <t>2401103 Universidad Católica-Centro Latinoamericano de Pol</t>
  </si>
  <si>
    <t>2403024 Capacitación en Desarrollo Regional y Comunal</t>
  </si>
  <si>
    <t>2407002 A Comisión Económica Para América Latina y el Cari</t>
  </si>
  <si>
    <t>2407003 A Banco Interamericano de Desarrollo (BID)</t>
  </si>
  <si>
    <t>2407007 Organización de las Naciones Unidas para la Alimen</t>
  </si>
  <si>
    <t>29 ADQUISICION DE ACTIVOS NO FINANCIEROS</t>
  </si>
  <si>
    <t>2906001 Equipos Computacionales y Periféricos</t>
  </si>
  <si>
    <t>2907001 Programas Computacionales</t>
  </si>
  <si>
    <t>3404002001 Intereses Deuda Pública</t>
  </si>
  <si>
    <t>3406 Otros Gastos Financieros Deuda Externa</t>
  </si>
  <si>
    <t>2101004006 Comisiones de Servicios en el Pais</t>
  </si>
  <si>
    <t>2102004006 Comisiones de Servicios en el Pais</t>
  </si>
  <si>
    <t>Sueldos base</t>
  </si>
  <si>
    <t>.431</t>
  </si>
  <si>
    <t>Otros Gastos Academia</t>
  </si>
  <si>
    <t>42426007</t>
  </si>
  <si>
    <t>42402006</t>
  </si>
  <si>
    <t>SIM - FIMU Corriente</t>
  </si>
  <si>
    <t>Mejora de la gestión en la provisión de servicios</t>
  </si>
  <si>
    <t>Fortalecimiento Institucional</t>
  </si>
  <si>
    <t>Fortalecimiento de la Participación Ciudadana y la</t>
  </si>
  <si>
    <t>Obras</t>
  </si>
  <si>
    <t>Programa Gasto de Funcionamiento Región del Maule</t>
  </si>
  <si>
    <t>Programa Gastos de Funcionamiento Región de Ñuble</t>
  </si>
  <si>
    <t>Fondo de Desarrollo Local</t>
  </si>
  <si>
    <t>25 INTEGROS AL FISCO</t>
  </si>
  <si>
    <t>2599 Otros Íntegros al Fisco</t>
  </si>
  <si>
    <t>Marzo</t>
  </si>
  <si>
    <t>3303110 Municipalidades (Fondo de Incentivo al Mejoramient</t>
  </si>
  <si>
    <t>3303111 Municipalidades (Progr. Revital de Barrios e Infra</t>
  </si>
  <si>
    <t xml:space="preserve">Otros Integros Al Fisco </t>
  </si>
  <si>
    <t xml:space="preserve">INTEGROS AL FISCO </t>
  </si>
  <si>
    <t>Programa Gastos de Funcionamiento Región de Antofa</t>
  </si>
  <si>
    <t>Programa Gasto de Funcionamiento Región de Aysén d</t>
  </si>
  <si>
    <t>Universidad del Desarrollo</t>
  </si>
  <si>
    <t xml:space="preserve">Provisión Ley N° 20.378 - Fondo de Apoyo Regional </t>
  </si>
  <si>
    <t>Provisión Programas de Apoyo al Empleo</t>
  </si>
  <si>
    <t>acumulado a junio</t>
  </si>
  <si>
    <t>Mantenimiento y Reparación de Máquinas y Equipos d</t>
  </si>
  <si>
    <t>CONSOLIDADO POR SUBTÍTULO PROGRAMA 01</t>
  </si>
  <si>
    <t xml:space="preserve">CONSOLIDADO POR SUBTÍTULO </t>
  </si>
  <si>
    <t>Fundación Chile Descentralizado Desarrollado</t>
  </si>
  <si>
    <t>enero</t>
  </si>
  <si>
    <t>3010001</t>
  </si>
  <si>
    <t>Fondo de  Emergencia Transitorio</t>
  </si>
  <si>
    <t>Aporte Reembolsable Especial a Municipalidades</t>
  </si>
  <si>
    <t>330312000501</t>
  </si>
  <si>
    <t>330312000502</t>
  </si>
  <si>
    <t>330312000505</t>
  </si>
  <si>
    <t>330312000601</t>
  </si>
  <si>
    <t>330312000603</t>
  </si>
  <si>
    <t>330312000604</t>
  </si>
  <si>
    <t>330312000605</t>
  </si>
  <si>
    <t>330312000606</t>
  </si>
  <si>
    <t>330312000607</t>
  </si>
  <si>
    <t>3303120100</t>
  </si>
  <si>
    <t>Fondo Recuperación de Ciudades</t>
  </si>
  <si>
    <t xml:space="preserve">ADQUISICIÓN DE ACTIVOS FINANCIEROS </t>
  </si>
  <si>
    <t>Fondo de Emergencia Transitorio</t>
  </si>
  <si>
    <t>3303602004</t>
  </si>
  <si>
    <t>Plataforma Unidad de RRHH</t>
  </si>
  <si>
    <t>3303602005</t>
  </si>
  <si>
    <t>Servicios SINIM</t>
  </si>
  <si>
    <t>Tradicional (PMU)</t>
  </si>
  <si>
    <t>Emergencia (PMU)</t>
  </si>
  <si>
    <t>Cuenca del Carbón (PMU)</t>
  </si>
  <si>
    <t>Asistencia Técnica (PMB)</t>
  </si>
  <si>
    <t>Terrenos (PMB)</t>
  </si>
  <si>
    <t>Otras Transferencias (PMB)</t>
  </si>
  <si>
    <t>Estudios y diseños (PMB)</t>
  </si>
  <si>
    <t>IRAL Inversión Regional de Asignación Local (PMB)</t>
  </si>
  <si>
    <t>Obras (PMB)</t>
  </si>
  <si>
    <t>Fondo Recuperación de  (FRC)</t>
  </si>
  <si>
    <t>33.03.120.100</t>
  </si>
  <si>
    <t>Servicio Nacional del Patrimonio Cultural</t>
  </si>
  <si>
    <t>2401100 Universidad del Desarrollo</t>
  </si>
  <si>
    <t>2401101 Fundación Chile Descentralizado Desarrollado</t>
  </si>
  <si>
    <t>2401102 Universidad Adolfo Ibañez - Índice de bienestar te</t>
  </si>
  <si>
    <t>.020</t>
  </si>
  <si>
    <t>marzo</t>
  </si>
  <si>
    <t>acumulado a marzo</t>
  </si>
  <si>
    <t>febrero</t>
  </si>
  <si>
    <t>acumulado abril</t>
  </si>
  <si>
    <t>mayo</t>
  </si>
  <si>
    <t>acumulado a mayo</t>
  </si>
  <si>
    <t xml:space="preserve">Aporte Reembolsable Compensación Ingresos Propios </t>
  </si>
  <si>
    <t>julio</t>
  </si>
  <si>
    <t>2401104 Fortalecimiento y Apoyo Técnico a los Gobiernos Re</t>
  </si>
  <si>
    <t xml:space="preserve">2401105 Fortalecimiento de Capacidades de Intervención en </t>
  </si>
  <si>
    <t xml:space="preserve">2403105 Fortalecimiento de Capacidades de Intervención en </t>
  </si>
  <si>
    <t>3302020</t>
  </si>
  <si>
    <t xml:space="preserve">Al Serviu </t>
  </si>
  <si>
    <t>PROGRAMA 05 - TRANSFERENCIA GORES</t>
  </si>
  <si>
    <t>2403410 Universidad de Chile - Fortalecimiento Organizacio</t>
  </si>
  <si>
    <t>MOVIMIENTO AÑO 2022</t>
  </si>
  <si>
    <t>GASTO REAL AÑO 2022</t>
  </si>
  <si>
    <t>GASTO REAL   AÑO 2022</t>
  </si>
  <si>
    <t>Fondo de Equidad Interregional</t>
  </si>
  <si>
    <t>.433</t>
  </si>
  <si>
    <t>3303432</t>
  </si>
  <si>
    <t>Fondo de Apoyo Contingencia Regional</t>
  </si>
  <si>
    <t>.432</t>
  </si>
  <si>
    <t>42426008</t>
  </si>
  <si>
    <t>Tecnologías de Información y Comunicaciones TIC</t>
  </si>
  <si>
    <t xml:space="preserve">2206006 Mantenimiento y Reparación de Otras Maquinarias y </t>
  </si>
  <si>
    <t>GASTO AÑO 2022</t>
  </si>
  <si>
    <t>Mantenimiento y Reparación de otras Máquinarias y Equipos</t>
  </si>
  <si>
    <t xml:space="preserve">PROGRAMA 01 - SUBSECRETARIA </t>
  </si>
  <si>
    <t>N° Decreto</t>
  </si>
  <si>
    <t>24.03.406.001</t>
  </si>
  <si>
    <t>24.03.406.002</t>
  </si>
  <si>
    <t>24.03.406.003</t>
  </si>
  <si>
    <t>24.03.406.004</t>
  </si>
  <si>
    <t>24.03.406.005</t>
  </si>
  <si>
    <t>24.03.406.006</t>
  </si>
  <si>
    <t>25.99</t>
  </si>
  <si>
    <t>33.03.120.005.01</t>
  </si>
  <si>
    <t>33.03.120.005.02</t>
  </si>
  <si>
    <t>33.03.120.005.05</t>
  </si>
  <si>
    <t>33.03.120.006.01</t>
  </si>
  <si>
    <t>33.03.120.006.03</t>
  </si>
  <si>
    <t>33.03.120.006.04</t>
  </si>
  <si>
    <t>33.03.120.006.05</t>
  </si>
  <si>
    <t>33.03.120.006.06</t>
  </si>
  <si>
    <t>33.03.120.006.07</t>
  </si>
  <si>
    <t>Programa Gastos de Funcionamiento Región de Tarapacá</t>
  </si>
  <si>
    <t>Programa Gastos de Funcionamiento Región de Atacama</t>
  </si>
  <si>
    <t>Programa Gastos de Funcionamiento Región de Coquimbo</t>
  </si>
  <si>
    <t>Programa Gasto de Funcionamiento Región de Valparaíso</t>
  </si>
  <si>
    <t>Programa Gasto de Funcionamiento Región del Libertador B. O'Higgins</t>
  </si>
  <si>
    <t>Programa Gastos de Funcionamiento Región de La Araucanía</t>
  </si>
  <si>
    <t>Programa Gasto de Funcionamiento Región de Los Lagos</t>
  </si>
  <si>
    <t>Programa Gasto de Funcionamiento Región de Magallanes</t>
  </si>
  <si>
    <t>Programa Gasto de Funcionamiento Región Metropolitana</t>
  </si>
  <si>
    <t>Programa Gastos de Funcionamiento Región de Los Ríos</t>
  </si>
  <si>
    <t>Programa Gastos de Funcionamiento Región de Arica Parinacota</t>
  </si>
  <si>
    <t>24.02.007</t>
  </si>
  <si>
    <t>24.02.914</t>
  </si>
  <si>
    <t>Programa Inversión Regional Región del Libertador General B. O' Higgins</t>
  </si>
  <si>
    <t>Programa Inversión Regional Región de Aysén del G. Carlos Ibañez del Campo</t>
  </si>
  <si>
    <t>24.01.103</t>
  </si>
  <si>
    <t xml:space="preserve">Universidad Adolfo Ibañez - Índice de bienestar </t>
  </si>
  <si>
    <t>Universidad Católica-Centro Latinoamericano</t>
  </si>
  <si>
    <t>24.07.006</t>
  </si>
  <si>
    <t>A Comisión Económica Para América Latina y el Caribe</t>
  </si>
  <si>
    <t>002</t>
  </si>
  <si>
    <t>003</t>
  </si>
  <si>
    <t>24.07.007</t>
  </si>
  <si>
    <t>A Organización de las Naciones Unidas para la Alimentación</t>
  </si>
  <si>
    <t>acumulado a febrero</t>
  </si>
  <si>
    <t xml:space="preserve">acumulado a febrero </t>
  </si>
  <si>
    <t>acumulado febrero</t>
  </si>
  <si>
    <t>001</t>
  </si>
  <si>
    <t>.107</t>
  </si>
  <si>
    <t>.914</t>
  </si>
  <si>
    <t>.916</t>
  </si>
  <si>
    <t>3303010 Programa de Mejoramiento Urbano y Equipamiento Com</t>
  </si>
  <si>
    <t>3303020 Programa de Mejoramiento de Barrios FET-Covid-19</t>
  </si>
  <si>
    <t>Sistema Información Financiera Municipal</t>
  </si>
  <si>
    <t>Unidad de Gobierno Electrónico Local</t>
  </si>
  <si>
    <t>Sistema Información Municipal (SIM )</t>
  </si>
  <si>
    <t>Presupuesto Inicial 2022 M$</t>
  </si>
  <si>
    <t>Presupuesto  Vigente 2022 M$</t>
  </si>
  <si>
    <t>PMU</t>
  </si>
  <si>
    <t>PMB</t>
  </si>
  <si>
    <t xml:space="preserve">Programa Gastos de Funcionamiento Región de Aysén del General Carlos Ibañez del Campo </t>
  </si>
  <si>
    <t>Programa Gastos de Funcionamiento Región del Bio Bio</t>
  </si>
  <si>
    <t>.105</t>
  </si>
  <si>
    <t>Programa Financiamiento Gobiernos Regionales</t>
  </si>
  <si>
    <t>Presupuesto Vigente</t>
  </si>
  <si>
    <t>Ejecución</t>
  </si>
  <si>
    <t>subtítulo</t>
  </si>
  <si>
    <t>acumulado marzo</t>
  </si>
  <si>
    <t xml:space="preserve">06    </t>
  </si>
  <si>
    <t xml:space="preserve">07    </t>
  </si>
  <si>
    <t>24.02.116</t>
  </si>
  <si>
    <t>[ 4 ]</t>
  </si>
  <si>
    <t>[ 5 ]</t>
  </si>
  <si>
    <t>[ 4/2]</t>
  </si>
  <si>
    <t>[ 5/2]</t>
  </si>
  <si>
    <t>Etiquetas de fila</t>
  </si>
  <si>
    <t>Total general</t>
  </si>
  <si>
    <t>D M$</t>
  </si>
  <si>
    <t>R M$</t>
  </si>
  <si>
    <t>Com  M$</t>
  </si>
  <si>
    <t>Saldo M$</t>
  </si>
  <si>
    <t xml:space="preserve"> Prestaciones Sociales del Empleador</t>
  </si>
  <si>
    <t>M$ COM</t>
  </si>
  <si>
    <t>M$ DEV</t>
  </si>
  <si>
    <t>M$ Req</t>
  </si>
  <si>
    <t>acumulado a abril</t>
  </si>
  <si>
    <t>32.04.003</t>
  </si>
  <si>
    <t>Trabajos extraordinarios</t>
  </si>
  <si>
    <t>gg</t>
  </si>
  <si>
    <t>SUBSECRETARIA DE DESARROLLO REGIONAL Y ADMINISTRATIVO</t>
  </si>
  <si>
    <t>Valores</t>
  </si>
  <si>
    <t>Saldo por ejecutar M$</t>
  </si>
  <si>
    <t>[ 5-3]</t>
  </si>
  <si>
    <t>Saldo disponible M$</t>
  </si>
  <si>
    <t xml:space="preserve">% Saldo disponible </t>
  </si>
  <si>
    <t>% Presupuesto comprometido M$</t>
  </si>
  <si>
    <t>Presupuesto comprometido M$</t>
  </si>
  <si>
    <t>MS</t>
  </si>
  <si>
    <t>Compromiso  M$</t>
  </si>
  <si>
    <t>Saldo por Comprometer  M$</t>
  </si>
  <si>
    <t>Devengado  M$</t>
  </si>
  <si>
    <t>22.02.001</t>
  </si>
  <si>
    <t>acumulado mayo</t>
  </si>
  <si>
    <t>M$ Requerimiento</t>
  </si>
  <si>
    <t>M$  Compromiso</t>
  </si>
  <si>
    <t>M$ Devengo</t>
  </si>
  <si>
    <t>M$ Compromiso</t>
  </si>
  <si>
    <t>ProgramaPresupuestario - 05 P05-Transferencias a Gobiernos Regionales</t>
  </si>
  <si>
    <t>UnidadesDemandantes - 00 Institucional</t>
  </si>
  <si>
    <t>Programa Inversión Regional Región I  Tarapacá</t>
  </si>
  <si>
    <t>Programa Inversión Regional Región II  Antofagasta</t>
  </si>
  <si>
    <t>Programa Inversión Regional Región III Atacama</t>
  </si>
  <si>
    <t>Programa Inversión Regional Región IV Coquimbo</t>
  </si>
  <si>
    <t>Programa Inversión Regional Región V Valparaíso</t>
  </si>
  <si>
    <t xml:space="preserve">Programa Inversión Regional Región VI del Libertador </t>
  </si>
  <si>
    <t>Programa Inversión Regional Región VII  Maule</t>
  </si>
  <si>
    <t>Programa Inversión Regional Región VIII  Bío Bío</t>
  </si>
  <si>
    <t>Programa Inversión Regional Región IX La Araucanía</t>
  </si>
  <si>
    <t>Programa Inversión Regional Región X  Los Lagos</t>
  </si>
  <si>
    <t>Programa Inversión Regional Región XI  Aysén</t>
  </si>
  <si>
    <t xml:space="preserve">Programa Inversión Regional Región XII Magallanes </t>
  </si>
  <si>
    <t>Programa Inversión Regional Región XIV Los Ríos</t>
  </si>
  <si>
    <t>Programa Inversión Regional Región XV  Arica y Parinacota</t>
  </si>
  <si>
    <t>Programa Inversión Regional Región XVI  Ñuble</t>
  </si>
  <si>
    <t>Subsecretaría de Desarrollo Regional y Administrativo</t>
  </si>
  <si>
    <t>Saldo disponible M$.</t>
  </si>
  <si>
    <t>M$</t>
  </si>
  <si>
    <t xml:space="preserve"> junio 2022</t>
  </si>
  <si>
    <t>UnidadesDemandantes - 02 DEPTO. DE INVERSIONES REGIONALES</t>
  </si>
  <si>
    <t xml:space="preserve"> JUNIO 2022</t>
  </si>
  <si>
    <t>ACUMULADO A JUNIO 2022</t>
  </si>
  <si>
    <t xml:space="preserve"> acumulado junio 2022</t>
  </si>
  <si>
    <t xml:space="preserve"> PROGRAMAS DE DESARROLLO LOCAL</t>
  </si>
  <si>
    <t>M$ Devengado</t>
  </si>
  <si>
    <t>acumulado a junio 2022</t>
  </si>
  <si>
    <t xml:space="preserve"> Gastos de Representación, Protocolo y Ceremonial</t>
  </si>
  <si>
    <t>32.04.004</t>
  </si>
  <si>
    <t>Subtitulo</t>
  </si>
  <si>
    <t>nombre</t>
  </si>
  <si>
    <t>(Varios elementos)</t>
  </si>
  <si>
    <t>M$ Monto Requerimiento</t>
  </si>
  <si>
    <t>M$  Monto Compromiso</t>
  </si>
  <si>
    <t>M$  Monto Devengo</t>
  </si>
  <si>
    <t>ACUMULADO A JULIO</t>
  </si>
  <si>
    <t>M$ Monto Compromiso</t>
  </si>
  <si>
    <t>M$ Monto Devengo</t>
  </si>
  <si>
    <t>ACUMULADO JULIO</t>
  </si>
  <si>
    <t>acumulacion julio</t>
  </si>
  <si>
    <t>A JULIO 2022</t>
  </si>
  <si>
    <t>M$  Saldo por Comprometer</t>
  </si>
  <si>
    <t>M$  Devengado</t>
  </si>
  <si>
    <t>JULIO 2022 ACUMULADO</t>
  </si>
  <si>
    <t>ACUMULADO AGOSTO</t>
  </si>
  <si>
    <t>ACUMULADO A AGOSTO</t>
  </si>
  <si>
    <t>Amortización de la Deuda Extterna</t>
  </si>
  <si>
    <t>Fortalecimiento y Apoyo Técnico a los Gobiernos Re</t>
  </si>
  <si>
    <t xml:space="preserve">Fortalecimiento de Capacidades de Intervención en </t>
  </si>
  <si>
    <t>Saldo Disponible M$</t>
  </si>
  <si>
    <t>SEPTIEMBRE ACUMULADO</t>
  </si>
  <si>
    <t>SEPTIMEBRE</t>
  </si>
  <si>
    <t>ACUMULADO SEPTIEMBRE</t>
  </si>
  <si>
    <t>22.06.004</t>
  </si>
  <si>
    <t xml:space="preserve">24.03.105 </t>
  </si>
  <si>
    <t>24.03.015</t>
  </si>
  <si>
    <t>2204004 Productos Farmacéuticos</t>
  </si>
  <si>
    <t>22.04.004</t>
  </si>
  <si>
    <t>Productos Farmacéuticos</t>
  </si>
  <si>
    <t>21.03.007</t>
  </si>
  <si>
    <t>Ejecución al   M$</t>
  </si>
  <si>
    <t>Presupuesto  Vigente  M$</t>
  </si>
  <si>
    <t>Ejecución M$</t>
  </si>
  <si>
    <t>Ejecución  M$</t>
  </si>
  <si>
    <t>Presupuesto  Vigente M$</t>
  </si>
  <si>
    <t>%                            Ejecución 2021 M$</t>
  </si>
  <si>
    <t>%                            Ejecución    2021 M$</t>
  </si>
  <si>
    <t>% de Ejecución  2022 M$</t>
  </si>
  <si>
    <t>Ejecución.</t>
  </si>
  <si>
    <t>Saldo por ejecutar.</t>
  </si>
  <si>
    <t>Saldo disponible.</t>
  </si>
  <si>
    <t>Presupuesto Comprometido M$</t>
  </si>
  <si>
    <t>ACUMULADO A OCTUBRE</t>
  </si>
  <si>
    <t>ACUMULADO OCTUBRE</t>
  </si>
  <si>
    <t>Programa Gastos de Funcionamiento Región del Biobío</t>
  </si>
  <si>
    <t>330312000508</t>
  </si>
  <si>
    <t>Emergencia S.P.D.</t>
  </si>
  <si>
    <t>ACUMULADA ASEPTIEMBRE</t>
  </si>
  <si>
    <t>2407008 A Facultad Latinoamericana de Ciencias Sociales</t>
  </si>
  <si>
    <t>A Facultad Latinoamericana de Ciencias Sociales</t>
  </si>
  <si>
    <t xml:space="preserve">24.07.008 </t>
  </si>
  <si>
    <t>24.02.102</t>
  </si>
  <si>
    <t>ACUMULADO A NOVIEMBRE</t>
  </si>
  <si>
    <t>NOVIEMBRE ACUMULADO</t>
  </si>
  <si>
    <t>OCTUBRE ACUMULADO</t>
  </si>
  <si>
    <t>.018</t>
  </si>
  <si>
    <t>33.02.020</t>
  </si>
  <si>
    <t>33.02.018</t>
  </si>
  <si>
    <t>2907002 Sistemas de Información</t>
  </si>
  <si>
    <t xml:space="preserve">NOVIEMBRE </t>
  </si>
  <si>
    <t>DICIEMBRE ACUMULADO</t>
  </si>
  <si>
    <t>ACUMULADO A DICIEMBRE</t>
  </si>
  <si>
    <t>ACUMULADO DICIEMBRE</t>
  </si>
  <si>
    <t>Universidad de Chile - Fortalecimiento Organizacio</t>
  </si>
  <si>
    <t>24.03.410</t>
  </si>
  <si>
    <t>24.01.104</t>
  </si>
  <si>
    <t>24.01.105</t>
  </si>
  <si>
    <t>2101001999 Otras Asignaciones</t>
  </si>
  <si>
    <t>2101003003 Desempeño Individual</t>
  </si>
  <si>
    <t>2102001999 Otras Asignaciones</t>
  </si>
  <si>
    <t>2102003003 Desempeño Individual</t>
  </si>
  <si>
    <t>2303004 Otras Indemnizaciones</t>
  </si>
  <si>
    <t>2403027 Aceleración de Carteras de Planes de Zonas Rezagad</t>
  </si>
  <si>
    <t>2903 Vehículos</t>
  </si>
  <si>
    <t>Otras Asignaciones</t>
  </si>
  <si>
    <t>Desempeño Individual</t>
  </si>
  <si>
    <t>Otras Indemnizaciones</t>
  </si>
  <si>
    <t>Aceleración de Carteras de Planes de Zonas Rezagad</t>
  </si>
  <si>
    <t>23.03.004</t>
  </si>
  <si>
    <t>.410</t>
  </si>
  <si>
    <t>Universidad de Chile - Fortalecimiento Organización</t>
  </si>
  <si>
    <t>Vehículos</t>
  </si>
  <si>
    <t>29.03</t>
  </si>
  <si>
    <t>.027</t>
  </si>
  <si>
    <t>Vehículo</t>
  </si>
  <si>
    <t>GASTO REAL   AÑO 2023</t>
  </si>
  <si>
    <t>MOVIMIENTO AÑO 2023</t>
  </si>
  <si>
    <t>Presupuesto  Vigente 2023 M$</t>
  </si>
  <si>
    <t>Presupuesto Inicial 2023 M$</t>
  </si>
  <si>
    <t>3303005001</t>
  </si>
  <si>
    <t>P.M.U. - Tradicional</t>
  </si>
  <si>
    <t>3303005002</t>
  </si>
  <si>
    <t>P.M.U. - Emergencia</t>
  </si>
  <si>
    <t>3303005005</t>
  </si>
  <si>
    <t>P.M.U. - Cuenca del Carbón</t>
  </si>
  <si>
    <t>3303005008</t>
  </si>
  <si>
    <t>P.M.U. - Emergencia - SPD</t>
  </si>
  <si>
    <t>3303006001</t>
  </si>
  <si>
    <t>P.M.B. - Asistencia Ténica</t>
  </si>
  <si>
    <t>3303006003</t>
  </si>
  <si>
    <t>P.M.B. - Terrenos</t>
  </si>
  <si>
    <t>3303006004</t>
  </si>
  <si>
    <t>P.M.B. - Otras Transferencias</t>
  </si>
  <si>
    <t>3303006005</t>
  </si>
  <si>
    <t>P.M.B. - Estudios y Diseños</t>
  </si>
  <si>
    <t>3303006006</t>
  </si>
  <si>
    <t>P.M.B. - IRAL- Inversión Regional de Asignación Lo</t>
  </si>
  <si>
    <t>3303006007</t>
  </si>
  <si>
    <t>P.M.B. - OBRA</t>
  </si>
  <si>
    <t>3303100</t>
  </si>
  <si>
    <t>Municipalidades (Fondo Recuperación de Ciudades)</t>
  </si>
  <si>
    <t>Mumicipalidades (PMU)</t>
  </si>
  <si>
    <t>Municipaliades (PMB)</t>
  </si>
  <si>
    <t>33.03.005.001</t>
  </si>
  <si>
    <t>33.03.005.002</t>
  </si>
  <si>
    <t>33.03.005.003</t>
  </si>
  <si>
    <t>33.03.005.008</t>
  </si>
  <si>
    <t>33.03.006.001</t>
  </si>
  <si>
    <t>33.03.006.002</t>
  </si>
  <si>
    <t>33.03.006.003</t>
  </si>
  <si>
    <t>33.03.006.004</t>
  </si>
  <si>
    <t>33.03.006.005</t>
  </si>
  <si>
    <t>33.03.006.006</t>
  </si>
  <si>
    <t>33.03.100</t>
  </si>
  <si>
    <t>Programa 03 33-03-005 Decretos</t>
  </si>
  <si>
    <t>Ejecución Linea de Financiamiento</t>
  </si>
  <si>
    <t>Programa 03 33-03-006 Decretos</t>
  </si>
  <si>
    <t>Municipalidades (PMU)</t>
  </si>
  <si>
    <t>Municipalidades (PMB)</t>
  </si>
  <si>
    <t>.100</t>
  </si>
  <si>
    <t>GASTO REAL AÑO 2023</t>
  </si>
  <si>
    <t>2402500</t>
  </si>
  <si>
    <t>Servicio Nacional de Prevención y Respuesta Ante D</t>
  </si>
  <si>
    <t>GASTO AÑO 2023</t>
  </si>
  <si>
    <t>Presupuesto Vigente 2023 M$</t>
  </si>
  <si>
    <t xml:space="preserve">2101001998 Aplicación inciso 5to del Artículo 1 de la Ley N° </t>
  </si>
  <si>
    <t xml:space="preserve">2102001998 Aplicación inciso 5to del Artículo 1 de la Ley N° </t>
  </si>
  <si>
    <t>2102004007 Comisiones de Servicios en el Exterior</t>
  </si>
  <si>
    <t>2208003 Servicios de Mantención de Jardines</t>
  </si>
  <si>
    <t>26 OTROS GASTOS CORRIENTES</t>
  </si>
  <si>
    <t>2602 Compensaciones por Daños a Terceros y/o a la Propi</t>
  </si>
  <si>
    <t>2904 Mobiliario y Otros</t>
  </si>
  <si>
    <t xml:space="preserve">Aplicación inciso 5to del Artículo 1 de la Ley N° </t>
  </si>
  <si>
    <t>Mobiliario y Otros</t>
  </si>
  <si>
    <t>21.01.001.998</t>
  </si>
  <si>
    <t xml:space="preserve">21.02.001.998 </t>
  </si>
  <si>
    <t xml:space="preserve">21.02.004.007 </t>
  </si>
  <si>
    <t xml:space="preserve"> Presupuesto Inicial 2023 M$.</t>
  </si>
  <si>
    <t>% de Ejecución  2023 M$.</t>
  </si>
  <si>
    <t>% Ejecución 2022 M$.</t>
  </si>
  <si>
    <t xml:space="preserve"> % de Ejecución 2023 M$.</t>
  </si>
  <si>
    <t>23.</t>
  </si>
  <si>
    <t>FEBRERO ACUMULADO</t>
  </si>
  <si>
    <t>ACUMULADO FEBRERO</t>
  </si>
  <si>
    <t>24.02.500</t>
  </si>
  <si>
    <t>Febrero acumulado</t>
  </si>
  <si>
    <t>ACUMULADO MARZO</t>
  </si>
  <si>
    <t>MARZO DE 2023</t>
  </si>
  <si>
    <t>ACUMULADO A MARZO</t>
  </si>
  <si>
    <t>Sistemas de Información</t>
  </si>
  <si>
    <t>29.07.002</t>
  </si>
  <si>
    <t>29.04</t>
  </si>
  <si>
    <t>ACUMULADO ABRIL 2023</t>
  </si>
  <si>
    <t>ABRIL ACUMULADO</t>
  </si>
  <si>
    <t>ACUMULADO ABRIL</t>
  </si>
  <si>
    <t>3302025</t>
  </si>
  <si>
    <t>Gobiernos Regionales - Programas de Inversión</t>
  </si>
  <si>
    <t xml:space="preserve">ACUMULADO A ABRIL </t>
  </si>
  <si>
    <t>2401010 Fundación para la Promoción y Desarrollo de la Muj</t>
  </si>
  <si>
    <t xml:space="preserve">2407003 A Banco Interamericano de Desarrollo (BID) </t>
  </si>
  <si>
    <t>ACUMULADO A MAYO</t>
  </si>
  <si>
    <t>Fundación para la Promoción y Desarrollo de la Muj</t>
  </si>
  <si>
    <t>24.01.010</t>
  </si>
  <si>
    <t>Devengo M$</t>
  </si>
  <si>
    <t>Compromiso M$</t>
  </si>
  <si>
    <t xml:space="preserve">33  </t>
  </si>
  <si>
    <t>3303112</t>
  </si>
  <si>
    <t>Municipalidades (Programa Recuperación Espacios de</t>
  </si>
  <si>
    <t>Req M$</t>
  </si>
  <si>
    <t>Com M$</t>
  </si>
  <si>
    <t>Dev M$</t>
  </si>
  <si>
    <t>33.03.112</t>
  </si>
  <si>
    <t>.112</t>
  </si>
  <si>
    <t>Prestaciones Sociales del Empleador</t>
  </si>
  <si>
    <t>2599001 Integros por Recuperación de Licencias Médicas</t>
  </si>
  <si>
    <t>ACUMULADO A JUNIO</t>
  </si>
  <si>
    <t>Integros por Recuperación de Licencias Médicas</t>
  </si>
  <si>
    <t xml:space="preserve">25.99.001 </t>
  </si>
  <si>
    <t>25.99.001</t>
  </si>
  <si>
    <t>JUNIO DE 2023</t>
  </si>
  <si>
    <t>Decreto 790 Reg. 0867EE</t>
  </si>
  <si>
    <t>2599201 Integros por Cobro de Pagos en Exceso</t>
  </si>
  <si>
    <t>2599202 Integros por Cobro de Pagos Duplicados</t>
  </si>
  <si>
    <t>2599999 Otros</t>
  </si>
  <si>
    <t>2599999</t>
  </si>
  <si>
    <t>JULIO.2023</t>
  </si>
  <si>
    <t>Programa de Tenencia Responsable de Animales de Co</t>
  </si>
  <si>
    <t>25.99.999</t>
  </si>
  <si>
    <t>025</t>
  </si>
  <si>
    <t>Integros por Cobro de Pagos en Exceso</t>
  </si>
  <si>
    <t>Integros por Cobro de Pagos Duplicados</t>
  </si>
  <si>
    <t>Descripción Unidad Ejecutora</t>
  </si>
  <si>
    <t>Subsecretaria de Desarrollo Regional y Administrat</t>
  </si>
  <si>
    <t>Ejecución al 30/09/2023 M$</t>
  </si>
  <si>
    <t>% de Ejecución 30/09/2023 M$</t>
  </si>
  <si>
    <t>Presupuesto  Vigente al 30/09/2022 M$</t>
  </si>
  <si>
    <t>Ejecución al 30/09/2022  M$</t>
  </si>
  <si>
    <t>%                            Ejecución al 30/09/2022  M$</t>
  </si>
  <si>
    <t>Presupuesto Vigente al 30/09/2022 M$</t>
  </si>
  <si>
    <t>Ejecución al 30/09/2022 M$</t>
  </si>
  <si>
    <t>Presupuesto  Vigente al 30/09/2022  M$</t>
  </si>
  <si>
    <t xml:space="preserve">                        Ejecución al 30/09/2022  %</t>
  </si>
  <si>
    <t>% de Ejecución 30/09/2023  M$</t>
  </si>
  <si>
    <t>MODIFICACIONES RELEVANTES MUNICIPALIDADES AL 30 DE SEPTIEMBRE</t>
  </si>
  <si>
    <t>acumulado a septiembre</t>
  </si>
  <si>
    <t>ACUMULADO A SEPTIEMBRE</t>
  </si>
  <si>
    <t>ACUMULADO A SEPRIEMBRE</t>
  </si>
  <si>
    <t>SITUACIÓN PRESUPUESTARIA AÑO 2023 AL 30/09/2023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</si>
</sst>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 #,##0_ ;_ * \-#,##0_ ;_ * &quot;-&quot;_ ;_ @_ "/>
    <numFmt numFmtId="164" formatCode="_-&quot;$&quot;\ * #,##0.00_-;\-&quot;$&quot;\ * #,##0.00_-;_-&quot;$&quot;\ * &quot;-&quot;??_-;_-@_-"/>
    <numFmt numFmtId="165" formatCode="_-* #,##0.00_-;\-* #,##0.00_-;_-* &quot;-&quot;??_-;_-@_-"/>
    <numFmt numFmtId="166" formatCode="_-* #,##0.00\ _€_-;\-* #,##0.00\ _€_-;_-* &quot;-&quot;??\ _€_-;_-@_-"/>
    <numFmt numFmtId="167" formatCode="00"/>
    <numFmt numFmtId="168" formatCode="000"/>
    <numFmt numFmtId="169" formatCode="#,##0_ ;[Red]\-#,##0\ "/>
    <numFmt numFmtId="170" formatCode="#,##0.000"/>
    <numFmt numFmtId="171" formatCode="_-* #,##0_-;\-* #,##0_-;_-* &quot;-&quot;??_-;_-@_-"/>
    <numFmt numFmtId="172" formatCode="0.0%"/>
    <numFmt numFmtId="173" formatCode="#,##0;\(#,##0\)"/>
    <numFmt numFmtId="174" formatCode="_(&quot;$&quot;* #,##0_);_(&quot;$&quot;* \(#,##0\);_(&quot;$&quot;* &quot;-&quot;_);_(@_)"/>
    <numFmt numFmtId="175" formatCode="0.0"/>
  </numFmts>
  <fonts count="64" x14ac:knownFonts="1">
    <font>
      <sz val="11"/>
      <color theme="1"/>
      <name val="Calibri"/>
      <family val="2"/>
      <scheme val="minor"/>
    </font>
    <font>
      <sz val="10"/>
      <color indexed="8"/>
      <name val="Arial"/>
      <family val="2"/>
    </font>
    <font>
      <b/>
      <sz val="10"/>
      <color indexed="8"/>
      <name val="Arial"/>
      <family val="2"/>
    </font>
    <font>
      <sz val="10"/>
      <name val="Arial"/>
      <family val="2"/>
    </font>
    <font>
      <b/>
      <sz val="12"/>
      <color indexed="8"/>
      <name val="Arial"/>
      <family val="2"/>
    </font>
    <font>
      <b/>
      <sz val="14"/>
      <color indexed="8"/>
      <name val="Arial"/>
      <family val="2"/>
    </font>
    <font>
      <sz val="10"/>
      <name val="Arial"/>
      <family val="2"/>
    </font>
    <font>
      <b/>
      <sz val="12"/>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0"/>
      <color theme="1"/>
      <name val="Arial"/>
      <family val="2"/>
    </font>
    <font>
      <b/>
      <sz val="10"/>
      <color theme="1"/>
      <name val="Arial"/>
      <family val="2"/>
    </font>
    <font>
      <sz val="10"/>
      <color theme="1"/>
      <name val="Calibri"/>
      <family val="2"/>
      <scheme val="minor"/>
    </font>
    <font>
      <sz val="11"/>
      <color indexed="8"/>
      <name val="Arial"/>
      <family val="2"/>
    </font>
    <font>
      <b/>
      <sz val="16"/>
      <color theme="0"/>
      <name val="Arial"/>
      <family val="2"/>
    </font>
    <font>
      <b/>
      <sz val="12"/>
      <color theme="0"/>
      <name val="Arial"/>
      <family val="2"/>
    </font>
    <font>
      <sz val="10"/>
      <color rgb="FFFF0000"/>
      <name val="Arial"/>
      <family val="2"/>
    </font>
    <font>
      <sz val="7"/>
      <name val="Trebuchet MS"/>
      <family val="2"/>
    </font>
    <font>
      <sz val="8"/>
      <name val="Trebuchet MS"/>
      <family val="2"/>
    </font>
    <font>
      <sz val="10"/>
      <name val="Trebuchet MS"/>
      <family val="2"/>
    </font>
    <font>
      <sz val="11"/>
      <name val="Calibri"/>
      <family val="2"/>
      <scheme val="minor"/>
    </font>
    <font>
      <sz val="9"/>
      <color rgb="FF333333"/>
      <name val="Arial"/>
      <family val="2"/>
    </font>
    <font>
      <b/>
      <sz val="10"/>
      <name val="Arial"/>
      <family val="2"/>
    </font>
    <font>
      <sz val="9"/>
      <name val="Trebuchet MS"/>
      <family val="2"/>
    </font>
    <font>
      <sz val="10"/>
      <color theme="1"/>
      <name val="Trebuchet MS"/>
      <family val="2"/>
    </font>
    <font>
      <sz val="8"/>
      <color theme="1"/>
      <name val="Calibri"/>
      <family val="2"/>
      <scheme val="minor"/>
    </font>
    <font>
      <b/>
      <sz val="9"/>
      <color indexed="81"/>
      <name val="Tahoma"/>
      <family val="2"/>
    </font>
    <font>
      <sz val="8"/>
      <name val="Calibri"/>
      <family val="2"/>
      <scheme val="minor"/>
    </font>
    <font>
      <b/>
      <sz val="10"/>
      <color rgb="FFFF0000"/>
      <name val="Arial"/>
      <family val="2"/>
    </font>
    <font>
      <sz val="10"/>
      <color theme="0"/>
      <name val="Arial"/>
      <family val="2"/>
    </font>
    <font>
      <b/>
      <sz val="10"/>
      <color theme="0"/>
      <name val="Arial"/>
      <family val="2"/>
    </font>
    <font>
      <b/>
      <sz val="11"/>
      <color theme="0"/>
      <name val="Arial"/>
      <family val="2"/>
    </font>
    <font>
      <sz val="16"/>
      <color indexed="8"/>
      <name val="Arial"/>
      <family val="2"/>
    </font>
    <font>
      <b/>
      <sz val="14"/>
      <name val="Arial"/>
      <family val="2"/>
    </font>
    <font>
      <sz val="7"/>
      <color indexed="13"/>
      <name val="Trebuchet MS"/>
      <family val="2"/>
    </font>
    <font>
      <b/>
      <sz val="11"/>
      <color indexed="8"/>
      <name val="Arial"/>
      <family val="2"/>
    </font>
    <font>
      <sz val="11"/>
      <color rgb="FF006100"/>
      <name val="Calibri"/>
      <family val="2"/>
      <scheme val="minor"/>
    </font>
    <font>
      <sz val="11"/>
      <color rgb="FF9C0006"/>
      <name val="Calibri"/>
      <family val="2"/>
      <scheme val="minor"/>
    </font>
    <font>
      <sz val="9"/>
      <color theme="1"/>
      <name val="Calibri"/>
      <family val="2"/>
      <scheme val="minor"/>
    </font>
    <font>
      <sz val="10"/>
      <color theme="5" tint="0.79998168889431442"/>
      <name val="Arial"/>
      <family val="2"/>
    </font>
    <font>
      <sz val="9"/>
      <color indexed="9"/>
      <name val="Trebuchet MS"/>
      <family val="2"/>
    </font>
    <font>
      <sz val="11"/>
      <name val="Trebuchet MS"/>
      <family val="2"/>
    </font>
    <font>
      <sz val="7"/>
      <color theme="1"/>
      <name val="Calibri"/>
      <family val="2"/>
      <scheme val="minor"/>
    </font>
    <font>
      <sz val="7"/>
      <color rgb="FF666666"/>
      <name val="Trebuchet MS"/>
      <family val="2"/>
    </font>
    <font>
      <sz val="10"/>
      <color rgb="FF666666"/>
      <name val="Trebuchet MS"/>
      <family val="2"/>
    </font>
    <font>
      <sz val="7"/>
      <name val="Trebuchet MS"/>
      <family val="2"/>
    </font>
    <font>
      <sz val="11"/>
      <color theme="1"/>
      <name val="Trebuchet MS"/>
      <family val="2"/>
    </font>
    <font>
      <b/>
      <sz val="11"/>
      <color theme="1"/>
      <name val="Trebuchet MS"/>
      <family val="2"/>
    </font>
    <font>
      <sz val="9"/>
      <color theme="1"/>
      <name val="Trebuchet MS"/>
      <family val="2"/>
    </font>
    <font>
      <sz val="8"/>
      <color indexed="8"/>
      <name val="Arial"/>
      <family val="2"/>
    </font>
    <font>
      <sz val="7"/>
      <color theme="1"/>
      <name val="Trebuchet MS"/>
      <family val="2"/>
    </font>
    <font>
      <sz val="9"/>
      <color rgb="FF666666"/>
      <name val="Trebuchet MS"/>
      <family val="2"/>
    </font>
    <font>
      <b/>
      <sz val="9"/>
      <color theme="1"/>
      <name val="Trebuchet MS"/>
      <family val="2"/>
    </font>
    <font>
      <b/>
      <sz val="10"/>
      <color rgb="FFEB3C46"/>
      <name val="Arial"/>
      <family val="2"/>
    </font>
    <font>
      <sz val="10"/>
      <color rgb="FFEB3C46"/>
      <name val="Arial"/>
      <family val="2"/>
    </font>
    <font>
      <b/>
      <sz val="8"/>
      <color indexed="8"/>
      <name val="Arial"/>
      <family val="2"/>
    </font>
    <font>
      <b/>
      <sz val="11"/>
      <name val="Calibri"/>
      <family val="2"/>
      <scheme val="minor"/>
    </font>
    <font>
      <b/>
      <sz val="11"/>
      <name val="Trebuchet MS"/>
      <family val="2"/>
    </font>
    <font>
      <sz val="9"/>
      <color indexed="81"/>
      <name val="Tahoma"/>
      <family val="2"/>
    </font>
    <font>
      <b/>
      <sz val="10"/>
      <color theme="1"/>
      <name val="Trebuchet MS"/>
      <family val="2"/>
    </font>
    <font>
      <b/>
      <sz val="9"/>
      <name val="Trebuchet MS"/>
      <family val="2"/>
    </font>
    <font>
      <sz val="12"/>
      <color rgb="FF222222"/>
      <name val="Arial"/>
      <family val="2"/>
    </font>
  </fonts>
  <fills count="27">
    <fill>
      <patternFill patternType="none"/>
    </fill>
    <fill>
      <patternFill patternType="gray125"/>
    </fill>
    <fill>
      <patternFill patternType="solid">
        <fgColor indexed="47"/>
        <bgColor indexed="64"/>
      </patternFill>
    </fill>
    <fill>
      <patternFill patternType="solid">
        <fgColor theme="4"/>
      </patternFill>
    </fill>
    <fill>
      <patternFill patternType="solid">
        <fgColor theme="5"/>
      </patternFill>
    </fill>
    <fill>
      <patternFill patternType="solid">
        <fgColor theme="0" tint="-0.149998474074526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C99"/>
        <bgColor indexed="64"/>
      </patternFill>
    </fill>
    <fill>
      <patternFill patternType="solid">
        <fgColor indexed="65"/>
        <bgColor indexed="64"/>
      </patternFill>
    </fill>
    <fill>
      <patternFill patternType="solid">
        <fgColor theme="0"/>
        <bgColor indexed="64"/>
      </patternFill>
    </fill>
    <fill>
      <patternFill patternType="solid">
        <fgColor rgb="FF0F69B4"/>
        <bgColor indexed="64"/>
      </patternFill>
    </fill>
    <fill>
      <patternFill patternType="solid">
        <fgColor rgb="FFEB3C46"/>
        <bgColor indexed="64"/>
      </patternFill>
    </fill>
    <fill>
      <patternFill patternType="solid">
        <fgColor theme="9" tint="0.39997558519241921"/>
        <bgColor indexed="64"/>
      </patternFill>
    </fill>
    <fill>
      <patternFill patternType="solid">
        <fgColor theme="5"/>
        <bgColor indexed="64"/>
      </patternFill>
    </fill>
    <fill>
      <patternFill patternType="solid">
        <fgColor theme="4"/>
        <bgColor indexed="64"/>
      </patternFill>
    </fill>
    <fill>
      <patternFill patternType="solid">
        <fgColor indexed="9"/>
        <bgColor indexed="64"/>
      </patternFill>
    </fill>
    <fill>
      <patternFill patternType="solid">
        <fgColor rgb="FFE1C1D6"/>
        <bgColor indexed="64"/>
      </patternFill>
    </fill>
    <fill>
      <patternFill patternType="solid">
        <fgColor indexed="11"/>
        <bgColor indexed="64"/>
      </patternFill>
    </fill>
    <fill>
      <patternFill patternType="solid">
        <fgColor theme="6"/>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FFFF"/>
      </patternFill>
    </fill>
    <fill>
      <patternFill patternType="solid">
        <fgColor theme="3" tint="0.79998168889431442"/>
        <bgColor indexed="64"/>
      </patternFill>
    </fill>
    <fill>
      <patternFill patternType="solid">
        <fgColor rgb="FFFCE01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rgb="FFCCCCCC"/>
      </left>
      <right style="thin">
        <color rgb="FFCCCCCC"/>
      </right>
      <top/>
      <bottom/>
      <diagonal/>
    </border>
    <border>
      <left/>
      <right/>
      <top/>
      <bottom style="thin">
        <color rgb="FFCCCCCC"/>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rgb="FFFFFFFF"/>
      </left>
      <right style="thin">
        <color rgb="FFCCCCCC"/>
      </right>
      <top style="thin">
        <color rgb="FFCCCCCC"/>
      </top>
      <bottom style="thin">
        <color rgb="FFFFFFFF"/>
      </bottom>
      <diagonal/>
    </border>
  </borders>
  <cellStyleXfs count="17">
    <xf numFmtId="0" fontId="0" fillId="0" borderId="0"/>
    <xf numFmtId="0" fontId="9" fillId="3" borderId="0" applyNumberFormat="0" applyBorder="0" applyAlignment="0" applyProtection="0"/>
    <xf numFmtId="0" fontId="9" fillId="4" borderId="0" applyNumberFormat="0" applyBorder="0" applyAlignment="0" applyProtection="0"/>
    <xf numFmtId="165" fontId="8" fillId="0" borderId="0" applyFont="0" applyFill="0" applyBorder="0" applyAlignment="0" applyProtection="0"/>
    <xf numFmtId="166" fontId="6" fillId="0" borderId="0" applyFont="0" applyFill="0" applyBorder="0" applyAlignment="0" applyProtection="0"/>
    <xf numFmtId="0" fontId="6" fillId="0" borderId="0"/>
    <xf numFmtId="0" fontId="3" fillId="0" borderId="0"/>
    <xf numFmtId="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3" fillId="0" borderId="0" applyFont="0" applyFill="0" applyBorder="0" applyAlignment="0" applyProtection="0"/>
    <xf numFmtId="164" fontId="8" fillId="0" borderId="0" applyFont="0" applyFill="0" applyBorder="0" applyAlignment="0" applyProtection="0"/>
    <xf numFmtId="0" fontId="3" fillId="0" borderId="0"/>
    <xf numFmtId="165" fontId="8" fillId="0" borderId="0" applyFont="0" applyFill="0" applyBorder="0" applyAlignment="0" applyProtection="0"/>
    <xf numFmtId="41" fontId="8" fillId="0" borderId="0" applyFont="0" applyFill="0" applyBorder="0" applyAlignment="0" applyProtection="0"/>
    <xf numFmtId="0" fontId="38" fillId="22" borderId="0" applyNumberFormat="0" applyBorder="0" applyAlignment="0" applyProtection="0"/>
    <xf numFmtId="0" fontId="39" fillId="23" borderId="0" applyNumberFormat="0" applyBorder="0" applyAlignment="0" applyProtection="0"/>
  </cellStyleXfs>
  <cellXfs count="1974">
    <xf numFmtId="0" fontId="0" fillId="0" borderId="0" xfId="0"/>
    <xf numFmtId="0" fontId="1" fillId="0" borderId="0" xfId="0" applyFont="1"/>
    <xf numFmtId="0" fontId="1" fillId="0" borderId="0" xfId="0" applyFont="1" applyBorder="1"/>
    <xf numFmtId="3" fontId="2" fillId="5" borderId="1" xfId="0" applyNumberFormat="1" applyFont="1" applyFill="1" applyBorder="1" applyAlignment="1">
      <alignment horizontal="right" vertical="top" wrapText="1"/>
    </xf>
    <xf numFmtId="3" fontId="1" fillId="0" borderId="1" xfId="0" applyNumberFormat="1" applyFont="1" applyFill="1" applyBorder="1" applyAlignment="1">
      <alignment horizontal="right" vertical="top" wrapText="1"/>
    </xf>
    <xf numFmtId="0" fontId="1" fillId="0" borderId="0" xfId="0" applyFont="1" applyFill="1"/>
    <xf numFmtId="3" fontId="1" fillId="0" borderId="0" xfId="0" applyNumberFormat="1" applyFont="1"/>
    <xf numFmtId="3" fontId="1" fillId="0" borderId="0" xfId="0" applyNumberFormat="1" applyFont="1" applyBorder="1"/>
    <xf numFmtId="0" fontId="1" fillId="0" borderId="0" xfId="0" applyFont="1" applyAlignment="1">
      <alignment horizontal="left"/>
    </xf>
    <xf numFmtId="0" fontId="1" fillId="0" borderId="0" xfId="0" applyFont="1" applyBorder="1" applyAlignment="1">
      <alignment horizontal="left"/>
    </xf>
    <xf numFmtId="167" fontId="1" fillId="0" borderId="0" xfId="0" applyNumberFormat="1" applyFont="1" applyAlignment="1">
      <alignment horizontal="left" vertical="center"/>
    </xf>
    <xf numFmtId="167" fontId="1" fillId="0" borderId="0" xfId="0" applyNumberFormat="1" applyFont="1" applyBorder="1" applyAlignment="1">
      <alignment horizontal="left" vertical="center"/>
    </xf>
    <xf numFmtId="168" fontId="1" fillId="0" borderId="0" xfId="0" applyNumberFormat="1" applyFont="1" applyAlignment="1">
      <alignment horizontal="left" vertical="center"/>
    </xf>
    <xf numFmtId="168" fontId="1" fillId="0" borderId="0" xfId="0" applyNumberFormat="1" applyFont="1" applyBorder="1" applyAlignment="1">
      <alignment horizontal="left" vertical="center"/>
    </xf>
    <xf numFmtId="168" fontId="1" fillId="0" borderId="0" xfId="0" applyNumberFormat="1" applyFont="1"/>
    <xf numFmtId="168" fontId="1" fillId="0" borderId="0" xfId="0" applyNumberFormat="1" applyFont="1" applyBorder="1"/>
    <xf numFmtId="3" fontId="2" fillId="5" borderId="1" xfId="0" applyNumberFormat="1" applyFont="1" applyFill="1" applyBorder="1" applyAlignment="1" applyProtection="1">
      <alignment horizontal="right" vertical="top" wrapText="1"/>
    </xf>
    <xf numFmtId="168" fontId="12" fillId="0" borderId="1" xfId="0" applyNumberFormat="1" applyFont="1" applyFill="1" applyBorder="1" applyAlignment="1" applyProtection="1">
      <alignment vertical="top" wrapText="1"/>
    </xf>
    <xf numFmtId="3" fontId="1" fillId="0" borderId="1" xfId="0" applyNumberFormat="1" applyFont="1" applyFill="1" applyBorder="1" applyAlignment="1" applyProtection="1">
      <alignment horizontal="right" vertical="top" wrapText="1"/>
    </xf>
    <xf numFmtId="3" fontId="2" fillId="5" borderId="1" xfId="0" applyNumberFormat="1" applyFont="1" applyFill="1" applyBorder="1" applyProtection="1"/>
    <xf numFmtId="0" fontId="2" fillId="5" borderId="16" xfId="0" applyFont="1" applyFill="1" applyBorder="1" applyAlignment="1" applyProtection="1">
      <alignment horizontal="left" vertical="top" wrapText="1"/>
    </xf>
    <xf numFmtId="167" fontId="2" fillId="5" borderId="1" xfId="0" applyNumberFormat="1" applyFont="1" applyFill="1" applyBorder="1" applyAlignment="1" applyProtection="1">
      <alignment horizontal="left" vertical="center" wrapText="1"/>
    </xf>
    <xf numFmtId="168" fontId="2" fillId="5" borderId="1" xfId="0" applyNumberFormat="1" applyFont="1" applyFill="1" applyBorder="1" applyAlignment="1" applyProtection="1">
      <alignment horizontal="left" vertical="center" wrapText="1"/>
    </xf>
    <xf numFmtId="168" fontId="2" fillId="5" borderId="1" xfId="0" applyNumberFormat="1" applyFont="1" applyFill="1" applyBorder="1" applyAlignment="1" applyProtection="1">
      <alignment vertical="top" wrapText="1"/>
    </xf>
    <xf numFmtId="0" fontId="2" fillId="0" borderId="16" xfId="0" applyFont="1" applyFill="1" applyBorder="1" applyAlignment="1" applyProtection="1">
      <alignment horizontal="left" vertical="top" wrapText="1"/>
    </xf>
    <xf numFmtId="168" fontId="2" fillId="0" borderId="1" xfId="0" applyNumberFormat="1" applyFont="1" applyFill="1" applyBorder="1" applyAlignment="1" applyProtection="1">
      <alignment vertical="top" wrapText="1"/>
    </xf>
    <xf numFmtId="167" fontId="1" fillId="5" borderId="1" xfId="0" applyNumberFormat="1" applyFont="1" applyFill="1" applyBorder="1" applyAlignment="1" applyProtection="1">
      <alignment horizontal="left" vertical="center" wrapText="1"/>
    </xf>
    <xf numFmtId="168" fontId="1" fillId="5" borderId="1" xfId="0" applyNumberFormat="1" applyFont="1" applyFill="1" applyBorder="1" applyAlignment="1" applyProtection="1">
      <alignment horizontal="left" vertical="center" wrapText="1"/>
    </xf>
    <xf numFmtId="167" fontId="2" fillId="0" borderId="1" xfId="0" applyNumberFormat="1" applyFont="1" applyFill="1" applyBorder="1" applyAlignment="1" applyProtection="1">
      <alignment horizontal="left" vertical="center" wrapText="1"/>
    </xf>
    <xf numFmtId="168" fontId="1" fillId="0" borderId="1" xfId="0" applyNumberFormat="1" applyFont="1" applyFill="1" applyBorder="1" applyProtection="1"/>
    <xf numFmtId="0" fontId="2" fillId="5" borderId="17" xfId="0" applyFont="1" applyFill="1" applyBorder="1" applyAlignment="1" applyProtection="1">
      <alignment horizontal="left" vertical="top" wrapText="1"/>
    </xf>
    <xf numFmtId="167" fontId="2" fillId="5" borderId="3" xfId="0" applyNumberFormat="1" applyFont="1" applyFill="1" applyBorder="1" applyAlignment="1" applyProtection="1">
      <alignment horizontal="left" vertical="center" wrapText="1"/>
    </xf>
    <xf numFmtId="168" fontId="2" fillId="5" borderId="3" xfId="0" applyNumberFormat="1" applyFont="1" applyFill="1" applyBorder="1" applyAlignment="1" applyProtection="1">
      <alignment horizontal="left" vertical="center" wrapText="1"/>
    </xf>
    <xf numFmtId="168" fontId="2" fillId="5" borderId="3" xfId="0" applyNumberFormat="1" applyFont="1" applyFill="1" applyBorder="1" applyAlignment="1" applyProtection="1">
      <alignment vertical="top" wrapText="1"/>
    </xf>
    <xf numFmtId="3" fontId="2" fillId="5" borderId="3" xfId="0" applyNumberFormat="1" applyFont="1" applyFill="1" applyBorder="1" applyAlignment="1" applyProtection="1">
      <alignment horizontal="right" vertical="top" wrapText="1"/>
    </xf>
    <xf numFmtId="3" fontId="1" fillId="0" borderId="0" xfId="0" applyNumberFormat="1" applyFont="1" applyProtection="1">
      <protection locked="0"/>
    </xf>
    <xf numFmtId="0" fontId="1" fillId="0" borderId="0" xfId="0" applyFont="1" applyFill="1" applyProtection="1">
      <protection locked="0"/>
    </xf>
    <xf numFmtId="0" fontId="1" fillId="0" borderId="0" xfId="0" applyFont="1" applyAlignment="1" applyProtection="1">
      <protection locked="0"/>
    </xf>
    <xf numFmtId="0" fontId="1" fillId="0" borderId="0" xfId="0" applyFont="1" applyBorder="1" applyAlignment="1" applyProtection="1">
      <alignment horizontal="left"/>
      <protection locked="0"/>
    </xf>
    <xf numFmtId="167" fontId="1" fillId="0" borderId="0" xfId="0" applyNumberFormat="1" applyFont="1" applyBorder="1" applyAlignment="1" applyProtection="1">
      <alignment horizontal="left" vertical="center"/>
      <protection locked="0"/>
    </xf>
    <xf numFmtId="168" fontId="1" fillId="0" borderId="0" xfId="0" applyNumberFormat="1" applyFont="1" applyBorder="1" applyAlignment="1" applyProtection="1">
      <alignment horizontal="left" vertical="center"/>
      <protection locked="0"/>
    </xf>
    <xf numFmtId="168" fontId="1" fillId="0" borderId="0" xfId="0" applyNumberFormat="1" applyFont="1" applyBorder="1" applyProtection="1">
      <protection locked="0"/>
    </xf>
    <xf numFmtId="3" fontId="1" fillId="0" borderId="0" xfId="0" applyNumberFormat="1" applyFont="1" applyBorder="1" applyProtection="1">
      <protection locked="0"/>
    </xf>
    <xf numFmtId="0" fontId="1" fillId="0" borderId="0" xfId="0" applyFont="1" applyAlignment="1" applyProtection="1">
      <alignment horizontal="left"/>
      <protection locked="0"/>
    </xf>
    <xf numFmtId="167" fontId="1" fillId="0" borderId="0" xfId="0" applyNumberFormat="1" applyFont="1" applyAlignment="1" applyProtection="1">
      <alignment horizontal="left" vertical="center"/>
      <protection locked="0"/>
    </xf>
    <xf numFmtId="168" fontId="1" fillId="0" borderId="0" xfId="0" applyNumberFormat="1" applyFont="1" applyAlignment="1" applyProtection="1">
      <alignment horizontal="left" vertical="center"/>
      <protection locked="0"/>
    </xf>
    <xf numFmtId="168" fontId="1" fillId="0" borderId="0" xfId="0" applyNumberFormat="1" applyFont="1" applyProtection="1">
      <protection locked="0"/>
    </xf>
    <xf numFmtId="0" fontId="1" fillId="0" borderId="0" xfId="0" applyFont="1" applyProtection="1">
      <protection locked="0"/>
    </xf>
    <xf numFmtId="3" fontId="0" fillId="0" borderId="0" xfId="0" applyNumberFormat="1"/>
    <xf numFmtId="168" fontId="1" fillId="0" borderId="1" xfId="0" applyNumberFormat="1" applyFont="1" applyFill="1" applyBorder="1" applyAlignment="1" applyProtection="1">
      <alignment horizontal="right" vertical="top" wrapText="1"/>
    </xf>
    <xf numFmtId="0" fontId="4" fillId="8" borderId="9" xfId="0" applyFont="1" applyFill="1" applyBorder="1" applyAlignment="1" applyProtection="1">
      <alignment horizontal="center"/>
    </xf>
    <xf numFmtId="0" fontId="4" fillId="8" borderId="10" xfId="0" applyFont="1" applyFill="1" applyBorder="1" applyAlignment="1" applyProtection="1">
      <alignment horizontal="center"/>
    </xf>
    <xf numFmtId="0" fontId="4" fillId="7" borderId="9" xfId="0" applyFont="1" applyFill="1" applyBorder="1" applyAlignment="1" applyProtection="1">
      <alignment horizontal="center"/>
    </xf>
    <xf numFmtId="0" fontId="1" fillId="0" borderId="0" xfId="0" applyFont="1" applyFill="1" applyAlignment="1">
      <alignment horizontal="center" vertical="center"/>
    </xf>
    <xf numFmtId="0" fontId="1" fillId="0" borderId="0" xfId="0" applyFont="1" applyFill="1" applyAlignment="1" applyProtection="1">
      <alignment horizontal="center" vertical="center"/>
      <protection locked="0"/>
    </xf>
    <xf numFmtId="3" fontId="1" fillId="0" borderId="0" xfId="0" applyNumberFormat="1" applyFont="1" applyFill="1" applyProtection="1">
      <protection locked="0"/>
    </xf>
    <xf numFmtId="0" fontId="1" fillId="10" borderId="0" xfId="0" applyFont="1" applyFill="1"/>
    <xf numFmtId="3" fontId="1" fillId="10" borderId="0" xfId="0" applyNumberFormat="1" applyFont="1" applyFill="1" applyBorder="1"/>
    <xf numFmtId="167" fontId="1" fillId="10" borderId="0" xfId="0" applyNumberFormat="1" applyFont="1" applyFill="1" applyBorder="1" applyAlignment="1">
      <alignment horizontal="left" vertical="center"/>
    </xf>
    <xf numFmtId="168" fontId="1" fillId="10" borderId="0" xfId="0" applyNumberFormat="1" applyFont="1" applyFill="1" applyBorder="1" applyAlignment="1">
      <alignment horizontal="left" vertical="center"/>
    </xf>
    <xf numFmtId="168" fontId="1" fillId="10" borderId="0" xfId="0" applyNumberFormat="1" applyFont="1" applyFill="1" applyBorder="1"/>
    <xf numFmtId="0" fontId="1" fillId="10" borderId="0" xfId="0" applyFont="1" applyFill="1" applyBorder="1"/>
    <xf numFmtId="0" fontId="1" fillId="10" borderId="0" xfId="0" applyFont="1" applyFill="1" applyBorder="1" applyAlignment="1">
      <alignment horizontal="left"/>
    </xf>
    <xf numFmtId="0" fontId="4" fillId="8" borderId="12" xfId="0" applyNumberFormat="1" applyFont="1" applyFill="1" applyBorder="1" applyAlignment="1" applyProtection="1">
      <alignment horizontal="center"/>
    </xf>
    <xf numFmtId="3" fontId="2" fillId="5" borderId="17" xfId="0" applyNumberFormat="1" applyFont="1" applyFill="1" applyBorder="1" applyAlignment="1" applyProtection="1">
      <alignment horizontal="right" vertical="top" wrapText="1"/>
    </xf>
    <xf numFmtId="3" fontId="1" fillId="0" borderId="0" xfId="0" applyNumberFormat="1" applyFont="1" applyAlignment="1" applyProtection="1">
      <alignment horizontal="right"/>
      <protection locked="0"/>
    </xf>
    <xf numFmtId="3" fontId="1" fillId="0" borderId="0" xfId="0" applyNumberFormat="1" applyFont="1" applyBorder="1" applyAlignment="1" applyProtection="1">
      <alignment horizontal="right"/>
      <protection locked="0"/>
    </xf>
    <xf numFmtId="3" fontId="1" fillId="0" borderId="0" xfId="0" applyNumberFormat="1" applyFont="1" applyFill="1" applyBorder="1" applyProtection="1">
      <protection locked="0"/>
    </xf>
    <xf numFmtId="0" fontId="4" fillId="7" borderId="40" xfId="0" applyFont="1" applyFill="1" applyBorder="1" applyAlignment="1" applyProtection="1">
      <alignment horizontal="center"/>
    </xf>
    <xf numFmtId="0" fontId="0" fillId="0" borderId="0" xfId="0" applyAlignment="1">
      <alignment horizontal="left"/>
    </xf>
    <xf numFmtId="0" fontId="0" fillId="0" borderId="0" xfId="0" applyFill="1"/>
    <xf numFmtId="0" fontId="1" fillId="0" borderId="0" xfId="0" applyFont="1" applyFill="1" applyBorder="1" applyProtection="1">
      <protection locked="0"/>
    </xf>
    <xf numFmtId="170" fontId="1" fillId="0" borderId="0" xfId="0" applyNumberFormat="1" applyFont="1" applyBorder="1" applyProtection="1">
      <protection locked="0"/>
    </xf>
    <xf numFmtId="0" fontId="11" fillId="0" borderId="0" xfId="0" applyFont="1"/>
    <xf numFmtId="0" fontId="0" fillId="0" borderId="0" xfId="0"/>
    <xf numFmtId="0" fontId="0" fillId="0" borderId="0" xfId="0" applyAlignment="1"/>
    <xf numFmtId="0" fontId="1" fillId="0" borderId="0" xfId="0" applyFont="1" applyFill="1" applyProtection="1">
      <protection locked="0"/>
    </xf>
    <xf numFmtId="3" fontId="1" fillId="0" borderId="0" xfId="0" applyNumberFormat="1" applyFont="1" applyBorder="1" applyProtection="1">
      <protection locked="0"/>
    </xf>
    <xf numFmtId="173" fontId="0" fillId="0" borderId="0" xfId="0" applyNumberFormat="1"/>
    <xf numFmtId="173" fontId="19" fillId="17" borderId="0" xfId="0" applyNumberFormat="1" applyFont="1" applyFill="1" applyAlignment="1" applyProtection="1">
      <alignment horizontal="right" vertical="center" wrapText="1"/>
    </xf>
    <xf numFmtId="0" fontId="22" fillId="0" borderId="0" xfId="0" applyFont="1"/>
    <xf numFmtId="0" fontId="25" fillId="18" borderId="0" xfId="0" applyFont="1" applyFill="1" applyAlignment="1" applyProtection="1">
      <alignment horizontal="center" vertical="center" wrapText="1"/>
    </xf>
    <xf numFmtId="3" fontId="1" fillId="11" borderId="0" xfId="0" applyNumberFormat="1" applyFont="1" applyFill="1"/>
    <xf numFmtId="0" fontId="1" fillId="11" borderId="0" xfId="0" applyFont="1" applyFill="1"/>
    <xf numFmtId="3" fontId="1" fillId="11" borderId="1" xfId="0" applyNumberFormat="1" applyFont="1" applyFill="1" applyBorder="1"/>
    <xf numFmtId="0" fontId="15" fillId="0" borderId="0" xfId="0" applyFont="1" applyFill="1" applyProtection="1">
      <protection locked="0"/>
    </xf>
    <xf numFmtId="0" fontId="21" fillId="17" borderId="0" xfId="0" applyFont="1" applyFill="1" applyAlignment="1" applyProtection="1">
      <alignment horizontal="center" vertical="center" wrapText="1"/>
    </xf>
    <xf numFmtId="173" fontId="21" fillId="17" borderId="0" xfId="0" applyNumberFormat="1" applyFont="1" applyFill="1" applyAlignment="1" applyProtection="1">
      <alignment horizontal="right" vertical="center" wrapText="1"/>
    </xf>
    <xf numFmtId="0" fontId="19" fillId="17" borderId="0" xfId="0" applyFont="1" applyFill="1" applyAlignment="1" applyProtection="1">
      <alignment horizontal="center" vertical="center" wrapText="1"/>
    </xf>
    <xf numFmtId="0" fontId="21" fillId="17" borderId="0" xfId="0" applyFont="1" applyFill="1" applyAlignment="1">
      <alignment horizontal="center" vertical="center" wrapText="1"/>
    </xf>
    <xf numFmtId="173" fontId="21" fillId="17" borderId="0" xfId="0" applyNumberFormat="1" applyFont="1" applyFill="1" applyAlignment="1">
      <alignment horizontal="right" vertical="center" wrapText="1"/>
    </xf>
    <xf numFmtId="0" fontId="26" fillId="17" borderId="0" xfId="0" applyFont="1" applyFill="1" applyAlignment="1">
      <alignment horizontal="center" vertical="center" wrapText="1"/>
    </xf>
    <xf numFmtId="173" fontId="26" fillId="17" borderId="0" xfId="0" applyNumberFormat="1" applyFont="1" applyFill="1" applyAlignment="1">
      <alignment horizontal="right" vertical="center" wrapText="1"/>
    </xf>
    <xf numFmtId="0" fontId="21" fillId="0" borderId="0" xfId="0" applyFont="1" applyAlignment="1" applyProtection="1">
      <alignment horizontal="left" vertical="center" wrapText="1"/>
    </xf>
    <xf numFmtId="173" fontId="21" fillId="0" borderId="0" xfId="0" applyNumberFormat="1" applyFont="1" applyAlignment="1" applyProtection="1">
      <alignment horizontal="right" vertical="center" wrapText="1"/>
    </xf>
    <xf numFmtId="0" fontId="27" fillId="0" borderId="0" xfId="0" applyFont="1"/>
    <xf numFmtId="0" fontId="26" fillId="19" borderId="0" xfId="0" applyFont="1" applyFill="1" applyAlignment="1">
      <alignment horizontal="center" vertical="center" wrapText="1"/>
    </xf>
    <xf numFmtId="3" fontId="3" fillId="0" borderId="1" xfId="0" applyNumberFormat="1" applyFont="1" applyFill="1" applyBorder="1" applyAlignment="1" applyProtection="1">
      <alignment horizontal="right" vertical="top" wrapText="1"/>
    </xf>
    <xf numFmtId="0" fontId="21" fillId="19" borderId="0" xfId="0" applyFont="1" applyFill="1" applyAlignment="1">
      <alignment horizontal="center" vertical="center" wrapText="1"/>
    </xf>
    <xf numFmtId="0" fontId="21" fillId="0" borderId="0" xfId="0" applyFont="1" applyFill="1" applyAlignment="1">
      <alignment horizontal="center" vertical="center" wrapText="1"/>
    </xf>
    <xf numFmtId="172" fontId="1" fillId="11" borderId="1" xfId="7" applyNumberFormat="1" applyFont="1" applyFill="1" applyBorder="1" applyAlignment="1">
      <alignment horizontal="center" vertical="center"/>
    </xf>
    <xf numFmtId="168" fontId="1" fillId="5" borderId="1" xfId="0" applyNumberFormat="1" applyFont="1" applyFill="1" applyBorder="1" applyProtection="1"/>
    <xf numFmtId="3" fontId="1" fillId="0" borderId="20" xfId="0" applyNumberFormat="1" applyFont="1" applyBorder="1" applyAlignment="1">
      <alignment horizontal="center" vertical="center" wrapText="1"/>
    </xf>
    <xf numFmtId="0" fontId="2" fillId="10" borderId="15" xfId="0" applyFont="1" applyFill="1" applyBorder="1" applyAlignment="1">
      <alignment horizontal="left"/>
    </xf>
    <xf numFmtId="169" fontId="1" fillId="10" borderId="37" xfId="11" applyNumberFormat="1" applyFont="1" applyFill="1" applyBorder="1" applyAlignment="1">
      <alignment horizontal="right"/>
    </xf>
    <xf numFmtId="169" fontId="2" fillId="10" borderId="42" xfId="11" applyNumberFormat="1" applyFont="1" applyFill="1" applyBorder="1" applyAlignment="1">
      <alignment horizontal="right"/>
    </xf>
    <xf numFmtId="167" fontId="24" fillId="11" borderId="1" xfId="0" applyNumberFormat="1" applyFont="1" applyFill="1" applyBorder="1" applyAlignment="1">
      <alignment horizontal="left" vertical="center" wrapText="1"/>
    </xf>
    <xf numFmtId="168" fontId="24" fillId="11" borderId="1" xfId="0" applyNumberFormat="1" applyFont="1" applyFill="1" applyBorder="1" applyAlignment="1">
      <alignment horizontal="left" vertical="center" wrapText="1"/>
    </xf>
    <xf numFmtId="168" fontId="24" fillId="11" borderId="1" xfId="0" applyNumberFormat="1" applyFont="1" applyFill="1" applyBorder="1" applyAlignment="1">
      <alignment vertical="top" wrapText="1"/>
    </xf>
    <xf numFmtId="3" fontId="3" fillId="11" borderId="1" xfId="0" applyNumberFormat="1" applyFont="1" applyFill="1" applyBorder="1" applyAlignment="1">
      <alignment horizontal="right" vertical="top" wrapText="1"/>
    </xf>
    <xf numFmtId="168" fontId="24" fillId="11" borderId="1" xfId="0" applyNumberFormat="1" applyFont="1" applyFill="1" applyBorder="1" applyAlignment="1" applyProtection="1">
      <alignment vertical="top" wrapText="1"/>
    </xf>
    <xf numFmtId="3" fontId="3" fillId="11" borderId="1" xfId="0" applyNumberFormat="1" applyFont="1" applyFill="1" applyBorder="1"/>
    <xf numFmtId="168" fontId="24" fillId="11" borderId="1" xfId="0" quotePrefix="1" applyNumberFormat="1" applyFont="1" applyFill="1" applyBorder="1" applyAlignment="1">
      <alignment horizontal="left" vertical="center" wrapText="1"/>
    </xf>
    <xf numFmtId="49" fontId="24" fillId="11" borderId="1" xfId="0" applyNumberFormat="1" applyFont="1" applyFill="1" applyBorder="1" applyAlignment="1">
      <alignment horizontal="left" vertical="center" wrapText="1"/>
    </xf>
    <xf numFmtId="3" fontId="3" fillId="11" borderId="1" xfId="0" applyNumberFormat="1" applyFont="1" applyFill="1" applyBorder="1" applyAlignment="1">
      <alignment horizontal="right"/>
    </xf>
    <xf numFmtId="168" fontId="24" fillId="11" borderId="1" xfId="0" applyNumberFormat="1" applyFont="1" applyFill="1" applyBorder="1" applyAlignment="1">
      <alignment horizontal="right" vertical="center" wrapText="1"/>
    </xf>
    <xf numFmtId="168" fontId="24" fillId="11" borderId="1" xfId="0" applyNumberFormat="1" applyFont="1" applyFill="1" applyBorder="1" applyAlignment="1">
      <alignment horizontal="right" vertical="top" wrapText="1"/>
    </xf>
    <xf numFmtId="168" fontId="24" fillId="11" borderId="1" xfId="0" applyNumberFormat="1" applyFont="1" applyFill="1" applyBorder="1"/>
    <xf numFmtId="168" fontId="24" fillId="11" borderId="1" xfId="0" applyNumberFormat="1" applyFont="1" applyFill="1" applyBorder="1" applyAlignment="1">
      <alignment horizontal="center" vertical="center" wrapText="1"/>
    </xf>
    <xf numFmtId="49" fontId="24" fillId="11" borderId="1" xfId="0" applyNumberFormat="1" applyFont="1" applyFill="1" applyBorder="1" applyAlignment="1">
      <alignment horizontal="right" vertical="center" wrapText="1"/>
    </xf>
    <xf numFmtId="49" fontId="24" fillId="11" borderId="1" xfId="0" applyNumberFormat="1" applyFont="1" applyFill="1" applyBorder="1" applyAlignment="1">
      <alignment horizontal="right" vertical="top" wrapText="1"/>
    </xf>
    <xf numFmtId="0" fontId="2" fillId="10" borderId="43" xfId="0" applyFont="1" applyFill="1" applyBorder="1"/>
    <xf numFmtId="0" fontId="0" fillId="0" borderId="0" xfId="0" applyAlignment="1">
      <alignment horizontal="center"/>
    </xf>
    <xf numFmtId="0" fontId="18" fillId="0" borderId="0" xfId="0" applyFont="1" applyFill="1"/>
    <xf numFmtId="0" fontId="1" fillId="0" borderId="16" xfId="0" applyFont="1" applyFill="1" applyBorder="1" applyAlignment="1" applyProtection="1">
      <alignment horizontal="left" vertical="top" wrapText="1"/>
    </xf>
    <xf numFmtId="167" fontId="1" fillId="0" borderId="1" xfId="0" applyNumberFormat="1" applyFont="1" applyFill="1" applyBorder="1" applyAlignment="1" applyProtection="1">
      <alignment horizontal="left" vertical="center" wrapText="1"/>
    </xf>
    <xf numFmtId="3" fontId="1" fillId="0" borderId="22" xfId="0" applyNumberFormat="1" applyFont="1" applyBorder="1" applyAlignment="1">
      <alignment horizontal="center" vertical="center" wrapText="1"/>
    </xf>
    <xf numFmtId="3" fontId="24" fillId="5" borderId="1" xfId="0" applyNumberFormat="1" applyFont="1" applyFill="1" applyBorder="1" applyAlignment="1" applyProtection="1">
      <alignment horizontal="right" vertical="top" wrapText="1"/>
    </xf>
    <xf numFmtId="167" fontId="24" fillId="5" borderId="1" xfId="0" applyNumberFormat="1" applyFont="1" applyFill="1" applyBorder="1" applyAlignment="1" applyProtection="1">
      <alignment horizontal="left" vertical="top" wrapText="1"/>
    </xf>
    <xf numFmtId="168" fontId="24" fillId="5" borderId="1" xfId="0" applyNumberFormat="1" applyFont="1" applyFill="1" applyBorder="1" applyAlignment="1" applyProtection="1">
      <alignment horizontal="left" vertical="center" wrapText="1"/>
    </xf>
    <xf numFmtId="168" fontId="24" fillId="5" borderId="1" xfId="0" applyNumberFormat="1" applyFont="1" applyFill="1" applyBorder="1" applyAlignment="1" applyProtection="1">
      <alignment horizontal="center" vertical="center" wrapText="1"/>
    </xf>
    <xf numFmtId="172" fontId="24" fillId="5" borderId="1" xfId="7" applyNumberFormat="1" applyFont="1" applyFill="1" applyBorder="1" applyAlignment="1" applyProtection="1">
      <alignment horizontal="center" vertical="center" wrapText="1"/>
    </xf>
    <xf numFmtId="3" fontId="24" fillId="5" borderId="1" xfId="0" applyNumberFormat="1" applyFont="1" applyFill="1" applyBorder="1" applyAlignment="1">
      <alignment horizontal="right" vertical="top" wrapText="1"/>
    </xf>
    <xf numFmtId="168" fontId="24" fillId="5" borderId="1" xfId="0" applyNumberFormat="1" applyFont="1" applyFill="1" applyBorder="1" applyAlignment="1" applyProtection="1">
      <alignment vertical="top" wrapText="1"/>
    </xf>
    <xf numFmtId="167" fontId="24" fillId="5" borderId="1" xfId="0" applyNumberFormat="1" applyFont="1" applyFill="1" applyBorder="1" applyAlignment="1" applyProtection="1">
      <alignment horizontal="left" vertical="center" wrapText="1"/>
    </xf>
    <xf numFmtId="167" fontId="24" fillId="5" borderId="3" xfId="0" applyNumberFormat="1" applyFont="1" applyFill="1" applyBorder="1" applyAlignment="1" applyProtection="1">
      <alignment horizontal="left" vertical="center" wrapText="1"/>
    </xf>
    <xf numFmtId="168" fontId="24" fillId="5" borderId="3" xfId="0" applyNumberFormat="1" applyFont="1" applyFill="1" applyBorder="1" applyAlignment="1" applyProtection="1">
      <alignment horizontal="left" vertical="center" wrapText="1"/>
    </xf>
    <xf numFmtId="168" fontId="13" fillId="5" borderId="1" xfId="0" applyNumberFormat="1" applyFont="1" applyFill="1" applyBorder="1" applyAlignment="1" applyProtection="1">
      <alignment vertical="top" wrapText="1"/>
    </xf>
    <xf numFmtId="3" fontId="1" fillId="0" borderId="9" xfId="0" applyNumberFormat="1" applyFont="1" applyBorder="1" applyAlignment="1">
      <alignment horizontal="center" vertical="center" wrapText="1"/>
    </xf>
    <xf numFmtId="3" fontId="0" fillId="11" borderId="0" xfId="0" applyNumberFormat="1" applyFill="1"/>
    <xf numFmtId="168" fontId="3" fillId="0" borderId="1" xfId="0" applyNumberFormat="1" applyFont="1" applyFill="1" applyBorder="1" applyAlignment="1" applyProtection="1">
      <alignment horizontal="left" vertical="center" wrapText="1"/>
    </xf>
    <xf numFmtId="168" fontId="24" fillId="5" borderId="1" xfId="0" applyNumberFormat="1" applyFont="1" applyFill="1" applyBorder="1" applyAlignment="1" applyProtection="1">
      <alignment horizontal="right" vertical="center" wrapText="1"/>
    </xf>
    <xf numFmtId="167" fontId="3" fillId="0" borderId="1" xfId="0" applyNumberFormat="1" applyFont="1" applyFill="1" applyBorder="1" applyAlignment="1" applyProtection="1">
      <alignment horizontal="left" vertical="center" wrapText="1"/>
    </xf>
    <xf numFmtId="168" fontId="3" fillId="0" borderId="1" xfId="0" applyNumberFormat="1" applyFont="1" applyFill="1" applyBorder="1" applyAlignment="1" applyProtection="1">
      <alignment horizontal="right" vertical="center" wrapText="1"/>
    </xf>
    <xf numFmtId="0" fontId="30" fillId="0" borderId="16" xfId="0" applyFont="1" applyFill="1" applyBorder="1" applyAlignment="1" applyProtection="1">
      <alignment horizontal="left" vertical="top" wrapText="1"/>
    </xf>
    <xf numFmtId="0" fontId="0" fillId="11" borderId="0" xfId="0" applyFill="1"/>
    <xf numFmtId="170" fontId="1" fillId="10" borderId="11" xfId="0" applyNumberFormat="1" applyFont="1" applyFill="1" applyBorder="1" applyAlignment="1">
      <alignment horizontal="center"/>
    </xf>
    <xf numFmtId="3" fontId="1" fillId="10" borderId="0" xfId="0" applyNumberFormat="1" applyFont="1" applyFill="1" applyBorder="1" applyAlignment="1">
      <alignment horizontal="center" vertical="center"/>
    </xf>
    <xf numFmtId="170" fontId="1" fillId="10" borderId="0" xfId="0" applyNumberFormat="1" applyFont="1" applyFill="1" applyBorder="1" applyAlignment="1">
      <alignment horizontal="center"/>
    </xf>
    <xf numFmtId="0" fontId="1" fillId="11" borderId="0" xfId="0" applyFont="1" applyFill="1" applyAlignment="1">
      <alignment horizontal="left"/>
    </xf>
    <xf numFmtId="167" fontId="1" fillId="11" borderId="0" xfId="0" applyNumberFormat="1" applyFont="1" applyFill="1" applyAlignment="1">
      <alignment horizontal="left" vertical="center"/>
    </xf>
    <xf numFmtId="168" fontId="1" fillId="11" borderId="0" xfId="0" applyNumberFormat="1" applyFont="1" applyFill="1" applyAlignment="1">
      <alignment horizontal="left" vertical="center"/>
    </xf>
    <xf numFmtId="168" fontId="1" fillId="11" borderId="0" xfId="0" applyNumberFormat="1" applyFont="1" applyFill="1"/>
    <xf numFmtId="3" fontId="1" fillId="11" borderId="0" xfId="0" applyNumberFormat="1" applyFont="1" applyFill="1" applyAlignment="1">
      <alignment horizontal="right"/>
    </xf>
    <xf numFmtId="3" fontId="1" fillId="11" borderId="0" xfId="0" applyNumberFormat="1" applyFont="1" applyFill="1" applyBorder="1"/>
    <xf numFmtId="0" fontId="2" fillId="11" borderId="0" xfId="0" applyFont="1" applyFill="1"/>
    <xf numFmtId="0" fontId="18" fillId="11" borderId="0" xfId="0" applyFont="1" applyFill="1"/>
    <xf numFmtId="0" fontId="1" fillId="11" borderId="0" xfId="0" applyFont="1" applyFill="1" applyBorder="1" applyAlignment="1">
      <alignment horizontal="left"/>
    </xf>
    <xf numFmtId="167" fontId="1" fillId="11" borderId="0" xfId="0" applyNumberFormat="1" applyFont="1" applyFill="1" applyBorder="1" applyAlignment="1">
      <alignment horizontal="left" vertical="center"/>
    </xf>
    <xf numFmtId="168" fontId="1" fillId="11" borderId="0" xfId="0" applyNumberFormat="1" applyFont="1" applyFill="1" applyBorder="1" applyAlignment="1">
      <alignment horizontal="left" vertical="center"/>
    </xf>
    <xf numFmtId="168" fontId="1" fillId="11" borderId="0" xfId="0" applyNumberFormat="1" applyFont="1" applyFill="1" applyBorder="1"/>
    <xf numFmtId="0" fontId="0" fillId="11" borderId="0" xfId="0" applyFill="1" applyAlignment="1">
      <alignment horizontal="left"/>
    </xf>
    <xf numFmtId="172" fontId="3" fillId="11" borderId="23" xfId="7" applyNumberFormat="1" applyFont="1" applyFill="1" applyBorder="1" applyAlignment="1">
      <alignment horizontal="center" vertical="center" wrapText="1"/>
    </xf>
    <xf numFmtId="3" fontId="3" fillId="11" borderId="16" xfId="0" applyNumberFormat="1" applyFont="1" applyFill="1" applyBorder="1" applyAlignment="1">
      <alignment horizontal="right" vertical="top" wrapText="1"/>
    </xf>
    <xf numFmtId="3" fontId="3" fillId="11" borderId="16" xfId="0" applyNumberFormat="1" applyFont="1" applyFill="1" applyBorder="1"/>
    <xf numFmtId="0" fontId="24" fillId="11" borderId="16" xfId="0" applyFont="1" applyFill="1" applyBorder="1" applyAlignment="1">
      <alignment horizontal="left" vertical="top" wrapText="1"/>
    </xf>
    <xf numFmtId="41" fontId="0" fillId="0" borderId="0" xfId="14" applyFont="1"/>
    <xf numFmtId="3" fontId="2" fillId="5" borderId="1" xfId="0" applyNumberFormat="1" applyFont="1" applyFill="1" applyBorder="1" applyAlignment="1">
      <alignment horizontal="right" vertical="top"/>
    </xf>
    <xf numFmtId="0" fontId="1" fillId="0" borderId="0" xfId="0" applyFont="1" applyAlignment="1">
      <alignment horizontal="left" vertical="top"/>
    </xf>
    <xf numFmtId="167" fontId="1" fillId="0" borderId="0" xfId="0" applyNumberFormat="1" applyFont="1" applyAlignment="1">
      <alignment horizontal="left" vertical="top"/>
    </xf>
    <xf numFmtId="168" fontId="1" fillId="0" borderId="0" xfId="0" applyNumberFormat="1" applyFont="1" applyAlignment="1">
      <alignment vertical="top"/>
    </xf>
    <xf numFmtId="0" fontId="1" fillId="0" borderId="0" xfId="0" applyFont="1" applyAlignment="1">
      <alignment vertical="top"/>
    </xf>
    <xf numFmtId="3" fontId="1" fillId="0" borderId="0" xfId="0" applyNumberFormat="1" applyFont="1" applyAlignment="1">
      <alignment vertical="top"/>
    </xf>
    <xf numFmtId="3" fontId="1" fillId="0" borderId="0" xfId="0" applyNumberFormat="1" applyFont="1" applyAlignment="1">
      <alignment horizontal="right" vertical="top"/>
    </xf>
    <xf numFmtId="3" fontId="1" fillId="0" borderId="0" xfId="0" applyNumberFormat="1" applyFont="1" applyFill="1" applyAlignment="1">
      <alignment vertical="top"/>
    </xf>
    <xf numFmtId="0" fontId="1" fillId="0" borderId="0" xfId="0" applyFont="1" applyFill="1" applyAlignment="1">
      <alignment vertical="top"/>
    </xf>
    <xf numFmtId="41" fontId="1" fillId="0" borderId="0" xfId="14" applyFont="1" applyFill="1" applyAlignment="1">
      <alignment vertical="top"/>
    </xf>
    <xf numFmtId="0" fontId="1" fillId="0" borderId="0" xfId="0" applyFont="1" applyFill="1" applyBorder="1" applyAlignment="1">
      <alignment vertical="top"/>
    </xf>
    <xf numFmtId="0" fontId="4" fillId="8" borderId="12" xfId="0" applyNumberFormat="1" applyFont="1" applyFill="1" applyBorder="1" applyAlignment="1" applyProtection="1">
      <alignment horizontal="center" vertical="top"/>
    </xf>
    <xf numFmtId="0" fontId="4" fillId="8" borderId="9" xfId="0" applyFont="1" applyFill="1" applyBorder="1" applyAlignment="1" applyProtection="1">
      <alignment horizontal="center" vertical="top"/>
    </xf>
    <xf numFmtId="0" fontId="4" fillId="8" borderId="10" xfId="0" applyFont="1" applyFill="1" applyBorder="1" applyAlignment="1" applyProtection="1">
      <alignment horizontal="center" vertical="top"/>
    </xf>
    <xf numFmtId="0" fontId="2" fillId="0" borderId="0" xfId="0" applyFont="1" applyFill="1" applyAlignment="1">
      <alignment vertical="top"/>
    </xf>
    <xf numFmtId="167" fontId="12" fillId="0" borderId="1" xfId="0" applyNumberFormat="1" applyFont="1" applyFill="1" applyBorder="1" applyAlignment="1" applyProtection="1">
      <alignment horizontal="left" vertical="top" wrapText="1"/>
    </xf>
    <xf numFmtId="168" fontId="12" fillId="0" borderId="1" xfId="0" applyNumberFormat="1" applyFont="1" applyFill="1" applyBorder="1" applyAlignment="1" applyProtection="1">
      <alignment horizontal="left" vertical="top" wrapText="1"/>
    </xf>
    <xf numFmtId="167" fontId="13" fillId="5" borderId="1" xfId="0" applyNumberFormat="1" applyFont="1" applyFill="1" applyBorder="1" applyAlignment="1" applyProtection="1">
      <alignment horizontal="left" vertical="top" wrapText="1"/>
    </xf>
    <xf numFmtId="3" fontId="1" fillId="0" borderId="1" xfId="0" applyNumberFormat="1" applyFont="1" applyFill="1" applyBorder="1" applyAlignment="1">
      <alignment vertical="top"/>
    </xf>
    <xf numFmtId="3" fontId="24" fillId="5" borderId="1" xfId="0" applyNumberFormat="1" applyFont="1" applyFill="1" applyBorder="1" applyAlignment="1">
      <alignment vertical="top"/>
    </xf>
    <xf numFmtId="3" fontId="2" fillId="5" borderId="1" xfId="0" applyNumberFormat="1" applyFont="1" applyFill="1" applyBorder="1" applyAlignment="1">
      <alignment vertical="top"/>
    </xf>
    <xf numFmtId="168" fontId="3" fillId="0" borderId="1" xfId="0" applyNumberFormat="1" applyFont="1" applyFill="1" applyBorder="1" applyAlignment="1" applyProtection="1">
      <alignment horizontal="center" vertical="top" wrapText="1"/>
    </xf>
    <xf numFmtId="168" fontId="2" fillId="5" borderId="1" xfId="0" applyNumberFormat="1" applyFont="1" applyFill="1" applyBorder="1" applyAlignment="1" applyProtection="1">
      <alignment horizontal="center" vertical="top" wrapText="1"/>
    </xf>
    <xf numFmtId="168" fontId="1" fillId="0" borderId="1" xfId="0" applyNumberFormat="1" applyFont="1" applyFill="1" applyBorder="1" applyAlignment="1" applyProtection="1">
      <alignment horizontal="center" vertical="top" wrapText="1"/>
    </xf>
    <xf numFmtId="0" fontId="1" fillId="0" borderId="0" xfId="0" applyFont="1" applyBorder="1" applyAlignment="1">
      <alignment horizontal="left" vertical="top"/>
    </xf>
    <xf numFmtId="167" fontId="1" fillId="0" borderId="0" xfId="0" applyNumberFormat="1" applyFont="1" applyBorder="1" applyAlignment="1">
      <alignment horizontal="left" vertical="top"/>
    </xf>
    <xf numFmtId="168" fontId="1" fillId="0" borderId="0" xfId="0" applyNumberFormat="1" applyFont="1" applyBorder="1" applyAlignment="1">
      <alignment vertical="top"/>
    </xf>
    <xf numFmtId="0" fontId="1" fillId="0" borderId="0" xfId="0" applyFont="1" applyBorder="1" applyAlignment="1">
      <alignment vertical="top"/>
    </xf>
    <xf numFmtId="3" fontId="1" fillId="0" borderId="0" xfId="0" applyNumberFormat="1" applyFont="1" applyBorder="1" applyAlignment="1">
      <alignment vertical="top"/>
    </xf>
    <xf numFmtId="3" fontId="1" fillId="0" borderId="0" xfId="0" applyNumberFormat="1" applyFont="1" applyBorder="1" applyAlignment="1">
      <alignment horizontal="right" vertical="top"/>
    </xf>
    <xf numFmtId="0" fontId="23" fillId="0" borderId="0" xfId="0" applyFont="1" applyAlignment="1">
      <alignment vertical="top"/>
    </xf>
    <xf numFmtId="0" fontId="2" fillId="8" borderId="9" xfId="0" applyFont="1" applyFill="1" applyBorder="1" applyAlignment="1" applyProtection="1">
      <alignment horizontal="center"/>
    </xf>
    <xf numFmtId="0" fontId="32" fillId="11" borderId="13" xfId="2" applyFont="1" applyFill="1" applyBorder="1" applyAlignment="1"/>
    <xf numFmtId="167" fontId="32" fillId="11" borderId="25" xfId="2" applyNumberFormat="1" applyFont="1" applyFill="1" applyBorder="1" applyAlignment="1"/>
    <xf numFmtId="168" fontId="32" fillId="11" borderId="25" xfId="2" applyNumberFormat="1" applyFont="1" applyFill="1" applyBorder="1" applyAlignment="1"/>
    <xf numFmtId="0" fontId="12" fillId="10" borderId="0" xfId="0" applyFont="1" applyFill="1" applyAlignment="1">
      <alignment horizontal="right"/>
    </xf>
    <xf numFmtId="0" fontId="2" fillId="10" borderId="19" xfId="0" applyFont="1" applyFill="1" applyBorder="1" applyAlignment="1"/>
    <xf numFmtId="0" fontId="2" fillId="10" borderId="18" xfId="0" applyFont="1" applyFill="1" applyBorder="1" applyAlignment="1"/>
    <xf numFmtId="0" fontId="2" fillId="10" borderId="35" xfId="0" applyFont="1" applyFill="1" applyBorder="1" applyAlignment="1"/>
    <xf numFmtId="0" fontId="2" fillId="10" borderId="16" xfId="0" applyFont="1" applyFill="1" applyBorder="1" applyAlignment="1"/>
    <xf numFmtId="0" fontId="2" fillId="10" borderId="1" xfId="0" applyFont="1" applyFill="1" applyBorder="1" applyAlignment="1"/>
    <xf numFmtId="0" fontId="2" fillId="10" borderId="36" xfId="0" applyFont="1" applyFill="1" applyBorder="1" applyAlignment="1"/>
    <xf numFmtId="0" fontId="34" fillId="11" borderId="0" xfId="0" applyFont="1" applyFill="1"/>
    <xf numFmtId="0" fontId="0" fillId="0" borderId="0" xfId="0" applyAlignment="1">
      <alignment horizontal="center"/>
    </xf>
    <xf numFmtId="41" fontId="1" fillId="11" borderId="0" xfId="14" applyFont="1" applyFill="1"/>
    <xf numFmtId="9" fontId="1" fillId="11" borderId="0" xfId="7" applyFont="1" applyFill="1" applyAlignment="1">
      <alignment horizontal="center"/>
    </xf>
    <xf numFmtId="9" fontId="1" fillId="10" borderId="0" xfId="7" applyFont="1" applyFill="1" applyBorder="1" applyAlignment="1">
      <alignment horizontal="center"/>
    </xf>
    <xf numFmtId="41" fontId="1" fillId="11" borderId="0" xfId="14" applyFont="1" applyFill="1" applyAlignment="1">
      <alignment horizontal="right"/>
    </xf>
    <xf numFmtId="41" fontId="1" fillId="10" borderId="0" xfId="14" applyFont="1" applyFill="1" applyBorder="1" applyAlignment="1">
      <alignment horizontal="right"/>
    </xf>
    <xf numFmtId="3" fontId="1" fillId="0" borderId="2" xfId="0" applyNumberFormat="1" applyFont="1" applyFill="1" applyBorder="1" applyAlignment="1" applyProtection="1">
      <alignment horizontal="right" vertical="top" wrapText="1"/>
    </xf>
    <xf numFmtId="3" fontId="2" fillId="5" borderId="2" xfId="0" applyNumberFormat="1" applyFont="1" applyFill="1" applyBorder="1" applyAlignment="1">
      <alignment horizontal="right" vertical="top" wrapText="1"/>
    </xf>
    <xf numFmtId="3" fontId="3" fillId="0" borderId="2" xfId="0" applyNumberFormat="1" applyFont="1" applyFill="1" applyBorder="1" applyAlignment="1" applyProtection="1">
      <alignment horizontal="right" vertical="top" wrapText="1"/>
    </xf>
    <xf numFmtId="3" fontId="2" fillId="5" borderId="2" xfId="0" applyNumberFormat="1" applyFont="1" applyFill="1" applyBorder="1" applyAlignment="1" applyProtection="1">
      <alignment horizontal="right" vertical="top" wrapText="1"/>
    </xf>
    <xf numFmtId="3" fontId="1" fillId="0" borderId="32" xfId="0" applyNumberFormat="1" applyFont="1" applyBorder="1" applyAlignment="1">
      <alignment horizontal="center" vertical="center" wrapText="1"/>
    </xf>
    <xf numFmtId="0" fontId="36" fillId="17" borderId="0" xfId="0" applyFont="1" applyFill="1" applyAlignment="1" applyProtection="1">
      <alignment horizontal="center" vertical="center" wrapText="1"/>
    </xf>
    <xf numFmtId="167" fontId="24" fillId="5" borderId="1" xfId="0" applyNumberFormat="1" applyFont="1" applyFill="1" applyBorder="1" applyAlignment="1" applyProtection="1">
      <alignment horizontal="left" vertical="center"/>
    </xf>
    <xf numFmtId="168" fontId="24" fillId="5" borderId="1" xfId="0" applyNumberFormat="1" applyFont="1" applyFill="1" applyBorder="1" applyAlignment="1" applyProtection="1">
      <alignment horizontal="left" vertical="center"/>
    </xf>
    <xf numFmtId="171" fontId="1" fillId="0" borderId="0" xfId="8" applyNumberFormat="1" applyFont="1" applyFill="1" applyBorder="1" applyAlignment="1" applyProtection="1">
      <protection locked="0"/>
    </xf>
    <xf numFmtId="3" fontId="1" fillId="0" borderId="0" xfId="7" applyNumberFormat="1" applyFont="1" applyProtection="1">
      <protection locked="0"/>
    </xf>
    <xf numFmtId="3" fontId="2" fillId="8" borderId="9" xfId="7" applyNumberFormat="1" applyFont="1" applyFill="1" applyBorder="1" applyAlignment="1" applyProtection="1">
      <alignment horizontal="center"/>
    </xf>
    <xf numFmtId="3" fontId="3" fillId="0" borderId="1" xfId="7" applyNumberFormat="1" applyFont="1" applyFill="1" applyBorder="1" applyAlignment="1" applyProtection="1">
      <alignment horizontal="right" vertical="center" wrapText="1"/>
    </xf>
    <xf numFmtId="3" fontId="24" fillId="5" borderId="1" xfId="7" applyNumberFormat="1" applyFont="1" applyFill="1" applyBorder="1" applyAlignment="1" applyProtection="1">
      <alignment horizontal="right" vertical="center" wrapText="1"/>
    </xf>
    <xf numFmtId="3" fontId="24" fillId="5" borderId="1" xfId="7" applyNumberFormat="1" applyFont="1" applyFill="1" applyBorder="1" applyAlignment="1" applyProtection="1">
      <alignment horizontal="right" vertical="center"/>
    </xf>
    <xf numFmtId="3" fontId="24" fillId="5" borderId="3" xfId="7" applyNumberFormat="1" applyFont="1" applyFill="1" applyBorder="1" applyAlignment="1" applyProtection="1">
      <alignment horizontal="right" vertical="center" wrapText="1"/>
    </xf>
    <xf numFmtId="172" fontId="24" fillId="5" borderId="1" xfId="2" applyNumberFormat="1" applyFont="1" applyFill="1" applyBorder="1" applyAlignment="1" applyProtection="1">
      <alignment horizontal="center" vertical="center" wrapText="1"/>
    </xf>
    <xf numFmtId="3" fontId="1" fillId="0" borderId="0" xfId="0" applyNumberFormat="1" applyFont="1" applyAlignment="1" applyProtection="1">
      <alignment horizontal="center"/>
      <protection locked="0"/>
    </xf>
    <xf numFmtId="41" fontId="1" fillId="0" borderId="0" xfId="14" applyFont="1" applyFill="1" applyProtection="1">
      <protection locked="0"/>
    </xf>
    <xf numFmtId="3" fontId="1" fillId="0" borderId="0" xfId="0" applyNumberFormat="1" applyFont="1" applyAlignment="1" applyProtection="1">
      <alignment horizontal="center" wrapText="1"/>
      <protection locked="0"/>
    </xf>
    <xf numFmtId="3" fontId="1" fillId="0" borderId="0" xfId="0" applyNumberFormat="1" applyFont="1" applyAlignment="1" applyProtection="1">
      <alignment horizontal="right" wrapText="1"/>
      <protection locked="0"/>
    </xf>
    <xf numFmtId="3" fontId="1" fillId="0" borderId="0" xfId="0" applyNumberFormat="1" applyFont="1" applyAlignment="1" applyProtection="1">
      <alignment wrapText="1"/>
      <protection locked="0"/>
    </xf>
    <xf numFmtId="172" fontId="24" fillId="5" borderId="3" xfId="2" applyNumberFormat="1" applyFont="1" applyFill="1" applyBorder="1" applyAlignment="1" applyProtection="1">
      <alignment horizontal="center" vertical="center" wrapText="1"/>
    </xf>
    <xf numFmtId="3" fontId="2" fillId="5" borderId="36" xfId="0" applyNumberFormat="1" applyFont="1" applyFill="1" applyBorder="1"/>
    <xf numFmtId="41" fontId="1" fillId="0" borderId="0" xfId="14" applyFont="1" applyFill="1"/>
    <xf numFmtId="41" fontId="22" fillId="0" borderId="0" xfId="14" applyFont="1"/>
    <xf numFmtId="3" fontId="1" fillId="0" borderId="2" xfId="0" applyNumberFormat="1" applyFont="1" applyFill="1" applyBorder="1" applyAlignment="1">
      <alignment horizontal="right" vertical="top" wrapText="1"/>
    </xf>
    <xf numFmtId="3" fontId="2" fillId="5" borderId="16" xfId="0" applyNumberFormat="1" applyFont="1" applyFill="1" applyBorder="1"/>
    <xf numFmtId="3" fontId="2" fillId="5" borderId="36" xfId="0" applyNumberFormat="1" applyFont="1" applyFill="1" applyBorder="1" applyAlignment="1" applyProtection="1">
      <alignment horizontal="right" vertical="top" wrapText="1"/>
    </xf>
    <xf numFmtId="173" fontId="19" fillId="17" borderId="0" xfId="0" applyNumberFormat="1" applyFont="1" applyFill="1" applyAlignment="1" applyProtection="1">
      <alignment horizontal="right" vertical="center"/>
    </xf>
    <xf numFmtId="0" fontId="26" fillId="19" borderId="0" xfId="0" applyFont="1" applyFill="1" applyAlignment="1">
      <alignment horizontal="center" vertical="center"/>
    </xf>
    <xf numFmtId="0" fontId="15" fillId="0" borderId="0" xfId="0" applyFont="1" applyBorder="1" applyAlignment="1" applyProtection="1">
      <alignment horizontal="left"/>
      <protection locked="0"/>
    </xf>
    <xf numFmtId="167" fontId="15" fillId="0" borderId="0" xfId="0" applyNumberFormat="1" applyFont="1" applyBorder="1" applyAlignment="1" applyProtection="1">
      <alignment horizontal="left" vertical="center"/>
      <protection locked="0"/>
    </xf>
    <xf numFmtId="168" fontId="15" fillId="0" borderId="0" xfId="0" applyNumberFormat="1" applyFont="1" applyBorder="1" applyAlignment="1" applyProtection="1">
      <alignment horizontal="left" vertical="center"/>
      <protection locked="0"/>
    </xf>
    <xf numFmtId="168" fontId="15" fillId="0" borderId="0" xfId="0" applyNumberFormat="1" applyFont="1" applyBorder="1" applyProtection="1">
      <protection locked="0"/>
    </xf>
    <xf numFmtId="3" fontId="15" fillId="0" borderId="0" xfId="0" applyNumberFormat="1" applyFont="1" applyBorder="1" applyProtection="1">
      <protection locked="0"/>
    </xf>
    <xf numFmtId="3" fontId="15" fillId="0" borderId="0" xfId="0" applyNumberFormat="1" applyFont="1" applyBorder="1" applyAlignment="1" applyProtection="1">
      <alignment horizontal="right"/>
      <protection locked="0"/>
    </xf>
    <xf numFmtId="41" fontId="2" fillId="5" borderId="1" xfId="14" applyFont="1" applyFill="1" applyBorder="1" applyAlignment="1" applyProtection="1">
      <alignment horizontal="center" vertical="top" wrapText="1"/>
    </xf>
    <xf numFmtId="41" fontId="1" fillId="11" borderId="1" xfId="14" applyFont="1" applyFill="1" applyBorder="1" applyAlignment="1">
      <alignment horizontal="right" vertical="center"/>
    </xf>
    <xf numFmtId="3" fontId="3" fillId="11" borderId="3" xfId="0" applyNumberFormat="1" applyFont="1" applyFill="1" applyBorder="1" applyAlignment="1">
      <alignment horizontal="right" vertical="top" wrapText="1"/>
    </xf>
    <xf numFmtId="3" fontId="1" fillId="11" borderId="0" xfId="0" applyNumberFormat="1" applyFont="1" applyFill="1" applyBorder="1" applyAlignment="1">
      <alignment horizontal="left"/>
    </xf>
    <xf numFmtId="172" fontId="3" fillId="11" borderId="1" xfId="7" applyNumberFormat="1" applyFont="1" applyFill="1" applyBorder="1" applyAlignment="1">
      <alignment horizontal="center" vertical="center" wrapText="1"/>
    </xf>
    <xf numFmtId="41" fontId="3" fillId="11" borderId="1" xfId="14" applyFont="1" applyFill="1" applyBorder="1" applyAlignment="1">
      <alignment vertical="center" wrapText="1"/>
    </xf>
    <xf numFmtId="3" fontId="34" fillId="11" borderId="0" xfId="0" applyNumberFormat="1" applyFont="1" applyFill="1" applyBorder="1"/>
    <xf numFmtId="3" fontId="1" fillId="11" borderId="16" xfId="0" applyNumberFormat="1" applyFont="1" applyFill="1" applyBorder="1"/>
    <xf numFmtId="3" fontId="3" fillId="11" borderId="16" xfId="0" applyNumberFormat="1" applyFont="1" applyFill="1" applyBorder="1" applyAlignment="1">
      <alignment horizontal="right"/>
    </xf>
    <xf numFmtId="3" fontId="1" fillId="11" borderId="19" xfId="0" applyNumberFormat="1" applyFont="1" applyFill="1" applyBorder="1"/>
    <xf numFmtId="3" fontId="1" fillId="11" borderId="18" xfId="0" applyNumberFormat="1" applyFont="1" applyFill="1" applyBorder="1"/>
    <xf numFmtId="41" fontId="1" fillId="11" borderId="18" xfId="14" applyFont="1" applyFill="1" applyBorder="1" applyAlignment="1">
      <alignment horizontal="right" vertical="center"/>
    </xf>
    <xf numFmtId="172" fontId="1" fillId="11" borderId="18" xfId="7" applyNumberFormat="1" applyFont="1" applyFill="1" applyBorder="1" applyAlignment="1">
      <alignment horizontal="center" vertical="center"/>
    </xf>
    <xf numFmtId="3" fontId="2" fillId="8" borderId="41" xfId="0" applyNumberFormat="1" applyFont="1" applyFill="1" applyBorder="1" applyAlignment="1">
      <alignment horizontal="center" vertical="center" wrapText="1"/>
    </xf>
    <xf numFmtId="0" fontId="17" fillId="13" borderId="19" xfId="2" applyFont="1" applyFill="1" applyBorder="1" applyAlignment="1">
      <alignment vertical="center"/>
    </xf>
    <xf numFmtId="167" fontId="17" fillId="13" borderId="18" xfId="2" applyNumberFormat="1" applyFont="1" applyFill="1" applyBorder="1" applyAlignment="1">
      <alignment vertical="center"/>
    </xf>
    <xf numFmtId="168" fontId="17" fillId="13" borderId="18" xfId="2" applyNumberFormat="1" applyFont="1" applyFill="1" applyBorder="1" applyAlignment="1">
      <alignment vertical="center"/>
    </xf>
    <xf numFmtId="3" fontId="17" fillId="13" borderId="18" xfId="2" applyNumberFormat="1" applyFont="1" applyFill="1" applyBorder="1" applyAlignment="1">
      <alignment vertical="center"/>
    </xf>
    <xf numFmtId="172" fontId="17" fillId="13" borderId="26" xfId="2" applyNumberFormat="1" applyFont="1" applyFill="1" applyBorder="1" applyAlignment="1">
      <alignment horizontal="center" vertical="center"/>
    </xf>
    <xf numFmtId="3" fontId="3" fillId="11" borderId="0" xfId="8" applyNumberFormat="1" applyFont="1" applyFill="1" applyBorder="1"/>
    <xf numFmtId="168" fontId="3" fillId="11" borderId="1" xfId="0" applyNumberFormat="1" applyFont="1" applyFill="1" applyBorder="1" applyAlignment="1" applyProtection="1">
      <alignment vertical="top" wrapText="1"/>
    </xf>
    <xf numFmtId="3" fontId="3" fillId="11" borderId="1" xfId="0" applyNumberFormat="1" applyFont="1" applyFill="1" applyBorder="1" applyAlignment="1">
      <alignment horizontal="right" vertical="top"/>
    </xf>
    <xf numFmtId="168" fontId="24" fillId="11" borderId="1" xfId="0" applyNumberFormat="1" applyFont="1" applyFill="1" applyBorder="1" applyAlignment="1" applyProtection="1">
      <alignment horizontal="right" vertical="top" wrapText="1"/>
    </xf>
    <xf numFmtId="49" fontId="24" fillId="11" borderId="1" xfId="0" applyNumberFormat="1" applyFont="1" applyFill="1" applyBorder="1" applyAlignment="1" applyProtection="1">
      <alignment vertical="top" wrapText="1"/>
    </xf>
    <xf numFmtId="0" fontId="0" fillId="0" borderId="0" xfId="0" pivotButton="1"/>
    <xf numFmtId="3" fontId="1" fillId="21" borderId="30" xfId="0" applyNumberFormat="1" applyFont="1" applyFill="1" applyBorder="1"/>
    <xf numFmtId="0" fontId="2" fillId="21" borderId="51" xfId="0" applyFont="1" applyFill="1" applyBorder="1" applyAlignment="1">
      <alignment horizontal="center" vertical="center"/>
    </xf>
    <xf numFmtId="41" fontId="1" fillId="11" borderId="51" xfId="14" applyFont="1" applyFill="1" applyBorder="1"/>
    <xf numFmtId="3" fontId="12" fillId="21" borderId="27" xfId="0" applyNumberFormat="1" applyFont="1" applyFill="1" applyBorder="1"/>
    <xf numFmtId="3" fontId="1" fillId="11" borderId="9" xfId="0" applyNumberFormat="1" applyFont="1" applyFill="1" applyBorder="1"/>
    <xf numFmtId="0" fontId="0" fillId="0" borderId="0" xfId="0" applyNumberFormat="1"/>
    <xf numFmtId="41" fontId="0" fillId="0" borderId="0" xfId="0" applyNumberFormat="1"/>
    <xf numFmtId="172" fontId="1" fillId="11" borderId="26" xfId="7" applyNumberFormat="1" applyFont="1" applyFill="1" applyBorder="1" applyAlignment="1">
      <alignment horizontal="center" vertical="center"/>
    </xf>
    <xf numFmtId="0" fontId="26" fillId="5" borderId="0" xfId="0" applyFont="1" applyFill="1" applyAlignment="1">
      <alignment horizontal="center" vertical="center"/>
    </xf>
    <xf numFmtId="0" fontId="21" fillId="19" borderId="0" xfId="0" applyFont="1" applyFill="1" applyAlignment="1">
      <alignment horizontal="center" vertical="center"/>
    </xf>
    <xf numFmtId="0" fontId="26" fillId="0" borderId="0" xfId="0" applyFont="1" applyAlignment="1">
      <alignment horizontal="center" vertical="center"/>
    </xf>
    <xf numFmtId="0" fontId="26" fillId="0" borderId="0" xfId="0" applyFont="1" applyAlignment="1">
      <alignment horizontal="left" vertical="center"/>
    </xf>
    <xf numFmtId="173" fontId="26" fillId="0" borderId="0" xfId="0" applyNumberFormat="1" applyFont="1" applyAlignment="1">
      <alignment horizontal="right" vertical="center"/>
    </xf>
    <xf numFmtId="173" fontId="26" fillId="5" borderId="0" xfId="0" applyNumberFormat="1" applyFont="1" applyFill="1" applyAlignment="1">
      <alignment horizontal="right" vertical="center"/>
    </xf>
    <xf numFmtId="0" fontId="21" fillId="0" borderId="0" xfId="0" applyFont="1" applyAlignment="1">
      <alignment horizontal="center" vertical="center"/>
    </xf>
    <xf numFmtId="0" fontId="21" fillId="0" borderId="0" xfId="0" applyFont="1" applyAlignment="1">
      <alignment horizontal="left" vertical="center"/>
    </xf>
    <xf numFmtId="173" fontId="21" fillId="0" borderId="0" xfId="0" applyNumberFormat="1" applyFont="1" applyAlignment="1">
      <alignment horizontal="right" vertical="center"/>
    </xf>
    <xf numFmtId="0" fontId="31" fillId="0" borderId="0" xfId="0" applyFont="1" applyFill="1" applyAlignment="1">
      <alignment vertical="top"/>
    </xf>
    <xf numFmtId="0" fontId="21" fillId="19" borderId="0" xfId="0" applyFont="1" applyFill="1" applyAlignment="1" applyProtection="1">
      <alignment horizontal="center" vertical="center" wrapText="1"/>
    </xf>
    <xf numFmtId="0" fontId="21" fillId="17" borderId="0" xfId="0" applyFont="1" applyFill="1" applyAlignment="1" applyProtection="1">
      <alignment horizontal="left" vertical="center" wrapText="1"/>
    </xf>
    <xf numFmtId="3" fontId="17" fillId="13" borderId="6" xfId="2" applyNumberFormat="1" applyFont="1" applyFill="1" applyBorder="1" applyAlignment="1" applyProtection="1">
      <alignment horizontal="right" vertical="center" wrapText="1"/>
    </xf>
    <xf numFmtId="0" fontId="4" fillId="0" borderId="0" xfId="0" applyFont="1" applyFill="1" applyAlignment="1" applyProtection="1">
      <alignment vertical="center" wrapText="1"/>
      <protection locked="0"/>
    </xf>
    <xf numFmtId="0" fontId="5" fillId="14" borderId="10" xfId="0" applyFont="1" applyFill="1" applyBorder="1" applyAlignment="1" applyProtection="1"/>
    <xf numFmtId="3" fontId="1" fillId="0" borderId="13" xfId="0" applyNumberFormat="1" applyFont="1" applyBorder="1" applyAlignment="1">
      <alignment horizontal="center" vertical="center" wrapText="1"/>
    </xf>
    <xf numFmtId="41" fontId="14" fillId="0" borderId="0" xfId="14" applyFont="1"/>
    <xf numFmtId="3" fontId="1" fillId="0" borderId="0" xfId="0" applyNumberFormat="1" applyFont="1" applyBorder="1" applyAlignment="1" applyProtection="1">
      <alignment horizontal="center"/>
      <protection locked="0"/>
    </xf>
    <xf numFmtId="0" fontId="3" fillId="0" borderId="0" xfId="0" applyFont="1" applyFill="1" applyProtection="1">
      <protection locked="0"/>
    </xf>
    <xf numFmtId="0" fontId="3" fillId="0" borderId="0" xfId="0" applyFont="1" applyFill="1" applyAlignment="1" applyProtection="1">
      <alignment horizontal="center" vertical="center"/>
      <protection locked="0"/>
    </xf>
    <xf numFmtId="170" fontId="3" fillId="11" borderId="0" xfId="0" applyNumberFormat="1" applyFont="1" applyFill="1" applyBorder="1" applyAlignment="1" applyProtection="1">
      <alignment horizontal="center" vertical="center"/>
    </xf>
    <xf numFmtId="3" fontId="3" fillId="11" borderId="0" xfId="0" applyNumberFormat="1" applyFont="1" applyFill="1" applyBorder="1" applyAlignment="1" applyProtection="1">
      <alignment horizontal="center" vertical="center"/>
      <protection locked="0"/>
    </xf>
    <xf numFmtId="0" fontId="25" fillId="17" borderId="0" xfId="0" applyFont="1" applyFill="1" applyAlignment="1" applyProtection="1">
      <alignment horizontal="center" vertical="center" wrapText="1"/>
    </xf>
    <xf numFmtId="0" fontId="25" fillId="17" borderId="0" xfId="0" applyFont="1" applyFill="1" applyAlignment="1" applyProtection="1">
      <alignment horizontal="left" vertical="center" wrapText="1"/>
    </xf>
    <xf numFmtId="173" fontId="25" fillId="17" borderId="0" xfId="0" applyNumberFormat="1" applyFont="1" applyFill="1" applyAlignment="1" applyProtection="1">
      <alignment horizontal="right" vertical="center" wrapText="1"/>
    </xf>
    <xf numFmtId="3" fontId="17" fillId="13" borderId="6" xfId="2" applyNumberFormat="1" applyFont="1" applyFill="1" applyBorder="1" applyAlignment="1" applyProtection="1">
      <alignment vertical="center"/>
    </xf>
    <xf numFmtId="0" fontId="3" fillId="0" borderId="0" xfId="0" applyFont="1" applyFill="1"/>
    <xf numFmtId="0" fontId="3" fillId="10" borderId="0" xfId="0" applyFont="1" applyFill="1"/>
    <xf numFmtId="168" fontId="1" fillId="0" borderId="1" xfId="0" applyNumberFormat="1" applyFont="1" applyFill="1" applyBorder="1" applyAlignment="1" applyProtection="1">
      <alignment horizontal="right" vertical="center" wrapText="1"/>
    </xf>
    <xf numFmtId="172" fontId="2" fillId="5" borderId="36" xfId="7" applyNumberFormat="1" applyFont="1" applyFill="1" applyBorder="1" applyAlignment="1" applyProtection="1">
      <alignment horizontal="center" vertical="top" wrapText="1"/>
    </xf>
    <xf numFmtId="9" fontId="2" fillId="5" borderId="47" xfId="7" applyNumberFormat="1" applyFont="1" applyFill="1" applyBorder="1" applyAlignment="1" applyProtection="1">
      <alignment horizontal="center" vertical="top" wrapText="1"/>
    </xf>
    <xf numFmtId="0" fontId="25" fillId="19" borderId="0" xfId="0" applyFont="1" applyFill="1" applyAlignment="1" applyProtection="1">
      <alignment horizontal="center" vertical="center" wrapText="1"/>
    </xf>
    <xf numFmtId="0" fontId="18" fillId="0" borderId="0" xfId="0" applyFont="1" applyFill="1" applyAlignment="1">
      <alignment vertical="top"/>
    </xf>
    <xf numFmtId="0" fontId="1" fillId="0" borderId="0" xfId="0" applyFont="1" applyFill="1" applyAlignment="1" applyProtection="1">
      <alignment horizontal="left"/>
      <protection locked="0"/>
    </xf>
    <xf numFmtId="167" fontId="1" fillId="0" borderId="0" xfId="0" applyNumberFormat="1" applyFont="1" applyFill="1" applyAlignment="1" applyProtection="1">
      <alignment horizontal="left" vertical="center"/>
      <protection locked="0"/>
    </xf>
    <xf numFmtId="168" fontId="1" fillId="0" borderId="0" xfId="0" applyNumberFormat="1" applyFont="1" applyFill="1" applyAlignment="1" applyProtection="1">
      <alignment horizontal="left" vertical="center"/>
      <protection locked="0"/>
    </xf>
    <xf numFmtId="168" fontId="1" fillId="0" borderId="0" xfId="0" applyNumberFormat="1" applyFont="1" applyFill="1" applyProtection="1">
      <protection locked="0"/>
    </xf>
    <xf numFmtId="3" fontId="1" fillId="0" borderId="0" xfId="0" applyNumberFormat="1" applyFont="1" applyFill="1" applyAlignment="1" applyProtection="1">
      <alignment horizontal="center"/>
      <protection locked="0"/>
    </xf>
    <xf numFmtId="3" fontId="3" fillId="0" borderId="1" xfId="0" applyNumberFormat="1" applyFont="1" applyFill="1" applyBorder="1" applyAlignment="1">
      <alignment horizontal="right" vertical="top" wrapText="1"/>
    </xf>
    <xf numFmtId="0" fontId="24" fillId="0" borderId="16" xfId="0" applyFont="1" applyFill="1" applyBorder="1" applyAlignment="1">
      <alignment horizontal="left" vertical="top" wrapText="1"/>
    </xf>
    <xf numFmtId="167" fontId="24" fillId="0" borderId="1" xfId="0" applyNumberFormat="1" applyFont="1" applyFill="1" applyBorder="1" applyAlignment="1">
      <alignment horizontal="left" vertical="center" wrapText="1"/>
    </xf>
    <xf numFmtId="168" fontId="24" fillId="0" borderId="1" xfId="0" applyNumberFormat="1" applyFont="1" applyFill="1" applyBorder="1" applyAlignment="1">
      <alignment horizontal="left" vertical="center" wrapText="1"/>
    </xf>
    <xf numFmtId="168" fontId="24" fillId="0" borderId="1" xfId="0" applyNumberFormat="1" applyFont="1" applyFill="1" applyBorder="1" applyAlignment="1">
      <alignment vertical="top" wrapText="1"/>
    </xf>
    <xf numFmtId="3" fontId="3" fillId="0" borderId="1" xfId="0" applyNumberFormat="1" applyFont="1" applyFill="1" applyBorder="1"/>
    <xf numFmtId="41" fontId="3" fillId="0" borderId="1" xfId="14" applyFont="1" applyFill="1" applyBorder="1" applyAlignment="1">
      <alignment vertical="center" wrapText="1"/>
    </xf>
    <xf numFmtId="3" fontId="3" fillId="0" borderId="16" xfId="0" applyNumberFormat="1" applyFont="1" applyFill="1" applyBorder="1" applyAlignment="1">
      <alignment horizontal="right"/>
    </xf>
    <xf numFmtId="3" fontId="3" fillId="0" borderId="16" xfId="0" applyNumberFormat="1" applyFont="1" applyFill="1" applyBorder="1" applyAlignment="1">
      <alignment horizontal="right" vertical="top" wrapText="1"/>
    </xf>
    <xf numFmtId="9" fontId="0" fillId="0" borderId="0" xfId="0" applyNumberFormat="1"/>
    <xf numFmtId="1" fontId="0" fillId="11" borderId="0" xfId="0" applyNumberFormat="1" applyFill="1"/>
    <xf numFmtId="0" fontId="1" fillId="0" borderId="0" xfId="0" applyFont="1" applyFill="1" applyBorder="1" applyAlignment="1" applyProtection="1">
      <alignment horizontal="left"/>
      <protection locked="0"/>
    </xf>
    <xf numFmtId="167" fontId="1" fillId="0" borderId="0" xfId="0" applyNumberFormat="1" applyFont="1" applyFill="1" applyBorder="1" applyAlignment="1" applyProtection="1">
      <alignment horizontal="left" vertical="center"/>
      <protection locked="0"/>
    </xf>
    <xf numFmtId="168" fontId="1" fillId="0" borderId="0" xfId="0" applyNumberFormat="1" applyFont="1" applyFill="1" applyBorder="1" applyAlignment="1" applyProtection="1">
      <alignment horizontal="left" vertical="center"/>
      <protection locked="0"/>
    </xf>
    <xf numFmtId="3" fontId="1" fillId="0" borderId="0" xfId="0" applyNumberFormat="1" applyFont="1" applyFill="1" applyAlignment="1" applyProtection="1">
      <alignment horizontal="right"/>
      <protection locked="0"/>
    </xf>
    <xf numFmtId="3" fontId="1" fillId="0" borderId="0" xfId="7" applyNumberFormat="1" applyFont="1" applyFill="1" applyProtection="1">
      <protection locked="0"/>
    </xf>
    <xf numFmtId="3" fontId="1" fillId="0" borderId="0" xfId="7" applyNumberFormat="1" applyFont="1" applyFill="1" applyBorder="1" applyProtection="1">
      <protection locked="0"/>
    </xf>
    <xf numFmtId="169" fontId="10" fillId="0" borderId="0" xfId="1" applyNumberFormat="1" applyFont="1" applyFill="1" applyBorder="1" applyAlignment="1">
      <alignment horizontal="center" vertical="center" wrapText="1"/>
    </xf>
    <xf numFmtId="169" fontId="1" fillId="0" borderId="0" xfId="11" applyNumberFormat="1" applyFont="1" applyFill="1" applyBorder="1" applyAlignment="1">
      <alignment horizontal="right" vertical="center"/>
    </xf>
    <xf numFmtId="3" fontId="3" fillId="0" borderId="2" xfId="0" applyNumberFormat="1" applyFont="1" applyFill="1" applyBorder="1" applyAlignment="1">
      <alignment horizontal="right" vertical="top" wrapText="1"/>
    </xf>
    <xf numFmtId="172" fontId="17" fillId="13" borderId="18" xfId="2" applyNumberFormat="1" applyFont="1" applyFill="1" applyBorder="1" applyAlignment="1">
      <alignment horizontal="center" vertical="center"/>
    </xf>
    <xf numFmtId="41" fontId="17" fillId="13" borderId="18" xfId="14" applyFont="1" applyFill="1" applyBorder="1" applyAlignment="1">
      <alignment horizontal="center" vertical="center"/>
    </xf>
    <xf numFmtId="3" fontId="2" fillId="8" borderId="20" xfId="0" applyNumberFormat="1" applyFont="1" applyFill="1" applyBorder="1" applyAlignment="1">
      <alignment horizontal="center" vertical="center" wrapText="1"/>
    </xf>
    <xf numFmtId="3" fontId="2" fillId="8" borderId="21" xfId="0" applyNumberFormat="1" applyFont="1" applyFill="1" applyBorder="1" applyAlignment="1">
      <alignment horizontal="center" vertical="center" wrapText="1"/>
    </xf>
    <xf numFmtId="3" fontId="17" fillId="13" borderId="19" xfId="2" applyNumberFormat="1" applyFont="1" applyFill="1" applyBorder="1" applyAlignment="1">
      <alignment horizontal="right" vertical="center"/>
    </xf>
    <xf numFmtId="0" fontId="2" fillId="10" borderId="53" xfId="0" applyFont="1" applyFill="1" applyBorder="1" applyAlignment="1"/>
    <xf numFmtId="0" fontId="2" fillId="10" borderId="54" xfId="0" applyFont="1" applyFill="1" applyBorder="1" applyAlignment="1"/>
    <xf numFmtId="0" fontId="19" fillId="17" borderId="0" xfId="0" applyFont="1" applyFill="1" applyAlignment="1" applyProtection="1">
      <alignment horizontal="center" vertical="center"/>
    </xf>
    <xf numFmtId="0" fontId="16" fillId="12" borderId="0" xfId="1" applyFont="1" applyFill="1" applyBorder="1" applyAlignment="1">
      <alignment horizontal="center"/>
    </xf>
    <xf numFmtId="0" fontId="16" fillId="12" borderId="28" xfId="1" applyFont="1" applyFill="1" applyBorder="1" applyAlignment="1">
      <alignment horizontal="center"/>
    </xf>
    <xf numFmtId="168" fontId="1" fillId="0" borderId="1" xfId="0" applyNumberFormat="1" applyFont="1" applyFill="1" applyBorder="1" applyAlignment="1" applyProtection="1">
      <alignment horizontal="left" vertical="center" wrapText="1"/>
    </xf>
    <xf numFmtId="0" fontId="19" fillId="17" borderId="0" xfId="0" applyFont="1" applyFill="1" applyAlignment="1" applyProtection="1">
      <alignment horizontal="left" vertical="center" wrapText="1"/>
    </xf>
    <xf numFmtId="173" fontId="25" fillId="17" borderId="0" xfId="0" applyNumberFormat="1" applyFont="1" applyFill="1" applyAlignment="1" applyProtection="1">
      <alignment horizontal="right" vertical="center"/>
    </xf>
    <xf numFmtId="0" fontId="24" fillId="0" borderId="16" xfId="0" applyFont="1" applyFill="1" applyBorder="1" applyAlignment="1" applyProtection="1">
      <alignment horizontal="left" vertical="top" wrapText="1"/>
    </xf>
    <xf numFmtId="167" fontId="24" fillId="0" borderId="1" xfId="0" applyNumberFormat="1" applyFont="1" applyFill="1" applyBorder="1" applyAlignment="1" applyProtection="1">
      <alignment horizontal="left" vertical="center" wrapText="1"/>
    </xf>
    <xf numFmtId="168" fontId="3" fillId="0" borderId="1" xfId="0" applyNumberFormat="1" applyFont="1" applyFill="1" applyBorder="1" applyProtection="1"/>
    <xf numFmtId="1" fontId="2" fillId="5" borderId="1" xfId="7" applyNumberFormat="1" applyFont="1" applyFill="1" applyBorder="1" applyAlignment="1" applyProtection="1">
      <alignment horizontal="right" vertical="top" wrapText="1"/>
    </xf>
    <xf numFmtId="167" fontId="18" fillId="0" borderId="1" xfId="0" applyNumberFormat="1" applyFont="1" applyFill="1" applyBorder="1" applyAlignment="1" applyProtection="1">
      <alignment horizontal="left" vertical="center" wrapText="1"/>
    </xf>
    <xf numFmtId="168" fontId="3" fillId="0" borderId="1" xfId="0" applyNumberFormat="1" applyFont="1" applyFill="1" applyBorder="1" applyAlignment="1" applyProtection="1">
      <alignment horizontal="right" vertical="top" wrapText="1"/>
    </xf>
    <xf numFmtId="172" fontId="1" fillId="0" borderId="36" xfId="7" applyNumberFormat="1" applyFont="1" applyFill="1" applyBorder="1" applyAlignment="1" applyProtection="1">
      <alignment horizontal="center" vertical="center" wrapText="1"/>
    </xf>
    <xf numFmtId="172" fontId="2" fillId="5" borderId="36" xfId="7" applyNumberFormat="1" applyFont="1" applyFill="1" applyBorder="1" applyAlignment="1" applyProtection="1">
      <alignment horizontal="center" vertical="center" wrapText="1"/>
    </xf>
    <xf numFmtId="3" fontId="2" fillId="5" borderId="23" xfId="0" applyNumberFormat="1" applyFont="1" applyFill="1" applyBorder="1" applyAlignment="1">
      <alignment horizontal="right" vertical="top" wrapText="1"/>
    </xf>
    <xf numFmtId="3" fontId="2" fillId="8" borderId="3" xfId="0" applyNumberFormat="1" applyFont="1" applyFill="1" applyBorder="1" applyAlignment="1">
      <alignment horizontal="center" vertical="center" wrapText="1"/>
    </xf>
    <xf numFmtId="3" fontId="1" fillId="0" borderId="10" xfId="0" applyNumberFormat="1" applyFont="1" applyBorder="1" applyAlignment="1">
      <alignment horizontal="center" vertical="center" wrapText="1"/>
    </xf>
    <xf numFmtId="3" fontId="3" fillId="0" borderId="16" xfId="0" applyNumberFormat="1" applyFont="1" applyFill="1" applyBorder="1"/>
    <xf numFmtId="3" fontId="2" fillId="5" borderId="57" xfId="0" applyNumberFormat="1" applyFont="1" applyFill="1" applyBorder="1"/>
    <xf numFmtId="3" fontId="2" fillId="5" borderId="57" xfId="0" applyNumberFormat="1" applyFont="1" applyFill="1" applyBorder="1" applyAlignment="1" applyProtection="1">
      <alignment horizontal="right" vertical="top" wrapText="1"/>
    </xf>
    <xf numFmtId="0" fontId="17" fillId="13" borderId="34" xfId="2" applyFont="1" applyFill="1" applyBorder="1" applyAlignment="1" applyProtection="1">
      <alignment horizontal="center" vertical="center"/>
    </xf>
    <xf numFmtId="3" fontId="2" fillId="5" borderId="2" xfId="0" applyNumberFormat="1" applyFont="1" applyFill="1" applyBorder="1" applyAlignment="1" applyProtection="1">
      <alignment horizontal="right" vertical="center" wrapText="1"/>
    </xf>
    <xf numFmtId="3" fontId="2" fillId="5" borderId="16" xfId="0" applyNumberFormat="1" applyFont="1" applyFill="1" applyBorder="1" applyAlignment="1" applyProtection="1">
      <alignment horizontal="right" vertical="center" wrapText="1"/>
    </xf>
    <xf numFmtId="3" fontId="1" fillId="0" borderId="12" xfId="0" applyNumberFormat="1" applyFont="1" applyBorder="1" applyAlignment="1">
      <alignment horizontal="center" vertical="center" wrapText="1"/>
    </xf>
    <xf numFmtId="0" fontId="1" fillId="0" borderId="0" xfId="0" applyFont="1" applyFill="1" applyAlignment="1" applyProtection="1">
      <alignment vertical="center"/>
      <protection locked="0"/>
    </xf>
    <xf numFmtId="3" fontId="1" fillId="0" borderId="25" xfId="0" applyNumberFormat="1" applyFont="1" applyBorder="1" applyAlignment="1">
      <alignment horizontal="center" vertical="center" wrapText="1"/>
    </xf>
    <xf numFmtId="3" fontId="2" fillId="0" borderId="5" xfId="0" applyNumberFormat="1" applyFont="1" applyBorder="1" applyProtection="1">
      <protection locked="0"/>
    </xf>
    <xf numFmtId="3" fontId="2" fillId="0" borderId="38" xfId="0" applyNumberFormat="1" applyFont="1" applyBorder="1" applyProtection="1">
      <protection locked="0"/>
    </xf>
    <xf numFmtId="0" fontId="32" fillId="16" borderId="9" xfId="0" applyFont="1" applyFill="1" applyBorder="1" applyAlignment="1" applyProtection="1">
      <alignment horizontal="center" vertical="center"/>
      <protection locked="0"/>
    </xf>
    <xf numFmtId="0" fontId="1" fillId="0" borderId="59" xfId="0" applyFont="1" applyBorder="1" applyProtection="1">
      <protection locked="0"/>
    </xf>
    <xf numFmtId="0" fontId="1" fillId="0" borderId="51" xfId="0" applyFont="1" applyBorder="1" applyProtection="1">
      <protection locked="0"/>
    </xf>
    <xf numFmtId="0" fontId="1" fillId="0" borderId="52" xfId="0" applyFont="1" applyBorder="1" applyProtection="1">
      <protection locked="0"/>
    </xf>
    <xf numFmtId="0" fontId="32" fillId="16" borderId="22" xfId="0" applyFont="1" applyFill="1" applyBorder="1" applyAlignment="1" applyProtection="1">
      <alignment horizontal="center" vertical="center"/>
      <protection locked="0"/>
    </xf>
    <xf numFmtId="0" fontId="1" fillId="0" borderId="26" xfId="0" applyFont="1" applyBorder="1" applyProtection="1">
      <protection locked="0"/>
    </xf>
    <xf numFmtId="3" fontId="32" fillId="16" borderId="10" xfId="0" applyNumberFormat="1" applyFont="1" applyFill="1" applyBorder="1" applyAlignment="1" applyProtection="1">
      <alignment horizontal="center" vertical="center" wrapText="1"/>
      <protection locked="0"/>
    </xf>
    <xf numFmtId="3" fontId="1" fillId="0" borderId="49" xfId="0" applyNumberFormat="1" applyFont="1" applyBorder="1" applyProtection="1">
      <protection locked="0"/>
    </xf>
    <xf numFmtId="3" fontId="32" fillId="16" borderId="9" xfId="0" applyNumberFormat="1" applyFont="1" applyFill="1" applyBorder="1" applyAlignment="1" applyProtection="1">
      <alignment horizontal="center" vertical="center" wrapText="1"/>
      <protection locked="0"/>
    </xf>
    <xf numFmtId="3" fontId="1" fillId="0" borderId="59" xfId="0" applyNumberFormat="1" applyFont="1" applyBorder="1" applyProtection="1">
      <protection locked="0"/>
    </xf>
    <xf numFmtId="3" fontId="1" fillId="0" borderId="32" xfId="0" applyNumberFormat="1" applyFont="1" applyBorder="1" applyProtection="1">
      <protection locked="0"/>
    </xf>
    <xf numFmtId="3" fontId="2" fillId="0" borderId="46" xfId="0" applyNumberFormat="1" applyFont="1" applyBorder="1" applyProtection="1">
      <protection locked="0"/>
    </xf>
    <xf numFmtId="3" fontId="2" fillId="0" borderId="52" xfId="0" applyNumberFormat="1" applyFont="1" applyBorder="1" applyProtection="1">
      <protection locked="0"/>
    </xf>
    <xf numFmtId="0" fontId="2" fillId="0" borderId="0" xfId="0" applyFont="1" applyFill="1" applyAlignment="1" applyProtection="1">
      <alignment horizontal="center" vertical="center"/>
      <protection locked="0"/>
    </xf>
    <xf numFmtId="0" fontId="2" fillId="0" borderId="0" xfId="0" applyFont="1" applyFill="1" applyAlignment="1" applyProtection="1">
      <alignment vertical="center"/>
      <protection locked="0"/>
    </xf>
    <xf numFmtId="0" fontId="17" fillId="13" borderId="15" xfId="2" applyFont="1" applyFill="1" applyBorder="1" applyAlignment="1" applyProtection="1">
      <alignment vertical="center"/>
    </xf>
    <xf numFmtId="167" fontId="17" fillId="13" borderId="6" xfId="2" applyNumberFormat="1" applyFont="1" applyFill="1" applyBorder="1" applyAlignment="1" applyProtection="1">
      <alignment vertical="center"/>
    </xf>
    <xf numFmtId="168" fontId="17" fillId="13" borderId="6" xfId="2" applyNumberFormat="1" applyFont="1" applyFill="1" applyBorder="1" applyAlignment="1" applyProtection="1">
      <alignment vertical="center"/>
    </xf>
    <xf numFmtId="3" fontId="4" fillId="2" borderId="15" xfId="0" applyNumberFormat="1" applyFont="1" applyFill="1" applyBorder="1" applyAlignment="1">
      <alignment vertical="center"/>
    </xf>
    <xf numFmtId="0" fontId="3" fillId="0" borderId="0" xfId="0" applyFont="1" applyFill="1" applyAlignment="1">
      <alignment vertical="center"/>
    </xf>
    <xf numFmtId="0" fontId="1" fillId="0" borderId="0" xfId="0" applyFont="1" applyFill="1" applyAlignment="1">
      <alignment vertical="center"/>
    </xf>
    <xf numFmtId="3" fontId="24" fillId="5" borderId="1" xfId="0" applyNumberFormat="1" applyFont="1" applyFill="1" applyBorder="1" applyAlignment="1" applyProtection="1">
      <alignment horizontal="right" vertical="center" wrapText="1"/>
    </xf>
    <xf numFmtId="3" fontId="24" fillId="5" borderId="16" xfId="0" applyNumberFormat="1" applyFont="1" applyFill="1" applyBorder="1" applyAlignment="1" applyProtection="1">
      <alignment horizontal="right" vertical="center"/>
    </xf>
    <xf numFmtId="3" fontId="24" fillId="5" borderId="1" xfId="0" applyNumberFormat="1" applyFont="1" applyFill="1" applyBorder="1" applyAlignment="1" applyProtection="1">
      <alignment horizontal="right" vertical="center"/>
    </xf>
    <xf numFmtId="3" fontId="24" fillId="5" borderId="36" xfId="0" applyNumberFormat="1" applyFont="1" applyFill="1" applyBorder="1" applyAlignment="1" applyProtection="1">
      <alignment horizontal="right" vertical="center" wrapText="1"/>
    </xf>
    <xf numFmtId="3" fontId="24" fillId="5" borderId="16" xfId="0" applyNumberFormat="1" applyFont="1" applyFill="1" applyBorder="1" applyAlignment="1" applyProtection="1">
      <alignment horizontal="right" vertical="center" wrapText="1"/>
    </xf>
    <xf numFmtId="3" fontId="24" fillId="5" borderId="23" xfId="0" applyNumberFormat="1" applyFont="1" applyFill="1" applyBorder="1" applyAlignment="1" applyProtection="1">
      <alignment horizontal="right" vertical="center" wrapText="1"/>
    </xf>
    <xf numFmtId="3" fontId="24" fillId="5" borderId="57" xfId="0" applyNumberFormat="1" applyFont="1" applyFill="1" applyBorder="1" applyAlignment="1" applyProtection="1">
      <alignment horizontal="right" vertical="center"/>
      <protection locked="0"/>
    </xf>
    <xf numFmtId="3" fontId="24" fillId="5" borderId="23" xfId="0" applyNumberFormat="1" applyFont="1" applyFill="1" applyBorder="1" applyAlignment="1" applyProtection="1">
      <alignment horizontal="right" vertical="center"/>
      <protection locked="0"/>
    </xf>
    <xf numFmtId="0" fontId="24" fillId="5" borderId="16" xfId="0" applyFont="1" applyFill="1" applyBorder="1" applyAlignment="1" applyProtection="1">
      <alignment horizontal="left" vertical="center" wrapText="1"/>
    </xf>
    <xf numFmtId="3" fontId="24" fillId="5" borderId="16" xfId="0" applyNumberFormat="1" applyFont="1" applyFill="1" applyBorder="1" applyAlignment="1" applyProtection="1">
      <alignment vertical="center"/>
    </xf>
    <xf numFmtId="3" fontId="24" fillId="5" borderId="1" xfId="0" applyNumberFormat="1" applyFont="1" applyFill="1" applyBorder="1" applyAlignment="1" applyProtection="1">
      <alignment vertical="center"/>
    </xf>
    <xf numFmtId="3" fontId="24" fillId="5" borderId="23" xfId="0" applyNumberFormat="1" applyFont="1" applyFill="1" applyBorder="1" applyAlignment="1" applyProtection="1">
      <alignment vertical="center"/>
    </xf>
    <xf numFmtId="3" fontId="2" fillId="5" borderId="36" xfId="0" applyNumberFormat="1" applyFont="1" applyFill="1" applyBorder="1" applyAlignment="1" applyProtection="1">
      <alignment horizontal="right" vertical="center" wrapText="1"/>
    </xf>
    <xf numFmtId="3" fontId="2" fillId="5" borderId="57" xfId="0" applyNumberFormat="1" applyFont="1" applyFill="1" applyBorder="1" applyAlignment="1" applyProtection="1">
      <alignment horizontal="right" vertical="center" wrapText="1"/>
    </xf>
    <xf numFmtId="3" fontId="1" fillId="0" borderId="16" xfId="0" applyNumberFormat="1" applyFont="1" applyFill="1" applyBorder="1" applyAlignment="1" applyProtection="1">
      <alignment horizontal="right" vertical="center" wrapText="1"/>
    </xf>
    <xf numFmtId="3" fontId="1" fillId="0" borderId="1" xfId="0" applyNumberFormat="1" applyFont="1" applyFill="1" applyBorder="1" applyAlignment="1" applyProtection="1">
      <alignment horizontal="right" vertical="center" wrapText="1"/>
    </xf>
    <xf numFmtId="3" fontId="24" fillId="5" borderId="36" xfId="0" applyNumberFormat="1" applyFont="1" applyFill="1" applyBorder="1" applyAlignment="1" applyProtection="1">
      <alignment vertical="center"/>
      <protection locked="0"/>
    </xf>
    <xf numFmtId="3" fontId="24" fillId="5" borderId="16" xfId="0" applyNumberFormat="1" applyFont="1" applyFill="1" applyBorder="1" applyAlignment="1" applyProtection="1">
      <alignment vertical="center"/>
      <protection locked="0"/>
    </xf>
    <xf numFmtId="3" fontId="24" fillId="5" borderId="23" xfId="0" applyNumberFormat="1" applyFont="1" applyFill="1" applyBorder="1" applyAlignment="1" applyProtection="1">
      <alignment vertical="center"/>
      <protection locked="0"/>
    </xf>
    <xf numFmtId="168" fontId="1" fillId="0" borderId="1" xfId="0" applyNumberFormat="1" applyFont="1" applyFill="1" applyBorder="1" applyAlignment="1" applyProtection="1">
      <alignment horizontal="center" vertical="center" wrapText="1"/>
    </xf>
    <xf numFmtId="0" fontId="4" fillId="8" borderId="27" xfId="0" applyFont="1" applyFill="1" applyBorder="1" applyAlignment="1" applyProtection="1">
      <alignment horizontal="center"/>
    </xf>
    <xf numFmtId="0" fontId="26" fillId="0" borderId="0" xfId="0" applyFont="1" applyAlignment="1"/>
    <xf numFmtId="0" fontId="21" fillId="6" borderId="0" xfId="0" applyFont="1" applyFill="1" applyAlignment="1" applyProtection="1">
      <alignment horizontal="center" vertical="center"/>
    </xf>
    <xf numFmtId="0" fontId="21" fillId="19" borderId="0" xfId="0" applyFont="1" applyFill="1" applyAlignment="1" applyProtection="1">
      <alignment horizontal="center" vertical="center"/>
    </xf>
    <xf numFmtId="0" fontId="21" fillId="0" borderId="0" xfId="0" applyFont="1" applyAlignment="1" applyProtection="1">
      <alignment horizontal="center" vertical="center"/>
    </xf>
    <xf numFmtId="0" fontId="21" fillId="0" borderId="0" xfId="0" applyFont="1" applyAlignment="1" applyProtection="1">
      <alignment horizontal="left" vertical="center"/>
    </xf>
    <xf numFmtId="173" fontId="21" fillId="0" borderId="0" xfId="0" applyNumberFormat="1" applyFont="1" applyAlignment="1" applyProtection="1">
      <alignment horizontal="right" vertical="center"/>
    </xf>
    <xf numFmtId="41" fontId="26" fillId="0" borderId="0" xfId="14" applyFont="1" applyAlignment="1"/>
    <xf numFmtId="0" fontId="21" fillId="0" borderId="0" xfId="0" applyFont="1" applyAlignment="1" applyProtection="1">
      <alignment horizontal="center" vertical="center" wrapText="1"/>
    </xf>
    <xf numFmtId="0" fontId="26" fillId="6" borderId="0" xfId="0" applyFont="1" applyFill="1" applyAlignment="1">
      <alignment horizontal="left" vertical="center"/>
    </xf>
    <xf numFmtId="173" fontId="26" fillId="6" borderId="0" xfId="0" applyNumberFormat="1" applyFont="1" applyFill="1" applyAlignment="1">
      <alignment horizontal="right" vertical="center"/>
    </xf>
    <xf numFmtId="0" fontId="21" fillId="0" borderId="0" xfId="0" applyFont="1" applyAlignment="1"/>
    <xf numFmtId="0" fontId="26" fillId="5" borderId="0" xfId="0" applyFont="1" applyFill="1" applyAlignment="1"/>
    <xf numFmtId="41" fontId="26" fillId="0" borderId="0" xfId="0" applyNumberFormat="1" applyFont="1" applyAlignment="1"/>
    <xf numFmtId="168" fontId="24" fillId="5" borderId="1" xfId="0" applyNumberFormat="1" applyFont="1" applyFill="1" applyBorder="1" applyAlignment="1" applyProtection="1">
      <alignment vertical="center" wrapText="1"/>
    </xf>
    <xf numFmtId="3" fontId="24" fillId="5" borderId="57" xfId="0" applyNumberFormat="1" applyFont="1" applyFill="1" applyBorder="1" applyAlignment="1" applyProtection="1">
      <alignment vertical="center"/>
      <protection locked="0"/>
    </xf>
    <xf numFmtId="3" fontId="24" fillId="5" borderId="57" xfId="0" applyNumberFormat="1" applyFont="1" applyFill="1" applyBorder="1" applyAlignment="1" applyProtection="1">
      <alignment horizontal="right" vertical="center" wrapText="1"/>
    </xf>
    <xf numFmtId="0" fontId="1" fillId="0" borderId="16" xfId="0" applyFont="1" applyFill="1" applyBorder="1" applyAlignment="1" applyProtection="1">
      <alignment horizontal="left" vertical="center" wrapText="1"/>
    </xf>
    <xf numFmtId="3" fontId="1" fillId="0" borderId="2" xfId="0" applyNumberFormat="1" applyFont="1" applyFill="1" applyBorder="1" applyAlignment="1" applyProtection="1">
      <alignment vertical="center"/>
      <protection locked="0"/>
    </xf>
    <xf numFmtId="3" fontId="1" fillId="0" borderId="36" xfId="0" applyNumberFormat="1" applyFont="1" applyFill="1" applyBorder="1" applyAlignment="1" applyProtection="1">
      <alignment vertical="center"/>
      <protection locked="0"/>
    </xf>
    <xf numFmtId="3" fontId="1" fillId="0" borderId="16" xfId="0" applyNumberFormat="1" applyFont="1" applyFill="1" applyBorder="1" applyAlignment="1" applyProtection="1">
      <alignment vertical="center"/>
      <protection locked="0"/>
    </xf>
    <xf numFmtId="3" fontId="1" fillId="0" borderId="23" xfId="0" applyNumberFormat="1" applyFont="1" applyFill="1" applyBorder="1" applyAlignment="1" applyProtection="1">
      <alignment vertical="center"/>
      <protection locked="0"/>
    </xf>
    <xf numFmtId="3" fontId="1" fillId="0" borderId="57" xfId="0" applyNumberFormat="1" applyFont="1" applyFill="1" applyBorder="1" applyAlignment="1" applyProtection="1">
      <alignment vertical="center"/>
      <protection locked="0"/>
    </xf>
    <xf numFmtId="3" fontId="3" fillId="0" borderId="1" xfId="0" applyNumberFormat="1" applyFont="1" applyFill="1" applyBorder="1" applyAlignment="1" applyProtection="1">
      <alignment horizontal="right" vertical="center" wrapText="1"/>
    </xf>
    <xf numFmtId="3" fontId="2" fillId="5" borderId="36" xfId="0" applyNumberFormat="1" applyFont="1" applyFill="1" applyBorder="1" applyAlignment="1" applyProtection="1">
      <alignment vertical="center"/>
      <protection locked="0"/>
    </xf>
    <xf numFmtId="3" fontId="2" fillId="5" borderId="16" xfId="0" applyNumberFormat="1" applyFont="1" applyFill="1" applyBorder="1" applyAlignment="1" applyProtection="1">
      <alignment vertical="center"/>
      <protection locked="0"/>
    </xf>
    <xf numFmtId="3" fontId="2" fillId="5" borderId="2" xfId="0" applyNumberFormat="1" applyFont="1" applyFill="1" applyBorder="1" applyAlignment="1" applyProtection="1">
      <alignment vertical="center"/>
      <protection locked="0"/>
    </xf>
    <xf numFmtId="0" fontId="24" fillId="0" borderId="0" xfId="0" applyFont="1" applyFill="1" applyAlignment="1" applyProtection="1">
      <alignment vertical="center"/>
      <protection locked="0"/>
    </xf>
    <xf numFmtId="3" fontId="24" fillId="5" borderId="51" xfId="0" applyNumberFormat="1" applyFont="1" applyFill="1" applyBorder="1" applyAlignment="1" applyProtection="1">
      <alignment horizontal="right" vertical="center" wrapText="1"/>
    </xf>
    <xf numFmtId="3" fontId="24" fillId="5" borderId="51" xfId="0" applyNumberFormat="1" applyFont="1" applyFill="1" applyBorder="1" applyAlignment="1" applyProtection="1">
      <alignment vertical="center"/>
      <protection locked="0"/>
    </xf>
    <xf numFmtId="168" fontId="1" fillId="0" borderId="1" xfId="0" applyNumberFormat="1" applyFont="1" applyFill="1" applyBorder="1" applyAlignment="1" applyProtection="1">
      <alignment vertical="center" wrapText="1"/>
    </xf>
    <xf numFmtId="168" fontId="1" fillId="0" borderId="1" xfId="0" quotePrefix="1" applyNumberFormat="1" applyFont="1" applyFill="1" applyBorder="1" applyAlignment="1" applyProtection="1">
      <alignment vertical="center" wrapText="1"/>
    </xf>
    <xf numFmtId="3" fontId="3" fillId="0" borderId="16" xfId="0" applyNumberFormat="1" applyFont="1" applyFill="1" applyBorder="1" applyAlignment="1" applyProtection="1">
      <alignment vertical="center"/>
    </xf>
    <xf numFmtId="0" fontId="24" fillId="5" borderId="17" xfId="0" applyFont="1" applyFill="1" applyBorder="1" applyAlignment="1" applyProtection="1">
      <alignment horizontal="left" vertical="center" wrapText="1"/>
    </xf>
    <xf numFmtId="168" fontId="24" fillId="5" borderId="3" xfId="0" applyNumberFormat="1" applyFont="1" applyFill="1" applyBorder="1" applyAlignment="1" applyProtection="1">
      <alignment vertical="center" wrapText="1"/>
    </xf>
    <xf numFmtId="3" fontId="24" fillId="5" borderId="3" xfId="0" applyNumberFormat="1" applyFont="1" applyFill="1" applyBorder="1" applyAlignment="1" applyProtection="1">
      <alignment horizontal="right" vertical="center" wrapText="1"/>
    </xf>
    <xf numFmtId="3" fontId="24" fillId="5" borderId="17" xfId="0" applyNumberFormat="1" applyFont="1" applyFill="1" applyBorder="1" applyAlignment="1" applyProtection="1">
      <alignment vertical="center"/>
    </xf>
    <xf numFmtId="3" fontId="24" fillId="5" borderId="3" xfId="0" applyNumberFormat="1" applyFont="1" applyFill="1" applyBorder="1" applyAlignment="1" applyProtection="1">
      <alignment vertical="center"/>
    </xf>
    <xf numFmtId="3" fontId="24" fillId="5" borderId="17" xfId="0" applyNumberFormat="1" applyFont="1" applyFill="1" applyBorder="1" applyAlignment="1" applyProtection="1">
      <alignment vertical="center"/>
      <protection locked="0"/>
    </xf>
    <xf numFmtId="3" fontId="24" fillId="5" borderId="39" xfId="0" applyNumberFormat="1" applyFont="1" applyFill="1" applyBorder="1" applyAlignment="1" applyProtection="1">
      <alignment vertical="center"/>
      <protection locked="0"/>
    </xf>
    <xf numFmtId="168" fontId="3" fillId="0" borderId="1" xfId="0" applyNumberFormat="1" applyFont="1" applyFill="1" applyBorder="1" applyAlignment="1" applyProtection="1">
      <alignment vertical="center" wrapText="1"/>
    </xf>
    <xf numFmtId="0" fontId="13" fillId="0" borderId="0" xfId="0" applyFont="1" applyFill="1" applyAlignment="1" applyProtection="1">
      <alignment vertical="center"/>
      <protection locked="0"/>
    </xf>
    <xf numFmtId="3" fontId="2" fillId="5" borderId="57" xfId="0" applyNumberFormat="1" applyFont="1" applyFill="1" applyBorder="1" applyAlignment="1" applyProtection="1">
      <alignment horizontal="right" vertical="center"/>
      <protection locked="0"/>
    </xf>
    <xf numFmtId="3" fontId="2" fillId="5" borderId="57" xfId="0" applyNumberFormat="1" applyFont="1" applyFill="1" applyBorder="1" applyAlignment="1" applyProtection="1">
      <alignment vertical="center"/>
      <protection locked="0"/>
    </xf>
    <xf numFmtId="0" fontId="3" fillId="0" borderId="16" xfId="0" applyFont="1" applyFill="1" applyBorder="1" applyAlignment="1" applyProtection="1">
      <alignment horizontal="left" vertical="center" wrapText="1"/>
    </xf>
    <xf numFmtId="3" fontId="3" fillId="0" borderId="16" xfId="0" applyNumberFormat="1" applyFont="1" applyFill="1" applyBorder="1" applyAlignment="1" applyProtection="1">
      <alignment horizontal="right" vertical="center" wrapText="1"/>
    </xf>
    <xf numFmtId="168" fontId="3" fillId="5" borderId="1" xfId="0" applyNumberFormat="1" applyFont="1" applyFill="1" applyBorder="1" applyAlignment="1" applyProtection="1">
      <alignment vertical="center" wrapText="1"/>
    </xf>
    <xf numFmtId="0" fontId="24" fillId="5" borderId="16" xfId="0" applyFont="1" applyFill="1" applyBorder="1" applyAlignment="1" applyProtection="1">
      <alignment horizontal="left" vertical="center"/>
    </xf>
    <xf numFmtId="168" fontId="3" fillId="5" borderId="1" xfId="0" applyNumberFormat="1" applyFont="1" applyFill="1" applyBorder="1" applyAlignment="1" applyProtection="1">
      <alignment vertical="center"/>
    </xf>
    <xf numFmtId="0" fontId="24" fillId="5" borderId="36" xfId="0" applyFont="1" applyFill="1" applyBorder="1" applyAlignment="1" applyProtection="1">
      <alignment vertical="center"/>
    </xf>
    <xf numFmtId="3" fontId="1" fillId="0" borderId="1" xfId="8" applyNumberFormat="1" applyFont="1" applyFill="1" applyBorder="1" applyAlignment="1" applyProtection="1">
      <alignment horizontal="right" vertical="center"/>
      <protection locked="0"/>
    </xf>
    <xf numFmtId="3" fontId="2" fillId="5" borderId="51" xfId="0" applyNumberFormat="1" applyFont="1" applyFill="1" applyBorder="1" applyAlignment="1" applyProtection="1">
      <alignment vertical="center"/>
      <protection locked="0"/>
    </xf>
    <xf numFmtId="3" fontId="2" fillId="5" borderId="51" xfId="0" applyNumberFormat="1" applyFont="1" applyFill="1" applyBorder="1" applyAlignment="1" applyProtection="1">
      <alignment horizontal="right" vertical="center" wrapText="1"/>
    </xf>
    <xf numFmtId="0" fontId="1" fillId="11" borderId="0" xfId="0" applyFont="1" applyFill="1" applyAlignment="1" applyProtection="1">
      <alignment vertical="center"/>
      <protection locked="0"/>
    </xf>
    <xf numFmtId="3" fontId="24" fillId="5" borderId="18" xfId="0" applyNumberFormat="1" applyFont="1" applyFill="1" applyBorder="1" applyAlignment="1" applyProtection="1">
      <alignment vertical="center"/>
    </xf>
    <xf numFmtId="168" fontId="3" fillId="5" borderId="3" xfId="0" applyNumberFormat="1" applyFont="1" applyFill="1" applyBorder="1" applyAlignment="1" applyProtection="1">
      <alignment vertical="center" wrapText="1"/>
    </xf>
    <xf numFmtId="3" fontId="24" fillId="5" borderId="17" xfId="0" applyNumberFormat="1" applyFont="1" applyFill="1" applyBorder="1" applyAlignment="1" applyProtection="1">
      <alignment horizontal="right" vertical="center" wrapText="1"/>
    </xf>
    <xf numFmtId="3" fontId="2" fillId="5" borderId="8" xfId="0" applyNumberFormat="1" applyFont="1" applyFill="1" applyBorder="1" applyAlignment="1" applyProtection="1">
      <alignment vertical="center"/>
      <protection locked="0"/>
    </xf>
    <xf numFmtId="3" fontId="2" fillId="5" borderId="17" xfId="0" applyNumberFormat="1" applyFont="1" applyFill="1" applyBorder="1" applyAlignment="1" applyProtection="1">
      <alignment vertical="center"/>
      <protection locked="0"/>
    </xf>
    <xf numFmtId="168" fontId="24" fillId="0" borderId="1" xfId="0" applyNumberFormat="1" applyFont="1" applyFill="1" applyBorder="1" applyAlignment="1" applyProtection="1">
      <alignment vertical="top" wrapText="1"/>
    </xf>
    <xf numFmtId="0" fontId="2" fillId="0" borderId="0" xfId="0" applyFont="1" applyFill="1"/>
    <xf numFmtId="49" fontId="24" fillId="0" borderId="1" xfId="0" applyNumberFormat="1" applyFont="1" applyFill="1" applyBorder="1" applyAlignment="1">
      <alignment horizontal="left" vertical="center" wrapText="1"/>
    </xf>
    <xf numFmtId="168" fontId="24"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right" vertical="center" wrapText="1"/>
    </xf>
    <xf numFmtId="168" fontId="24" fillId="0" borderId="1" xfId="0" applyNumberFormat="1" applyFont="1" applyFill="1" applyBorder="1" applyAlignment="1">
      <alignment horizontal="right" vertical="center" wrapText="1"/>
    </xf>
    <xf numFmtId="167" fontId="24" fillId="0" borderId="1" xfId="0" applyNumberFormat="1" applyFont="1" applyFill="1" applyBorder="1" applyAlignment="1">
      <alignment horizontal="center" vertical="top" wrapText="1"/>
    </xf>
    <xf numFmtId="49" fontId="24" fillId="0" borderId="1" xfId="0" applyNumberFormat="1" applyFont="1" applyFill="1" applyBorder="1" applyAlignment="1">
      <alignment horizontal="left" vertical="top" wrapText="1"/>
    </xf>
    <xf numFmtId="0" fontId="24" fillId="0" borderId="17" xfId="0" applyFont="1" applyFill="1" applyBorder="1" applyAlignment="1">
      <alignment horizontal="left" vertical="top" wrapText="1"/>
    </xf>
    <xf numFmtId="167" fontId="24" fillId="0" borderId="3" xfId="0" applyNumberFormat="1" applyFont="1" applyFill="1" applyBorder="1" applyAlignment="1">
      <alignment horizontal="left" vertical="center" wrapText="1"/>
    </xf>
    <xf numFmtId="168" fontId="24" fillId="0" borderId="3" xfId="0" applyNumberFormat="1" applyFont="1" applyFill="1" applyBorder="1" applyAlignment="1">
      <alignment horizontal="left" vertical="center" wrapText="1"/>
    </xf>
    <xf numFmtId="168" fontId="24" fillId="0" borderId="3" xfId="0" applyNumberFormat="1" applyFont="1" applyFill="1" applyBorder="1" applyAlignment="1">
      <alignment vertical="top" wrapText="1"/>
    </xf>
    <xf numFmtId="3" fontId="3" fillId="0" borderId="3" xfId="0" applyNumberFormat="1" applyFont="1" applyFill="1" applyBorder="1"/>
    <xf numFmtId="3" fontId="3" fillId="0" borderId="3" xfId="0" applyNumberFormat="1" applyFont="1" applyFill="1" applyBorder="1" applyAlignment="1">
      <alignment horizontal="right" vertical="top" wrapText="1"/>
    </xf>
    <xf numFmtId="3" fontId="12" fillId="21" borderId="27" xfId="0" applyNumberFormat="1" applyFont="1" applyFill="1" applyBorder="1" applyAlignment="1">
      <alignment vertical="center" wrapText="1"/>
    </xf>
    <xf numFmtId="0" fontId="3" fillId="0" borderId="23" xfId="0" applyFont="1" applyFill="1" applyBorder="1" applyAlignment="1" applyProtection="1">
      <alignment vertical="top" wrapText="1"/>
    </xf>
    <xf numFmtId="3" fontId="3" fillId="0" borderId="1" xfId="0" applyNumberFormat="1" applyFont="1" applyFill="1" applyBorder="1" applyAlignment="1">
      <alignment horizontal="right" vertical="top"/>
    </xf>
    <xf numFmtId="41" fontId="1" fillId="0" borderId="0" xfId="14" applyFont="1" applyFill="1" applyAlignment="1" applyProtection="1">
      <alignment vertical="center"/>
      <protection locked="0"/>
    </xf>
    <xf numFmtId="3" fontId="2" fillId="8" borderId="24" xfId="0" applyNumberFormat="1" applyFont="1" applyFill="1" applyBorder="1" applyAlignment="1">
      <alignment horizontal="center" vertical="center" wrapText="1"/>
    </xf>
    <xf numFmtId="0" fontId="0" fillId="11" borderId="0" xfId="0" applyFill="1" applyBorder="1"/>
    <xf numFmtId="9" fontId="0" fillId="11" borderId="0" xfId="0" applyNumberFormat="1" applyFill="1"/>
    <xf numFmtId="9" fontId="1" fillId="11" borderId="0" xfId="7" applyFont="1" applyFill="1"/>
    <xf numFmtId="0" fontId="0" fillId="11" borderId="0" xfId="0" applyFill="1" applyAlignment="1">
      <alignment horizontal="center"/>
    </xf>
    <xf numFmtId="0" fontId="0" fillId="11" borderId="0" xfId="0" applyNumberFormat="1" applyFill="1"/>
    <xf numFmtId="0" fontId="32" fillId="11" borderId="25" xfId="2" applyFont="1" applyFill="1" applyBorder="1" applyAlignment="1"/>
    <xf numFmtId="3" fontId="17" fillId="13" borderId="13" xfId="2" applyNumberFormat="1" applyFont="1" applyFill="1" applyBorder="1"/>
    <xf numFmtId="3" fontId="17" fillId="13" borderId="41" xfId="2" applyNumberFormat="1" applyFont="1" applyFill="1" applyBorder="1"/>
    <xf numFmtId="172" fontId="17" fillId="13" borderId="41" xfId="7" applyNumberFormat="1" applyFont="1" applyFill="1" applyBorder="1" applyAlignment="1">
      <alignment horizontal="center" vertical="center"/>
    </xf>
    <xf numFmtId="172" fontId="17" fillId="13" borderId="41" xfId="7" applyNumberFormat="1" applyFont="1" applyFill="1" applyBorder="1" applyAlignment="1">
      <alignment horizontal="center"/>
    </xf>
    <xf numFmtId="41" fontId="17" fillId="13" borderId="41" xfId="14" applyFont="1" applyFill="1" applyBorder="1" applyAlignment="1">
      <alignment horizontal="right"/>
    </xf>
    <xf numFmtId="172" fontId="17" fillId="13" borderId="25" xfId="2" applyNumberFormat="1" applyFont="1" applyFill="1" applyBorder="1" applyAlignment="1">
      <alignment horizontal="center" vertical="center"/>
    </xf>
    <xf numFmtId="3" fontId="17" fillId="13" borderId="43" xfId="2" applyNumberFormat="1" applyFont="1" applyFill="1" applyBorder="1"/>
    <xf numFmtId="172" fontId="17" fillId="13" borderId="42" xfId="2" applyNumberFormat="1" applyFont="1" applyFill="1" applyBorder="1" applyAlignment="1">
      <alignment horizontal="center" vertical="center"/>
    </xf>
    <xf numFmtId="0" fontId="37" fillId="8" borderId="9" xfId="0" applyFont="1" applyFill="1" applyBorder="1" applyAlignment="1">
      <alignment horizontal="center" vertical="center"/>
    </xf>
    <xf numFmtId="41" fontId="37" fillId="8" borderId="9" xfId="14" applyFont="1" applyFill="1" applyBorder="1" applyAlignment="1" applyProtection="1">
      <alignment horizontal="center" vertical="center"/>
    </xf>
    <xf numFmtId="9" fontId="37" fillId="8" borderId="9" xfId="7" applyFont="1" applyFill="1" applyBorder="1" applyAlignment="1" applyProtection="1">
      <alignment horizontal="center" vertical="center"/>
    </xf>
    <xf numFmtId="0" fontId="37" fillId="7" borderId="9" xfId="0" applyFont="1" applyFill="1" applyBorder="1" applyAlignment="1">
      <alignment horizontal="center" vertical="center"/>
    </xf>
    <xf numFmtId="3" fontId="37" fillId="8" borderId="41" xfId="0" applyNumberFormat="1" applyFont="1" applyFill="1" applyBorder="1" applyAlignment="1">
      <alignment horizontal="center" vertical="center" wrapText="1"/>
    </xf>
    <xf numFmtId="3" fontId="37" fillId="8" borderId="42" xfId="0" applyNumberFormat="1" applyFont="1" applyFill="1" applyBorder="1" applyAlignment="1">
      <alignment horizontal="center" vertical="center" wrapText="1"/>
    </xf>
    <xf numFmtId="3" fontId="37" fillId="7" borderId="43" xfId="0" applyNumberFormat="1" applyFont="1" applyFill="1" applyBorder="1" applyAlignment="1">
      <alignment horizontal="center" vertical="center" wrapText="1"/>
    </xf>
    <xf numFmtId="3" fontId="37" fillId="7" borderId="41" xfId="0" applyNumberFormat="1" applyFont="1" applyFill="1" applyBorder="1" applyAlignment="1">
      <alignment horizontal="center" vertical="center" wrapText="1"/>
    </xf>
    <xf numFmtId="3" fontId="37" fillId="7" borderId="42" xfId="0" applyNumberFormat="1" applyFont="1" applyFill="1" applyBorder="1" applyAlignment="1">
      <alignment horizontal="center" vertical="center" wrapText="1"/>
    </xf>
    <xf numFmtId="0" fontId="37" fillId="8" borderId="9" xfId="0" applyNumberFormat="1" applyFont="1" applyFill="1" applyBorder="1" applyAlignment="1">
      <alignment horizontal="center"/>
    </xf>
    <xf numFmtId="41" fontId="37" fillId="8" borderId="9" xfId="14" applyFont="1" applyFill="1" applyBorder="1" applyAlignment="1" applyProtection="1">
      <alignment horizontal="center"/>
    </xf>
    <xf numFmtId="9" fontId="37" fillId="8" borderId="9" xfId="7" applyFont="1" applyFill="1" applyBorder="1" applyAlignment="1" applyProtection="1">
      <alignment horizontal="center"/>
    </xf>
    <xf numFmtId="0" fontId="37" fillId="8" borderId="9" xfId="0" applyFont="1" applyFill="1" applyBorder="1" applyAlignment="1" applyProtection="1">
      <alignment horizontal="center"/>
    </xf>
    <xf numFmtId="3" fontId="37" fillId="8" borderId="43" xfId="0" applyNumberFormat="1" applyFont="1" applyFill="1" applyBorder="1" applyAlignment="1">
      <alignment horizontal="center" vertical="center" wrapText="1"/>
    </xf>
    <xf numFmtId="3" fontId="17" fillId="13" borderId="7" xfId="2" applyNumberFormat="1" applyFont="1" applyFill="1" applyBorder="1" applyAlignment="1" applyProtection="1">
      <alignment vertical="center"/>
    </xf>
    <xf numFmtId="0" fontId="17" fillId="13" borderId="37" xfId="2" applyFont="1" applyFill="1" applyBorder="1" applyAlignment="1" applyProtection="1">
      <alignment vertical="center"/>
    </xf>
    <xf numFmtId="0" fontId="2" fillId="5" borderId="23" xfId="0" applyFont="1" applyFill="1" applyBorder="1" applyAlignment="1" applyProtection="1">
      <alignment vertical="top" wrapText="1"/>
    </xf>
    <xf numFmtId="0" fontId="1" fillId="0" borderId="23" xfId="0" applyFont="1" applyFill="1" applyBorder="1" applyAlignment="1" applyProtection="1">
      <alignment vertical="top" wrapText="1"/>
    </xf>
    <xf numFmtId="3" fontId="2" fillId="5" borderId="8" xfId="0" applyNumberFormat="1" applyFont="1" applyFill="1" applyBorder="1" applyAlignment="1" applyProtection="1">
      <alignment horizontal="right" vertical="top" wrapText="1"/>
    </xf>
    <xf numFmtId="0" fontId="2" fillId="5" borderId="39" xfId="0" applyFont="1" applyFill="1" applyBorder="1" applyAlignment="1" applyProtection="1">
      <alignment vertical="top" wrapText="1"/>
    </xf>
    <xf numFmtId="0" fontId="2" fillId="10" borderId="16" xfId="0" applyFont="1" applyFill="1" applyBorder="1" applyAlignment="1">
      <alignment horizontal="left"/>
    </xf>
    <xf numFmtId="169" fontId="1" fillId="10" borderId="23" xfId="11" applyNumberFormat="1" applyFont="1" applyFill="1" applyBorder="1" applyAlignment="1">
      <alignment horizontal="right"/>
    </xf>
    <xf numFmtId="0" fontId="16" fillId="12" borderId="28" xfId="1" applyFont="1" applyFill="1" applyBorder="1" applyAlignment="1">
      <alignment horizontal="center"/>
    </xf>
    <xf numFmtId="0" fontId="20" fillId="17" borderId="0" xfId="0" applyFont="1" applyFill="1" applyAlignment="1" applyProtection="1">
      <alignment horizontal="center" vertical="center" wrapText="1"/>
    </xf>
    <xf numFmtId="173" fontId="20" fillId="17" borderId="0" xfId="0" applyNumberFormat="1" applyFont="1" applyFill="1" applyAlignment="1" applyProtection="1">
      <alignment horizontal="right" vertical="center" wrapText="1"/>
    </xf>
    <xf numFmtId="0" fontId="20" fillId="17" borderId="0" xfId="0" applyFont="1" applyFill="1" applyAlignment="1" applyProtection="1">
      <alignment horizontal="left" vertical="center"/>
    </xf>
    <xf numFmtId="41" fontId="0" fillId="11" borderId="0" xfId="14" applyFont="1" applyFill="1"/>
    <xf numFmtId="3" fontId="38" fillId="0" borderId="0" xfId="15" applyNumberFormat="1" applyFill="1" applyProtection="1">
      <protection locked="0"/>
    </xf>
    <xf numFmtId="0" fontId="0" fillId="0" borderId="0" xfId="0" applyAlignment="1">
      <alignment horizontal="center"/>
    </xf>
    <xf numFmtId="3" fontId="1" fillId="0" borderId="58" xfId="0" applyNumberFormat="1" applyFont="1" applyFill="1" applyBorder="1" applyAlignment="1">
      <alignment horizontal="right" vertical="top" wrapText="1"/>
    </xf>
    <xf numFmtId="3" fontId="1" fillId="0" borderId="57" xfId="0" applyNumberFormat="1" applyFont="1" applyFill="1" applyBorder="1" applyAlignment="1">
      <alignment horizontal="right" vertical="top" wrapText="1"/>
    </xf>
    <xf numFmtId="3" fontId="2" fillId="0" borderId="2" xfId="0" applyNumberFormat="1" applyFont="1" applyFill="1" applyBorder="1" applyAlignment="1" applyProtection="1">
      <alignment horizontal="right" vertical="top" wrapText="1"/>
    </xf>
    <xf numFmtId="3" fontId="1" fillId="0" borderId="57" xfId="0" applyNumberFormat="1" applyFont="1" applyFill="1" applyBorder="1"/>
    <xf numFmtId="168" fontId="1" fillId="0" borderId="1" xfId="0" quotePrefix="1" applyNumberFormat="1" applyFont="1" applyFill="1" applyBorder="1" applyAlignment="1" applyProtection="1">
      <alignment horizontal="right" vertical="center" wrapText="1"/>
    </xf>
    <xf numFmtId="168" fontId="1" fillId="0" borderId="1" xfId="0" quotePrefix="1" applyNumberFormat="1" applyFont="1" applyFill="1" applyBorder="1" applyAlignment="1" applyProtection="1">
      <alignment horizontal="right" vertical="top" wrapText="1"/>
    </xf>
    <xf numFmtId="3" fontId="1" fillId="0" borderId="57" xfId="0" applyNumberFormat="1" applyFont="1" applyFill="1" applyBorder="1" applyAlignment="1" applyProtection="1">
      <alignment horizontal="right" vertical="top" wrapText="1"/>
    </xf>
    <xf numFmtId="172" fontId="1" fillId="0" borderId="36" xfId="7" applyNumberFormat="1" applyFont="1" applyFill="1" applyBorder="1" applyAlignment="1" applyProtection="1">
      <alignment horizontal="center" vertical="top" wrapText="1"/>
    </xf>
    <xf numFmtId="0" fontId="26" fillId="0" borderId="23" xfId="0" applyFont="1" applyFill="1" applyBorder="1" applyAlignment="1">
      <alignment horizontal="left" vertical="center" wrapText="1"/>
    </xf>
    <xf numFmtId="41" fontId="25" fillId="17" borderId="0" xfId="14" applyFont="1" applyFill="1" applyAlignment="1" applyProtection="1">
      <alignment horizontal="left" vertical="center" wrapText="1"/>
    </xf>
    <xf numFmtId="0" fontId="3" fillId="0" borderId="36" xfId="0" applyFont="1" applyFill="1" applyBorder="1" applyAlignment="1" applyProtection="1">
      <alignment horizontal="left" vertical="center"/>
    </xf>
    <xf numFmtId="0" fontId="3" fillId="0" borderId="36" xfId="0" applyFont="1" applyFill="1" applyBorder="1" applyAlignment="1" applyProtection="1">
      <alignment vertical="center"/>
    </xf>
    <xf numFmtId="0" fontId="24" fillId="5" borderId="45" xfId="0" applyFont="1" applyFill="1" applyBorder="1" applyAlignment="1" applyProtection="1">
      <alignment vertical="center"/>
    </xf>
    <xf numFmtId="3" fontId="1" fillId="0" borderId="57" xfId="0" applyNumberFormat="1" applyFont="1" applyFill="1" applyBorder="1" applyAlignment="1" applyProtection="1">
      <alignment horizontal="right" vertical="center"/>
      <protection locked="0"/>
    </xf>
    <xf numFmtId="3" fontId="2" fillId="5" borderId="50" xfId="0" applyNumberFormat="1" applyFont="1" applyFill="1" applyBorder="1" applyAlignment="1" applyProtection="1">
      <alignment vertical="center"/>
      <protection locked="0"/>
    </xf>
    <xf numFmtId="41" fontId="3" fillId="0" borderId="0" xfId="14" applyFont="1" applyFill="1" applyProtection="1">
      <protection locked="0"/>
    </xf>
    <xf numFmtId="41" fontId="3" fillId="0" borderId="0" xfId="14" applyFont="1" applyFill="1" applyAlignment="1" applyProtection="1">
      <alignment horizontal="center" vertical="center"/>
      <protection locked="0"/>
    </xf>
    <xf numFmtId="41" fontId="19" fillId="17" borderId="0" xfId="14" applyFont="1" applyFill="1" applyAlignment="1" applyProtection="1">
      <alignment horizontal="center" vertical="center" wrapText="1"/>
    </xf>
    <xf numFmtId="41" fontId="41" fillId="0" borderId="0" xfId="14" applyFont="1" applyFill="1" applyAlignment="1" applyProtection="1">
      <alignment vertical="center"/>
      <protection locked="0"/>
    </xf>
    <xf numFmtId="3" fontId="1" fillId="0" borderId="0" xfId="0" applyNumberFormat="1" applyFont="1" applyFill="1" applyAlignment="1" applyProtection="1">
      <alignment vertical="center"/>
      <protection locked="0"/>
    </xf>
    <xf numFmtId="41" fontId="25" fillId="17" borderId="0" xfId="14" applyFont="1" applyFill="1" applyAlignment="1" applyProtection="1">
      <alignment horizontal="center" vertical="center" wrapText="1"/>
    </xf>
    <xf numFmtId="0" fontId="20" fillId="17" borderId="0" xfId="0" applyFont="1" applyFill="1" applyAlignment="1" applyProtection="1">
      <alignment horizontal="left" vertical="center" wrapText="1"/>
    </xf>
    <xf numFmtId="0" fontId="27" fillId="0" borderId="0" xfId="0" applyFont="1" applyAlignment="1">
      <alignment horizontal="left"/>
    </xf>
    <xf numFmtId="173" fontId="27" fillId="0" borderId="0" xfId="0" applyNumberFormat="1" applyFont="1"/>
    <xf numFmtId="0" fontId="15" fillId="0" borderId="0" xfId="0" applyFont="1" applyBorder="1" applyAlignment="1" applyProtection="1">
      <protection locked="0"/>
    </xf>
    <xf numFmtId="0" fontId="1" fillId="0" borderId="0" xfId="0" applyFont="1" applyBorder="1" applyAlignment="1" applyProtection="1">
      <protection locked="0"/>
    </xf>
    <xf numFmtId="171" fontId="1" fillId="0" borderId="0" xfId="8" applyNumberFormat="1" applyFont="1" applyBorder="1" applyAlignment="1" applyProtection="1">
      <protection locked="0"/>
    </xf>
    <xf numFmtId="0" fontId="21" fillId="0" borderId="0" xfId="0" applyFont="1" applyAlignment="1">
      <alignment horizontal="left"/>
    </xf>
    <xf numFmtId="0" fontId="21" fillId="11" borderId="0" xfId="0" applyFont="1" applyFill="1" applyAlignment="1" applyProtection="1">
      <alignment horizontal="left" vertical="center"/>
    </xf>
    <xf numFmtId="173" fontId="21" fillId="11" borderId="0" xfId="0" applyNumberFormat="1" applyFont="1" applyFill="1" applyAlignment="1" applyProtection="1">
      <alignment horizontal="right" vertical="center"/>
    </xf>
    <xf numFmtId="41" fontId="26" fillId="11" borderId="0" xfId="14" applyFont="1" applyFill="1" applyAlignment="1"/>
    <xf numFmtId="0" fontId="21" fillId="0" borderId="0" xfId="0" applyFont="1" applyAlignment="1">
      <alignment horizontal="right"/>
    </xf>
    <xf numFmtId="0" fontId="26" fillId="0" borderId="0" xfId="0" applyFont="1" applyAlignment="1">
      <alignment horizontal="right"/>
    </xf>
    <xf numFmtId="0" fontId="37" fillId="8" borderId="9" xfId="0" applyNumberFormat="1" applyFont="1" applyFill="1" applyBorder="1" applyAlignment="1">
      <alignment horizontal="center" vertical="center"/>
    </xf>
    <xf numFmtId="3" fontId="3" fillId="11" borderId="17" xfId="0" applyNumberFormat="1" applyFont="1" applyFill="1" applyBorder="1" applyAlignment="1">
      <alignment horizontal="right" vertical="top" wrapText="1"/>
    </xf>
    <xf numFmtId="3" fontId="3" fillId="11" borderId="0" xfId="0" applyNumberFormat="1" applyFont="1" applyFill="1" applyBorder="1"/>
    <xf numFmtId="3" fontId="2" fillId="7" borderId="43" xfId="0" applyNumberFormat="1" applyFont="1" applyFill="1" applyBorder="1" applyAlignment="1">
      <alignment horizontal="center" vertical="center" wrapText="1"/>
    </xf>
    <xf numFmtId="3" fontId="2" fillId="7" borderId="41" xfId="0" applyNumberFormat="1" applyFont="1" applyFill="1" applyBorder="1" applyAlignment="1">
      <alignment horizontal="center" vertical="center" wrapText="1"/>
    </xf>
    <xf numFmtId="3" fontId="3" fillId="11" borderId="1" xfId="0" applyNumberFormat="1" applyFont="1" applyFill="1" applyBorder="1" applyAlignment="1">
      <alignment horizontal="right" vertical="center" wrapText="1"/>
    </xf>
    <xf numFmtId="3" fontId="3" fillId="11" borderId="16" xfId="0" applyNumberFormat="1" applyFont="1" applyFill="1" applyBorder="1" applyAlignment="1">
      <alignment horizontal="right" vertical="center" wrapText="1"/>
    </xf>
    <xf numFmtId="3" fontId="18" fillId="11" borderId="0" xfId="0" applyNumberFormat="1" applyFont="1" applyFill="1"/>
    <xf numFmtId="170" fontId="1" fillId="10" borderId="11" xfId="0" applyNumberFormat="1" applyFont="1" applyFill="1" applyBorder="1" applyAlignment="1" applyProtection="1">
      <alignment horizontal="left"/>
    </xf>
    <xf numFmtId="167" fontId="1" fillId="10" borderId="0" xfId="0" applyNumberFormat="1" applyFont="1" applyFill="1" applyBorder="1" applyAlignment="1" applyProtection="1">
      <alignment horizontal="left" vertical="center"/>
    </xf>
    <xf numFmtId="168" fontId="1" fillId="10" borderId="0" xfId="0" applyNumberFormat="1" applyFont="1" applyFill="1" applyBorder="1" applyAlignment="1" applyProtection="1">
      <alignment horizontal="left" vertical="center"/>
    </xf>
    <xf numFmtId="168" fontId="1" fillId="10" borderId="0" xfId="0" applyNumberFormat="1" applyFont="1" applyFill="1" applyBorder="1" applyProtection="1"/>
    <xf numFmtId="0" fontId="1" fillId="10" borderId="0" xfId="0" applyFont="1" applyFill="1" applyBorder="1" applyAlignment="1" applyProtection="1"/>
    <xf numFmtId="3" fontId="1" fillId="10" borderId="0" xfId="0" applyNumberFormat="1" applyFont="1" applyFill="1" applyBorder="1" applyProtection="1"/>
    <xf numFmtId="3" fontId="1" fillId="11" borderId="0" xfId="0" applyNumberFormat="1" applyFont="1" applyFill="1" applyBorder="1" applyProtection="1">
      <protection locked="0"/>
    </xf>
    <xf numFmtId="3" fontId="1" fillId="11" borderId="0" xfId="0" applyNumberFormat="1" applyFont="1" applyFill="1" applyBorder="1" applyProtection="1"/>
    <xf numFmtId="3" fontId="1" fillId="11" borderId="0" xfId="0" applyNumberFormat="1" applyFont="1" applyFill="1" applyBorder="1" applyAlignment="1" applyProtection="1">
      <alignment horizontal="right"/>
      <protection locked="0"/>
    </xf>
    <xf numFmtId="10" fontId="1" fillId="10" borderId="0" xfId="7" applyNumberFormat="1" applyFont="1" applyFill="1" applyBorder="1" applyAlignment="1">
      <alignment horizontal="center"/>
    </xf>
    <xf numFmtId="10" fontId="4" fillId="8" borderId="12" xfId="7" applyNumberFormat="1" applyFont="1" applyFill="1" applyBorder="1" applyAlignment="1" applyProtection="1">
      <alignment horizontal="center"/>
    </xf>
    <xf numFmtId="10" fontId="2" fillId="8" borderId="22" xfId="7" applyNumberFormat="1" applyFont="1" applyFill="1" applyBorder="1" applyAlignment="1">
      <alignment horizontal="center" vertical="center" wrapText="1"/>
    </xf>
    <xf numFmtId="10" fontId="17" fillId="13" borderId="34" xfId="7" applyNumberFormat="1" applyFont="1" applyFill="1" applyBorder="1" applyAlignment="1" applyProtection="1">
      <alignment horizontal="center" vertical="center"/>
    </xf>
    <xf numFmtId="10" fontId="1" fillId="0" borderId="23" xfId="7" applyNumberFormat="1" applyFont="1" applyFill="1" applyBorder="1" applyAlignment="1" applyProtection="1">
      <alignment horizontal="center" vertical="top" wrapText="1"/>
    </xf>
    <xf numFmtId="10" fontId="1" fillId="0" borderId="23" xfId="7" applyNumberFormat="1" applyFont="1" applyFill="1" applyBorder="1" applyAlignment="1" applyProtection="1">
      <alignment horizontal="center" vertical="center" wrapText="1"/>
    </xf>
    <xf numFmtId="10" fontId="3" fillId="0" borderId="23" xfId="7" applyNumberFormat="1" applyFont="1" applyFill="1" applyBorder="1" applyAlignment="1" applyProtection="1">
      <alignment horizontal="center" vertical="top" wrapText="1"/>
    </xf>
    <xf numFmtId="10" fontId="1" fillId="0" borderId="0" xfId="7" applyNumberFormat="1" applyFont="1" applyBorder="1"/>
    <xf numFmtId="10" fontId="1" fillId="0" borderId="0" xfId="7" applyNumberFormat="1" applyFont="1"/>
    <xf numFmtId="0" fontId="16" fillId="12" borderId="28" xfId="1" applyFont="1" applyFill="1" applyBorder="1" applyAlignment="1">
      <alignment horizontal="center"/>
    </xf>
    <xf numFmtId="0" fontId="25" fillId="19" borderId="0" xfId="0" applyFont="1" applyFill="1" applyAlignment="1" applyProtection="1">
      <alignment horizontal="left" vertical="center" wrapText="1"/>
    </xf>
    <xf numFmtId="41" fontId="21" fillId="17" borderId="0" xfId="14" applyFont="1" applyFill="1" applyAlignment="1" applyProtection="1">
      <alignment horizontal="left" vertical="center" wrapText="1"/>
    </xf>
    <xf numFmtId="0" fontId="43" fillId="17" borderId="0" xfId="0" applyFont="1" applyFill="1" applyAlignment="1" applyProtection="1">
      <alignment horizontal="center" vertical="center" wrapText="1"/>
    </xf>
    <xf numFmtId="0" fontId="43" fillId="17" borderId="0" xfId="0" applyFont="1" applyFill="1" applyAlignment="1" applyProtection="1">
      <alignment horizontal="left" vertical="center" wrapText="1"/>
    </xf>
    <xf numFmtId="173" fontId="43" fillId="17" borderId="0" xfId="0" applyNumberFormat="1" applyFont="1" applyFill="1" applyAlignment="1" applyProtection="1">
      <alignment horizontal="right" vertical="center" wrapText="1"/>
    </xf>
    <xf numFmtId="41" fontId="43" fillId="17" borderId="0" xfId="14" applyFont="1" applyFill="1" applyAlignment="1" applyProtection="1">
      <alignment horizontal="left" vertical="center" wrapText="1"/>
    </xf>
    <xf numFmtId="3" fontId="2" fillId="5" borderId="60" xfId="0" applyNumberFormat="1" applyFont="1" applyFill="1" applyBorder="1" applyAlignment="1">
      <alignment horizontal="right" vertical="top" wrapText="1"/>
    </xf>
    <xf numFmtId="3" fontId="38" fillId="22" borderId="0" xfId="15" applyNumberFormat="1" applyProtection="1">
      <protection locked="0"/>
    </xf>
    <xf numFmtId="168" fontId="1" fillId="0" borderId="0" xfId="0" applyNumberFormat="1" applyFont="1" applyFill="1" applyAlignment="1" applyProtection="1">
      <protection locked="0"/>
    </xf>
    <xf numFmtId="168" fontId="3" fillId="0" borderId="1" xfId="0" applyNumberFormat="1" applyFont="1" applyFill="1" applyBorder="1" applyAlignment="1" applyProtection="1">
      <alignment vertical="center"/>
    </xf>
    <xf numFmtId="0" fontId="10" fillId="16" borderId="9" xfId="1" applyFont="1" applyFill="1" applyBorder="1" applyAlignment="1">
      <alignment vertical="center"/>
    </xf>
    <xf numFmtId="168" fontId="1" fillId="10" borderId="14" xfId="0" applyNumberFormat="1" applyFont="1" applyFill="1" applyBorder="1" applyAlignment="1" applyProtection="1">
      <alignment vertical="center"/>
      <protection locked="0"/>
    </xf>
    <xf numFmtId="168" fontId="1" fillId="10" borderId="11" xfId="0" applyNumberFormat="1" applyFont="1" applyFill="1" applyBorder="1" applyAlignment="1" applyProtection="1">
      <alignment vertical="center"/>
      <protection locked="0"/>
    </xf>
    <xf numFmtId="168" fontId="1" fillId="10" borderId="13" xfId="0" applyNumberFormat="1" applyFont="1" applyFill="1" applyBorder="1" applyAlignment="1" applyProtection="1">
      <protection locked="0"/>
    </xf>
    <xf numFmtId="168" fontId="1" fillId="0" borderId="0" xfId="0" applyNumberFormat="1" applyFont="1" applyAlignment="1" applyProtection="1">
      <protection locked="0"/>
    </xf>
    <xf numFmtId="168" fontId="32" fillId="16" borderId="12" xfId="0" applyNumberFormat="1" applyFont="1" applyFill="1" applyBorder="1" applyAlignment="1" applyProtection="1">
      <alignment vertical="center"/>
      <protection locked="0"/>
    </xf>
    <xf numFmtId="168" fontId="1" fillId="0" borderId="58" xfId="0" applyNumberFormat="1" applyFont="1" applyBorder="1" applyAlignment="1" applyProtection="1">
      <protection locked="0"/>
    </xf>
    <xf numFmtId="168" fontId="32" fillId="16" borderId="20" xfId="0" applyNumberFormat="1" applyFont="1" applyFill="1" applyBorder="1" applyAlignment="1" applyProtection="1">
      <alignment vertical="center"/>
      <protection locked="0"/>
    </xf>
    <xf numFmtId="168" fontId="1" fillId="0" borderId="19" xfId="0" applyNumberFormat="1" applyFont="1" applyBorder="1" applyAlignment="1" applyProtection="1">
      <protection locked="0"/>
    </xf>
    <xf numFmtId="41" fontId="1" fillId="0" borderId="0" xfId="14" applyFont="1" applyFill="1" applyAlignment="1" applyProtection="1">
      <alignment vertical="center" wrapText="1"/>
      <protection locked="0"/>
    </xf>
    <xf numFmtId="41" fontId="2" fillId="0" borderId="0" xfId="14" applyFont="1" applyFill="1" applyAlignment="1" applyProtection="1">
      <alignment vertical="center"/>
      <protection locked="0"/>
    </xf>
    <xf numFmtId="170" fontId="3" fillId="10" borderId="11" xfId="0" applyNumberFormat="1" applyFont="1" applyFill="1" applyBorder="1" applyAlignment="1" applyProtection="1">
      <alignment vertical="center"/>
    </xf>
    <xf numFmtId="170" fontId="3" fillId="10" borderId="0" xfId="0" applyNumberFormat="1" applyFont="1" applyFill="1" applyBorder="1" applyAlignment="1" applyProtection="1">
      <alignment vertical="center"/>
    </xf>
    <xf numFmtId="170" fontId="3" fillId="10" borderId="31" xfId="0" applyNumberFormat="1" applyFont="1" applyFill="1" applyBorder="1" applyAlignment="1" applyProtection="1">
      <alignment vertical="center"/>
    </xf>
    <xf numFmtId="0" fontId="20" fillId="17" borderId="0" xfId="0" applyFont="1" applyFill="1" applyAlignment="1" applyProtection="1">
      <alignment horizontal="center" vertical="center"/>
    </xf>
    <xf numFmtId="0" fontId="26" fillId="0" borderId="0" xfId="0" applyFont="1" applyAlignment="1">
      <alignment wrapText="1"/>
    </xf>
    <xf numFmtId="41" fontId="21" fillId="0" borderId="0" xfId="14" applyFont="1" applyAlignment="1" applyProtection="1">
      <alignment horizontal="left" vertical="center" wrapText="1"/>
    </xf>
    <xf numFmtId="41" fontId="1" fillId="11" borderId="0" xfId="0" applyNumberFormat="1" applyFont="1" applyFill="1"/>
    <xf numFmtId="41" fontId="2" fillId="11" borderId="0" xfId="14" applyFont="1" applyFill="1"/>
    <xf numFmtId="41" fontId="18" fillId="11" borderId="0" xfId="14" applyFont="1" applyFill="1"/>
    <xf numFmtId="3" fontId="3" fillId="0" borderId="1" xfId="0" applyNumberFormat="1" applyFont="1" applyFill="1" applyBorder="1" applyAlignment="1">
      <alignment horizontal="right"/>
    </xf>
    <xf numFmtId="41" fontId="34" fillId="11" borderId="0" xfId="14" applyFont="1" applyFill="1"/>
    <xf numFmtId="174" fontId="1" fillId="11" borderId="0" xfId="0" applyNumberFormat="1" applyFont="1" applyFill="1"/>
    <xf numFmtId="0" fontId="42" fillId="11" borderId="0" xfId="0" applyFont="1" applyFill="1" applyAlignment="1" applyProtection="1">
      <alignment horizontal="center" vertical="center" wrapText="1"/>
    </xf>
    <xf numFmtId="174" fontId="0" fillId="11" borderId="0" xfId="0" applyNumberFormat="1" applyFill="1"/>
    <xf numFmtId="0" fontId="16" fillId="12" borderId="28" xfId="1" applyFont="1" applyFill="1" applyBorder="1" applyAlignment="1">
      <alignment horizontal="center"/>
    </xf>
    <xf numFmtId="0" fontId="0" fillId="0" borderId="0" xfId="0" applyAlignment="1">
      <alignment horizontal="center"/>
    </xf>
    <xf numFmtId="41" fontId="44" fillId="11" borderId="0" xfId="14" applyFont="1" applyFill="1"/>
    <xf numFmtId="0" fontId="19" fillId="17" borderId="0" xfId="0" applyFont="1" applyFill="1" applyAlignment="1" applyProtection="1">
      <alignment horizontal="left" vertical="center"/>
    </xf>
    <xf numFmtId="3" fontId="4" fillId="2" borderId="61" xfId="0" applyNumberFormat="1" applyFont="1" applyFill="1" applyBorder="1" applyAlignment="1">
      <alignment vertical="center"/>
    </xf>
    <xf numFmtId="168" fontId="17" fillId="13" borderId="6" xfId="2" applyNumberFormat="1" applyFont="1" applyFill="1" applyBorder="1" applyAlignment="1" applyProtection="1">
      <alignment horizontal="center" vertical="center"/>
    </xf>
    <xf numFmtId="168" fontId="12" fillId="5" borderId="1" xfId="0" applyNumberFormat="1" applyFont="1" applyFill="1" applyBorder="1" applyAlignment="1" applyProtection="1">
      <alignment horizontal="center" vertical="top" wrapText="1"/>
    </xf>
    <xf numFmtId="168" fontId="12" fillId="0" borderId="1" xfId="0" applyNumberFormat="1" applyFont="1" applyFill="1" applyBorder="1" applyAlignment="1" applyProtection="1">
      <alignment horizontal="center" vertical="top" wrapText="1"/>
    </xf>
    <xf numFmtId="168" fontId="2" fillId="5" borderId="3" xfId="0" applyNumberFormat="1" applyFont="1" applyFill="1" applyBorder="1" applyAlignment="1" applyProtection="1">
      <alignment horizontal="center" vertical="top" wrapText="1"/>
    </xf>
    <xf numFmtId="168" fontId="1" fillId="0" borderId="0" xfId="0" applyNumberFormat="1" applyFont="1" applyBorder="1" applyAlignment="1">
      <alignment horizontal="center"/>
    </xf>
    <xf numFmtId="168" fontId="1" fillId="0" borderId="0" xfId="0" applyNumberFormat="1" applyFont="1" applyAlignment="1">
      <alignment horizontal="center"/>
    </xf>
    <xf numFmtId="0" fontId="19" fillId="11" borderId="0" xfId="0" applyFont="1" applyFill="1" applyAlignment="1" applyProtection="1">
      <alignment horizontal="center" vertical="center" wrapText="1"/>
    </xf>
    <xf numFmtId="0" fontId="19" fillId="11" borderId="0" xfId="0" applyFont="1" applyFill="1" applyAlignment="1" applyProtection="1">
      <alignment horizontal="left" vertical="center" wrapText="1"/>
    </xf>
    <xf numFmtId="173" fontId="19" fillId="11" borderId="0" xfId="0" applyNumberFormat="1" applyFont="1" applyFill="1" applyAlignment="1" applyProtection="1">
      <alignment horizontal="right" vertical="center" wrapText="1"/>
    </xf>
    <xf numFmtId="3" fontId="1" fillId="0" borderId="48" xfId="0" applyNumberFormat="1" applyFont="1" applyFill="1" applyBorder="1" applyAlignment="1" applyProtection="1">
      <alignment vertical="center"/>
      <protection locked="0"/>
    </xf>
    <xf numFmtId="10" fontId="1" fillId="0" borderId="0" xfId="7" applyNumberFormat="1" applyFont="1" applyProtection="1">
      <protection locked="0"/>
    </xf>
    <xf numFmtId="10" fontId="1" fillId="0" borderId="0" xfId="7" applyNumberFormat="1" applyFont="1" applyFill="1" applyProtection="1">
      <protection locked="0"/>
    </xf>
    <xf numFmtId="10" fontId="3" fillId="10" borderId="0" xfId="7" applyNumberFormat="1" applyFont="1" applyFill="1" applyBorder="1" applyAlignment="1" applyProtection="1">
      <alignment vertical="center"/>
    </xf>
    <xf numFmtId="10" fontId="2" fillId="8" borderId="9" xfId="7" applyNumberFormat="1" applyFont="1" applyFill="1" applyBorder="1" applyAlignment="1" applyProtection="1">
      <alignment horizontal="center"/>
    </xf>
    <xf numFmtId="10" fontId="2" fillId="8" borderId="42" xfId="7" applyNumberFormat="1" applyFont="1" applyFill="1" applyBorder="1" applyAlignment="1">
      <alignment horizontal="center" vertical="center" wrapText="1"/>
    </xf>
    <xf numFmtId="10" fontId="24" fillId="5" borderId="23" xfId="7" applyNumberFormat="1" applyFont="1" applyFill="1" applyBorder="1" applyAlignment="1" applyProtection="1">
      <alignment horizontal="center" vertical="center" wrapText="1"/>
    </xf>
    <xf numFmtId="10" fontId="24" fillId="0" borderId="23" xfId="7" applyNumberFormat="1" applyFont="1" applyFill="1" applyBorder="1" applyAlignment="1" applyProtection="1">
      <alignment horizontal="center" vertical="center" wrapText="1"/>
    </xf>
    <xf numFmtId="10" fontId="24" fillId="5" borderId="39" xfId="7" applyNumberFormat="1" applyFont="1" applyFill="1" applyBorder="1" applyAlignment="1" applyProtection="1">
      <alignment horizontal="center" vertical="center" wrapText="1"/>
    </xf>
    <xf numFmtId="10" fontId="1" fillId="0" borderId="0" xfId="7" applyNumberFormat="1" applyFont="1" applyFill="1" applyBorder="1" applyProtection="1">
      <protection locked="0"/>
    </xf>
    <xf numFmtId="10" fontId="1" fillId="0" borderId="0" xfId="7" applyNumberFormat="1" applyFont="1" applyFill="1" applyAlignment="1" applyProtection="1">
      <alignment vertical="center"/>
      <protection locked="0"/>
    </xf>
    <xf numFmtId="41" fontId="20" fillId="17" borderId="0" xfId="14" applyFont="1" applyFill="1" applyAlignment="1" applyProtection="1">
      <alignment horizontal="center" vertical="center" wrapText="1"/>
    </xf>
    <xf numFmtId="3" fontId="24" fillId="5" borderId="58" xfId="0" applyNumberFormat="1" applyFont="1" applyFill="1" applyBorder="1" applyAlignment="1" applyProtection="1">
      <alignment vertical="center"/>
      <protection locked="0"/>
    </xf>
    <xf numFmtId="3" fontId="4" fillId="2" borderId="22" xfId="0" applyNumberFormat="1" applyFont="1" applyFill="1" applyBorder="1" applyAlignment="1" applyProtection="1">
      <alignment vertical="center" wrapText="1"/>
      <protection locked="0"/>
    </xf>
    <xf numFmtId="3" fontId="1" fillId="0" borderId="51" xfId="0" applyNumberFormat="1" applyFont="1" applyFill="1" applyBorder="1" applyAlignment="1">
      <alignment horizontal="right" vertical="center" wrapText="1"/>
    </xf>
    <xf numFmtId="0" fontId="20" fillId="11" borderId="0" xfId="0" applyFont="1" applyFill="1" applyAlignment="1" applyProtection="1">
      <alignment horizontal="center" vertical="center" wrapText="1"/>
    </xf>
    <xf numFmtId="0" fontId="20" fillId="11" borderId="0" xfId="0" applyFont="1" applyFill="1" applyAlignment="1" applyProtection="1">
      <alignment horizontal="left" vertical="center"/>
    </xf>
    <xf numFmtId="0" fontId="20" fillId="11" borderId="0" xfId="0" applyFont="1" applyFill="1" applyAlignment="1" applyProtection="1">
      <alignment horizontal="left" vertical="center" wrapText="1"/>
    </xf>
    <xf numFmtId="173" fontId="20" fillId="11" borderId="0" xfId="0" applyNumberFormat="1" applyFont="1" applyFill="1" applyAlignment="1" applyProtection="1">
      <alignment horizontal="right" vertical="center" wrapText="1"/>
    </xf>
    <xf numFmtId="41" fontId="20" fillId="11" borderId="0" xfId="14" applyFont="1" applyFill="1" applyAlignment="1" applyProtection="1">
      <alignment horizontal="center" vertical="center" wrapText="1"/>
    </xf>
    <xf numFmtId="173" fontId="19" fillId="17" borderId="0" xfId="0" applyNumberFormat="1" applyFont="1" applyFill="1" applyAlignment="1" applyProtection="1">
      <alignment horizontal="left" vertical="center"/>
    </xf>
    <xf numFmtId="173" fontId="19" fillId="17" borderId="0" xfId="0" applyNumberFormat="1" applyFont="1" applyFill="1" applyAlignment="1" applyProtection="1">
      <alignment horizontal="center" vertical="center"/>
    </xf>
    <xf numFmtId="173" fontId="0" fillId="0" borderId="0" xfId="0" applyNumberFormat="1" applyAlignment="1">
      <alignment horizontal="center"/>
    </xf>
    <xf numFmtId="172" fontId="1" fillId="10" borderId="0" xfId="7" applyNumberFormat="1" applyFont="1" applyFill="1" applyBorder="1" applyAlignment="1">
      <alignment horizontal="center"/>
    </xf>
    <xf numFmtId="10" fontId="4" fillId="7" borderId="9" xfId="7" applyNumberFormat="1" applyFont="1" applyFill="1" applyBorder="1" applyAlignment="1">
      <alignment horizontal="center" vertical="center"/>
    </xf>
    <xf numFmtId="10" fontId="2" fillId="7" borderId="42" xfId="7" applyNumberFormat="1" applyFont="1" applyFill="1" applyBorder="1" applyAlignment="1">
      <alignment horizontal="center" vertical="center" wrapText="1"/>
    </xf>
    <xf numFmtId="10" fontId="17" fillId="13" borderId="37" xfId="7" applyNumberFormat="1" applyFont="1" applyFill="1" applyBorder="1" applyAlignment="1">
      <alignment horizontal="center" vertical="center"/>
    </xf>
    <xf numFmtId="10" fontId="2" fillId="5" borderId="23" xfId="7" applyNumberFormat="1" applyFont="1" applyFill="1" applyBorder="1" applyAlignment="1">
      <alignment horizontal="center"/>
    </xf>
    <xf numFmtId="10" fontId="1" fillId="0" borderId="23" xfId="7" applyNumberFormat="1" applyFont="1" applyFill="1" applyBorder="1" applyAlignment="1">
      <alignment horizontal="center" vertical="top" wrapText="1"/>
    </xf>
    <xf numFmtId="10" fontId="1" fillId="0" borderId="23" xfId="7" applyNumberFormat="1" applyFont="1" applyFill="1" applyBorder="1" applyAlignment="1">
      <alignment horizontal="center"/>
    </xf>
    <xf numFmtId="10" fontId="2" fillId="5" borderId="23" xfId="7" applyNumberFormat="1" applyFont="1" applyFill="1" applyBorder="1" applyAlignment="1">
      <alignment horizontal="center" vertical="top" wrapText="1"/>
    </xf>
    <xf numFmtId="10" fontId="3" fillId="0" borderId="23" xfId="7" applyNumberFormat="1" applyFont="1" applyFill="1" applyBorder="1" applyAlignment="1">
      <alignment horizontal="center"/>
    </xf>
    <xf numFmtId="10" fontId="1" fillId="0" borderId="26" xfId="7" applyNumberFormat="1" applyFont="1" applyFill="1" applyBorder="1" applyAlignment="1">
      <alignment horizontal="center"/>
    </xf>
    <xf numFmtId="10" fontId="2" fillId="5" borderId="39" xfId="7" applyNumberFormat="1" applyFont="1" applyFill="1" applyBorder="1" applyAlignment="1" applyProtection="1">
      <alignment horizontal="center" vertical="top" wrapText="1"/>
    </xf>
    <xf numFmtId="10" fontId="1" fillId="0" borderId="0" xfId="7" applyNumberFormat="1" applyFont="1" applyBorder="1" applyAlignment="1">
      <alignment horizontal="right"/>
    </xf>
    <xf numFmtId="10" fontId="1" fillId="0" borderId="0" xfId="7" applyNumberFormat="1" applyFont="1" applyAlignment="1">
      <alignment horizontal="right"/>
    </xf>
    <xf numFmtId="172" fontId="2" fillId="5" borderId="47" xfId="7" applyNumberFormat="1" applyFont="1" applyFill="1" applyBorder="1" applyAlignment="1" applyProtection="1">
      <alignment horizontal="center" vertical="top" wrapText="1"/>
    </xf>
    <xf numFmtId="172" fontId="1" fillId="0" borderId="0" xfId="7" applyNumberFormat="1" applyFont="1" applyBorder="1"/>
    <xf numFmtId="172" fontId="1" fillId="0" borderId="0" xfId="7" applyNumberFormat="1" applyFont="1"/>
    <xf numFmtId="10" fontId="4" fillId="8" borderId="9" xfId="7" applyNumberFormat="1" applyFont="1" applyFill="1" applyBorder="1" applyAlignment="1" applyProtection="1">
      <alignment horizontal="center"/>
    </xf>
    <xf numFmtId="10" fontId="2" fillId="8" borderId="21" xfId="7" applyNumberFormat="1" applyFont="1" applyFill="1" applyBorder="1" applyAlignment="1">
      <alignment horizontal="center" vertical="center" wrapText="1"/>
    </xf>
    <xf numFmtId="10" fontId="17" fillId="13" borderId="6" xfId="7" applyNumberFormat="1" applyFont="1" applyFill="1" applyBorder="1" applyAlignment="1">
      <alignment horizontal="center" vertical="center"/>
    </xf>
    <xf numFmtId="10" fontId="2" fillId="5" borderId="36" xfId="7" applyNumberFormat="1" applyFont="1" applyFill="1" applyBorder="1" applyAlignment="1" applyProtection="1">
      <alignment horizontal="center" vertical="top" wrapText="1"/>
    </xf>
    <xf numFmtId="10" fontId="1" fillId="0" borderId="1" xfId="7" applyNumberFormat="1" applyFont="1" applyFill="1" applyBorder="1" applyAlignment="1" applyProtection="1">
      <alignment horizontal="center" vertical="top" wrapText="1"/>
    </xf>
    <xf numFmtId="10" fontId="2" fillId="5" borderId="1" xfId="7" applyNumberFormat="1" applyFont="1" applyFill="1" applyBorder="1" applyAlignment="1" applyProtection="1">
      <alignment horizontal="center" vertical="top" wrapText="1"/>
    </xf>
    <xf numFmtId="10" fontId="3" fillId="0" borderId="1" xfId="7" applyNumberFormat="1" applyFont="1" applyFill="1" applyBorder="1" applyAlignment="1" applyProtection="1">
      <alignment horizontal="center" vertical="top" wrapText="1"/>
    </xf>
    <xf numFmtId="10" fontId="1" fillId="0" borderId="18" xfId="7" applyNumberFormat="1" applyFont="1" applyFill="1" applyBorder="1" applyAlignment="1" applyProtection="1">
      <alignment horizontal="center" vertical="center" wrapText="1"/>
    </xf>
    <xf numFmtId="10" fontId="2" fillId="5" borderId="47" xfId="7" applyNumberFormat="1" applyFont="1" applyFill="1" applyBorder="1" applyAlignment="1" applyProtection="1">
      <alignment horizontal="center" vertical="top" wrapText="1"/>
    </xf>
    <xf numFmtId="172" fontId="4" fillId="8" borderId="12" xfId="7" applyNumberFormat="1" applyFont="1" applyFill="1" applyBorder="1" applyAlignment="1" applyProtection="1">
      <alignment horizontal="center"/>
    </xf>
    <xf numFmtId="172" fontId="2" fillId="8" borderId="24" xfId="7" applyNumberFormat="1" applyFont="1" applyFill="1" applyBorder="1" applyAlignment="1">
      <alignment horizontal="center" vertical="center" wrapText="1"/>
    </xf>
    <xf numFmtId="172" fontId="17" fillId="13" borderId="34" xfId="7" applyNumberFormat="1" applyFont="1" applyFill="1" applyBorder="1" applyAlignment="1" applyProtection="1">
      <alignment horizontal="center" vertical="center"/>
    </xf>
    <xf numFmtId="41" fontId="26" fillId="0" borderId="0" xfId="14" applyFont="1" applyAlignment="1">
      <alignment vertical="top"/>
    </xf>
    <xf numFmtId="0" fontId="26" fillId="0" borderId="0" xfId="0" applyFont="1" applyAlignment="1">
      <alignment vertical="top"/>
    </xf>
    <xf numFmtId="168" fontId="24" fillId="0" borderId="1" xfId="0" quotePrefix="1" applyNumberFormat="1" applyFont="1" applyFill="1" applyBorder="1" applyAlignment="1">
      <alignment horizontal="left" vertical="center" wrapText="1"/>
    </xf>
    <xf numFmtId="0" fontId="30" fillId="11" borderId="13" xfId="2" applyFont="1" applyFill="1" applyBorder="1" applyAlignment="1"/>
    <xf numFmtId="167" fontId="30" fillId="11" borderId="25" xfId="2" applyNumberFormat="1" applyFont="1" applyFill="1" applyBorder="1" applyAlignment="1"/>
    <xf numFmtId="167" fontId="30" fillId="11" borderId="33" xfId="2" applyNumberFormat="1" applyFont="1" applyFill="1" applyBorder="1" applyAlignment="1"/>
    <xf numFmtId="175" fontId="0" fillId="0" borderId="0" xfId="0" applyNumberFormat="1"/>
    <xf numFmtId="0" fontId="16" fillId="12" borderId="28" xfId="1" applyFont="1" applyFill="1" applyBorder="1" applyAlignment="1">
      <alignment horizontal="center"/>
    </xf>
    <xf numFmtId="0" fontId="26" fillId="0" borderId="0" xfId="0" applyFont="1" applyAlignment="1">
      <alignment horizontal="center"/>
    </xf>
    <xf numFmtId="0" fontId="1" fillId="0" borderId="0" xfId="0" applyFont="1" applyFill="1" applyAlignment="1">
      <alignment horizontal="center" wrapText="1"/>
    </xf>
    <xf numFmtId="49" fontId="24" fillId="0" borderId="1" xfId="0" applyNumberFormat="1" applyFont="1" applyFill="1" applyBorder="1" applyAlignment="1">
      <alignment horizontal="right" vertical="top" wrapText="1"/>
    </xf>
    <xf numFmtId="49" fontId="24" fillId="0" borderId="1" xfId="0" applyNumberFormat="1" applyFont="1" applyFill="1" applyBorder="1" applyAlignment="1" applyProtection="1">
      <alignment vertical="top" wrapText="1"/>
    </xf>
    <xf numFmtId="0" fontId="3" fillId="0" borderId="16" xfId="16" applyFont="1" applyFill="1" applyBorder="1" applyAlignment="1" applyProtection="1">
      <alignment horizontal="left" vertical="center" wrapText="1"/>
    </xf>
    <xf numFmtId="167" fontId="3" fillId="0" borderId="1" xfId="16" applyNumberFormat="1" applyFont="1" applyFill="1" applyBorder="1" applyAlignment="1" applyProtection="1">
      <alignment horizontal="left" vertical="center" wrapText="1"/>
    </xf>
    <xf numFmtId="168" fontId="3" fillId="0" borderId="1" xfId="16" applyNumberFormat="1" applyFont="1" applyFill="1" applyBorder="1" applyAlignment="1" applyProtection="1">
      <alignment horizontal="left" vertical="center" wrapText="1"/>
    </xf>
    <xf numFmtId="168" fontId="3" fillId="0" borderId="1" xfId="16" applyNumberFormat="1" applyFont="1" applyFill="1" applyBorder="1" applyAlignment="1" applyProtection="1">
      <alignment vertical="center" wrapText="1"/>
    </xf>
    <xf numFmtId="3" fontId="3" fillId="0" borderId="16" xfId="16" applyNumberFormat="1" applyFont="1" applyFill="1" applyBorder="1" applyAlignment="1" applyProtection="1">
      <alignment horizontal="right" vertical="center" wrapText="1"/>
    </xf>
    <xf numFmtId="3" fontId="3" fillId="0" borderId="1" xfId="16" applyNumberFormat="1" applyFont="1" applyFill="1" applyBorder="1" applyAlignment="1" applyProtection="1">
      <alignment horizontal="right" vertical="center" wrapText="1"/>
    </xf>
    <xf numFmtId="3" fontId="3" fillId="0" borderId="1" xfId="16" applyNumberFormat="1" applyFont="1" applyFill="1" applyBorder="1" applyAlignment="1" applyProtection="1">
      <alignment vertical="center"/>
    </xf>
    <xf numFmtId="3" fontId="3" fillId="0" borderId="57" xfId="16" applyNumberFormat="1" applyFont="1" applyFill="1" applyBorder="1" applyAlignment="1" applyProtection="1">
      <alignment vertical="center"/>
      <protection locked="0"/>
    </xf>
    <xf numFmtId="0" fontId="3" fillId="0" borderId="0" xfId="16" applyFont="1" applyFill="1" applyAlignment="1" applyProtection="1">
      <alignment vertical="center"/>
      <protection locked="0"/>
    </xf>
    <xf numFmtId="173" fontId="20" fillId="17" borderId="0" xfId="0" applyNumberFormat="1" applyFont="1" applyFill="1" applyAlignment="1" applyProtection="1">
      <alignment horizontal="right" vertical="center"/>
    </xf>
    <xf numFmtId="41" fontId="29" fillId="0" borderId="0" xfId="14" applyFont="1" applyAlignment="1"/>
    <xf numFmtId="41" fontId="0" fillId="0" borderId="0" xfId="14" applyFont="1" applyAlignment="1"/>
    <xf numFmtId="41" fontId="40" fillId="0" borderId="0" xfId="14" applyFont="1" applyAlignment="1"/>
    <xf numFmtId="0" fontId="25" fillId="17" borderId="0" xfId="0" applyFont="1" applyFill="1" applyAlignment="1" applyProtection="1">
      <alignment horizontal="center" vertical="top"/>
    </xf>
    <xf numFmtId="0" fontId="25" fillId="17" borderId="0" xfId="0" applyFont="1" applyFill="1" applyAlignment="1" applyProtection="1">
      <alignment horizontal="left" vertical="top"/>
    </xf>
    <xf numFmtId="0" fontId="0" fillId="0" borderId="0" xfId="0" applyAlignment="1">
      <alignment vertical="top"/>
    </xf>
    <xf numFmtId="0" fontId="0" fillId="0" borderId="0" xfId="0" applyAlignment="1">
      <alignment horizontal="left" vertical="top"/>
    </xf>
    <xf numFmtId="3" fontId="24" fillId="5" borderId="35" xfId="0" applyNumberFormat="1" applyFont="1" applyFill="1" applyBorder="1" applyAlignment="1" applyProtection="1">
      <alignment vertical="center"/>
      <protection locked="0"/>
    </xf>
    <xf numFmtId="0" fontId="46" fillId="0" borderId="63" xfId="0" applyNumberFormat="1" applyFont="1" applyFill="1" applyBorder="1" applyAlignment="1" applyProtection="1">
      <alignment horizontal="center" vertical="center" wrapText="1"/>
    </xf>
    <xf numFmtId="0" fontId="46" fillId="0" borderId="63" xfId="0" applyNumberFormat="1" applyFont="1" applyFill="1" applyBorder="1" applyAlignment="1" applyProtection="1">
      <alignment horizontal="left" vertical="center" wrapText="1"/>
    </xf>
    <xf numFmtId="173" fontId="45" fillId="0" borderId="63" xfId="0" applyNumberFormat="1" applyFont="1" applyFill="1" applyBorder="1" applyAlignment="1" applyProtection="1">
      <alignment vertical="center"/>
    </xf>
    <xf numFmtId="173" fontId="45" fillId="0" borderId="63" xfId="0" applyNumberFormat="1" applyFont="1" applyFill="1" applyBorder="1" applyAlignment="1" applyProtection="1">
      <alignment horizontal="right" vertical="center"/>
    </xf>
    <xf numFmtId="0" fontId="21" fillId="0" borderId="63" xfId="0" applyNumberFormat="1" applyFont="1" applyFill="1" applyBorder="1" applyAlignment="1" applyProtection="1">
      <alignment horizontal="left" vertical="center"/>
    </xf>
    <xf numFmtId="0" fontId="25" fillId="0" borderId="63" xfId="0" applyNumberFormat="1" applyFont="1" applyFill="1" applyBorder="1" applyAlignment="1" applyProtection="1">
      <alignment horizontal="center" vertical="center"/>
    </xf>
    <xf numFmtId="0" fontId="25" fillId="0" borderId="0" xfId="0" applyFont="1" applyAlignment="1"/>
    <xf numFmtId="0" fontId="1" fillId="11" borderId="0" xfId="0" applyFont="1" applyFill="1" applyAlignment="1"/>
    <xf numFmtId="0" fontId="1" fillId="10" borderId="0" xfId="0" applyFont="1" applyFill="1" applyBorder="1" applyAlignment="1"/>
    <xf numFmtId="0" fontId="1" fillId="11" borderId="0" xfId="0" applyFont="1" applyFill="1" applyBorder="1" applyAlignment="1"/>
    <xf numFmtId="3" fontId="1" fillId="11" borderId="0" xfId="0" applyNumberFormat="1" applyFont="1" applyFill="1" applyAlignment="1"/>
    <xf numFmtId="0" fontId="24" fillId="10" borderId="1" xfId="0" applyFont="1" applyFill="1" applyBorder="1" applyAlignment="1"/>
    <xf numFmtId="0" fontId="24" fillId="10" borderId="36" xfId="0" applyFont="1" applyFill="1" applyBorder="1" applyAlignment="1"/>
    <xf numFmtId="0" fontId="24" fillId="10" borderId="54" xfId="0" applyFont="1" applyFill="1" applyBorder="1" applyAlignment="1"/>
    <xf numFmtId="172" fontId="3" fillId="11" borderId="1" xfId="7" applyNumberFormat="1" applyFont="1" applyFill="1" applyBorder="1" applyAlignment="1">
      <alignment horizontal="center" vertical="center"/>
    </xf>
    <xf numFmtId="172" fontId="3" fillId="11" borderId="18" xfId="7" applyNumberFormat="1" applyFont="1" applyFill="1" applyBorder="1" applyAlignment="1">
      <alignment horizontal="center" vertical="center"/>
    </xf>
    <xf numFmtId="41" fontId="3" fillId="11" borderId="1" xfId="14" applyFont="1" applyFill="1" applyBorder="1" applyAlignment="1">
      <alignment horizontal="right" vertical="center"/>
    </xf>
    <xf numFmtId="172" fontId="3" fillId="11" borderId="26" xfId="7" applyNumberFormat="1" applyFont="1" applyFill="1" applyBorder="1" applyAlignment="1">
      <alignment horizontal="center" vertical="center"/>
    </xf>
    <xf numFmtId="0" fontId="24" fillId="10" borderId="16" xfId="0" applyFont="1" applyFill="1" applyBorder="1" applyAlignment="1"/>
    <xf numFmtId="0" fontId="16" fillId="12" borderId="10" xfId="1" applyFont="1" applyFill="1" applyBorder="1" applyAlignment="1">
      <alignment horizontal="center"/>
    </xf>
    <xf numFmtId="0" fontId="16" fillId="12" borderId="28" xfId="1" applyFont="1" applyFill="1" applyBorder="1" applyAlignment="1">
      <alignment horizontal="center"/>
    </xf>
    <xf numFmtId="0" fontId="0" fillId="0" borderId="0" xfId="0" applyAlignment="1">
      <alignment horizontal="center"/>
    </xf>
    <xf numFmtId="173" fontId="36" fillId="17" borderId="0" xfId="0" applyNumberFormat="1" applyFont="1" applyFill="1" applyAlignment="1" applyProtection="1">
      <alignment horizontal="right" vertical="center" wrapText="1"/>
    </xf>
    <xf numFmtId="41" fontId="1" fillId="0" borderId="0" xfId="14" applyFont="1" applyFill="1" applyAlignment="1">
      <alignment vertical="center"/>
    </xf>
    <xf numFmtId="3" fontId="3" fillId="12" borderId="10" xfId="0" applyNumberFormat="1" applyFont="1" applyFill="1" applyBorder="1" applyProtection="1">
      <protection locked="0"/>
    </xf>
    <xf numFmtId="0" fontId="3" fillId="12" borderId="0" xfId="0" applyFont="1" applyFill="1" applyBorder="1" applyAlignment="1" applyProtection="1">
      <protection locked="0"/>
    </xf>
    <xf numFmtId="41" fontId="40" fillId="11" borderId="0" xfId="14" applyFont="1" applyFill="1" applyAlignment="1"/>
    <xf numFmtId="0" fontId="24" fillId="0" borderId="16" xfId="0" applyFont="1" applyFill="1" applyBorder="1" applyAlignment="1" applyProtection="1">
      <alignment horizontal="left" vertical="center" wrapText="1"/>
    </xf>
    <xf numFmtId="168" fontId="24" fillId="0" borderId="1" xfId="0" applyNumberFormat="1" applyFont="1" applyFill="1" applyBorder="1" applyAlignment="1" applyProtection="1">
      <alignment horizontal="left" vertical="center" wrapText="1"/>
    </xf>
    <xf numFmtId="3" fontId="2" fillId="0" borderId="57" xfId="0" applyNumberFormat="1" applyFont="1" applyFill="1" applyBorder="1" applyAlignment="1" applyProtection="1">
      <alignment vertical="center"/>
      <protection locked="0"/>
    </xf>
    <xf numFmtId="3" fontId="4" fillId="2" borderId="24" xfId="0" applyNumberFormat="1" applyFont="1" applyFill="1" applyBorder="1" applyAlignment="1" applyProtection="1">
      <alignment vertical="center" wrapText="1"/>
      <protection locked="0"/>
    </xf>
    <xf numFmtId="173" fontId="47" fillId="17" borderId="0" xfId="0" applyNumberFormat="1" applyFont="1" applyFill="1" applyAlignment="1" applyProtection="1">
      <alignment horizontal="right" vertical="center" wrapText="1"/>
    </xf>
    <xf numFmtId="0" fontId="19" fillId="0" borderId="0" xfId="0" applyFont="1" applyAlignment="1" applyProtection="1">
      <alignment horizontal="center" vertical="center"/>
    </xf>
    <xf numFmtId="0" fontId="19" fillId="0" borderId="0" xfId="0" applyFont="1" applyAlignment="1" applyProtection="1">
      <alignment horizontal="left" vertical="center"/>
    </xf>
    <xf numFmtId="173" fontId="19" fillId="0" borderId="0" xfId="0" applyNumberFormat="1" applyFont="1" applyAlignment="1" applyProtection="1">
      <alignment horizontal="right" vertical="center"/>
    </xf>
    <xf numFmtId="3" fontId="26" fillId="0" borderId="0" xfId="0" applyNumberFormat="1" applyFont="1" applyAlignment="1"/>
    <xf numFmtId="167" fontId="32" fillId="11" borderId="33" xfId="2" applyNumberFormat="1" applyFont="1" applyFill="1" applyBorder="1" applyAlignment="1"/>
    <xf numFmtId="0" fontId="3" fillId="0" borderId="36" xfId="0" applyFont="1" applyFill="1" applyBorder="1" applyAlignment="1">
      <alignment horizontal="left" vertical="center"/>
    </xf>
    <xf numFmtId="0" fontId="1" fillId="0" borderId="36" xfId="0" applyFont="1" applyFill="1" applyBorder="1" applyAlignment="1" applyProtection="1">
      <alignment vertical="center"/>
    </xf>
    <xf numFmtId="0" fontId="16" fillId="12" borderId="28" xfId="1" applyFont="1" applyFill="1" applyBorder="1" applyAlignment="1">
      <alignment horizontal="center"/>
    </xf>
    <xf numFmtId="0" fontId="25" fillId="19" borderId="0" xfId="0" applyFont="1" applyFill="1" applyAlignment="1" applyProtection="1">
      <alignment horizontal="center" vertical="center" wrapText="1"/>
    </xf>
    <xf numFmtId="41" fontId="18" fillId="0" borderId="0" xfId="14" applyFont="1" applyFill="1"/>
    <xf numFmtId="41" fontId="1" fillId="0" borderId="0" xfId="14" applyFont="1" applyFill="1" applyAlignment="1"/>
    <xf numFmtId="0" fontId="47" fillId="17" borderId="0" xfId="0" applyFont="1" applyFill="1" applyAlignment="1" applyProtection="1">
      <alignment horizontal="center" vertical="center" wrapText="1"/>
    </xf>
    <xf numFmtId="3" fontId="3" fillId="0" borderId="1" xfId="0" applyNumberFormat="1" applyFont="1" applyFill="1" applyBorder="1" applyAlignment="1" applyProtection="1">
      <alignment vertical="center"/>
    </xf>
    <xf numFmtId="3" fontId="4" fillId="2" borderId="9" xfId="0" applyNumberFormat="1" applyFont="1" applyFill="1" applyBorder="1" applyAlignment="1" applyProtection="1">
      <alignment vertical="center" wrapText="1"/>
      <protection locked="0"/>
    </xf>
    <xf numFmtId="0" fontId="43" fillId="19" borderId="0" xfId="0" applyFont="1" applyFill="1" applyAlignment="1" applyProtection="1">
      <alignment horizontal="center" vertical="center" wrapText="1"/>
    </xf>
    <xf numFmtId="0" fontId="0" fillId="0" borderId="0" xfId="0" applyFont="1"/>
    <xf numFmtId="41" fontId="0" fillId="0" borderId="0" xfId="0" applyNumberFormat="1" applyFont="1"/>
    <xf numFmtId="173" fontId="19" fillId="0" borderId="0" xfId="0" applyNumberFormat="1" applyFont="1" applyAlignment="1" applyProtection="1">
      <alignment horizontal="right" vertical="center" wrapText="1"/>
    </xf>
    <xf numFmtId="0" fontId="43" fillId="0" borderId="0" xfId="0" applyFont="1" applyAlignment="1" applyProtection="1">
      <alignment horizontal="left" vertical="center" wrapText="1"/>
    </xf>
    <xf numFmtId="0" fontId="43" fillId="0" borderId="0" xfId="0" applyFont="1" applyAlignment="1"/>
    <xf numFmtId="0" fontId="25" fillId="0" borderId="0" xfId="0" applyFont="1" applyAlignment="1" applyProtection="1">
      <alignment horizontal="left" vertical="center"/>
    </xf>
    <xf numFmtId="10" fontId="24" fillId="5" borderId="1" xfId="7" applyNumberFormat="1" applyFont="1" applyFill="1" applyBorder="1" applyAlignment="1" applyProtection="1">
      <alignment horizontal="center" vertical="top" wrapText="1"/>
    </xf>
    <xf numFmtId="10" fontId="4" fillId="8" borderId="9" xfId="7" applyNumberFormat="1" applyFont="1" applyFill="1" applyBorder="1" applyAlignment="1" applyProtection="1">
      <alignment horizontal="center" vertical="top"/>
    </xf>
    <xf numFmtId="10" fontId="1" fillId="0" borderId="1" xfId="7" applyNumberFormat="1" applyFont="1" applyFill="1" applyBorder="1" applyAlignment="1">
      <alignment horizontal="center" vertical="top"/>
    </xf>
    <xf numFmtId="10" fontId="1" fillId="0" borderId="0" xfId="7" applyNumberFormat="1" applyFont="1" applyAlignment="1">
      <alignment horizontal="center" vertical="top"/>
    </xf>
    <xf numFmtId="10" fontId="1" fillId="0" borderId="0" xfId="7" applyNumberFormat="1" applyFont="1" applyBorder="1" applyAlignment="1">
      <alignment horizontal="center" vertical="top"/>
    </xf>
    <xf numFmtId="167" fontId="30" fillId="11" borderId="1" xfId="0" applyNumberFormat="1" applyFont="1" applyFill="1" applyBorder="1" applyAlignment="1">
      <alignment horizontal="left" vertical="center" wrapText="1"/>
    </xf>
    <xf numFmtId="170" fontId="18" fillId="10" borderId="11" xfId="0" applyNumberFormat="1" applyFont="1" applyFill="1" applyBorder="1" applyAlignment="1">
      <alignment horizontal="left" vertical="top"/>
    </xf>
    <xf numFmtId="167" fontId="18" fillId="10" borderId="0" xfId="0" applyNumberFormat="1" applyFont="1" applyFill="1" applyBorder="1" applyAlignment="1">
      <alignment horizontal="left" vertical="top"/>
    </xf>
    <xf numFmtId="168" fontId="18" fillId="10" borderId="0" xfId="0" applyNumberFormat="1" applyFont="1" applyFill="1" applyBorder="1" applyAlignment="1">
      <alignment vertical="top"/>
    </xf>
    <xf numFmtId="0" fontId="18" fillId="10" borderId="0" xfId="0" applyFont="1" applyFill="1" applyBorder="1" applyAlignment="1">
      <alignment vertical="top"/>
    </xf>
    <xf numFmtId="10" fontId="18" fillId="10" borderId="0" xfId="7" applyNumberFormat="1" applyFont="1" applyFill="1" applyBorder="1" applyAlignment="1">
      <alignment horizontal="center" vertical="top"/>
    </xf>
    <xf numFmtId="3" fontId="18" fillId="10" borderId="0" xfId="0" applyNumberFormat="1" applyFont="1" applyFill="1" applyBorder="1" applyAlignment="1">
      <alignment horizontal="right" vertical="top"/>
    </xf>
    <xf numFmtId="3" fontId="18" fillId="11" borderId="0" xfId="0" applyNumberFormat="1" applyFont="1" applyFill="1" applyBorder="1" applyAlignment="1">
      <alignment vertical="top"/>
    </xf>
    <xf numFmtId="3" fontId="18" fillId="11" borderId="0" xfId="0" applyNumberFormat="1" applyFont="1" applyFill="1" applyBorder="1" applyAlignment="1">
      <alignment horizontal="right" vertical="top"/>
    </xf>
    <xf numFmtId="3" fontId="18" fillId="0" borderId="0" xfId="0" applyNumberFormat="1" applyFont="1" applyBorder="1" applyAlignment="1">
      <alignment vertical="top"/>
    </xf>
    <xf numFmtId="0" fontId="24" fillId="5" borderId="16" xfId="0" applyFont="1" applyFill="1" applyBorder="1" applyAlignment="1" applyProtection="1">
      <alignment horizontal="left" vertical="top" wrapText="1"/>
    </xf>
    <xf numFmtId="168" fontId="12" fillId="0" borderId="16" xfId="0" applyNumberFormat="1" applyFont="1" applyFill="1" applyBorder="1" applyAlignment="1" applyProtection="1">
      <alignment horizontal="left" vertical="top" wrapText="1"/>
    </xf>
    <xf numFmtId="0" fontId="12" fillId="0" borderId="16" xfId="0" applyFont="1" applyFill="1" applyBorder="1" applyAlignment="1" applyProtection="1">
      <alignment horizontal="left" vertical="top" wrapText="1"/>
    </xf>
    <xf numFmtId="0" fontId="13" fillId="5" borderId="16" xfId="0" applyFont="1" applyFill="1" applyBorder="1" applyAlignment="1" applyProtection="1">
      <alignment horizontal="left" vertical="top" wrapText="1"/>
    </xf>
    <xf numFmtId="3" fontId="2" fillId="2" borderId="12" xfId="0" applyNumberFormat="1" applyFont="1" applyFill="1" applyBorder="1" applyAlignment="1">
      <alignment horizontal="center"/>
    </xf>
    <xf numFmtId="0" fontId="25" fillId="19" borderId="0" xfId="0" applyFont="1" applyFill="1" applyAlignment="1" applyProtection="1">
      <alignment horizontal="center" vertical="center" wrapText="1"/>
    </xf>
    <xf numFmtId="3" fontId="4" fillId="2" borderId="65" xfId="0" applyNumberFormat="1" applyFont="1" applyFill="1" applyBorder="1" applyAlignment="1">
      <alignment vertical="center"/>
    </xf>
    <xf numFmtId="3" fontId="2" fillId="5" borderId="51" xfId="0" applyNumberFormat="1" applyFont="1" applyFill="1" applyBorder="1"/>
    <xf numFmtId="3" fontId="1" fillId="0" borderId="51" xfId="0" applyNumberFormat="1" applyFont="1" applyFill="1" applyBorder="1" applyAlignment="1">
      <alignment horizontal="right" vertical="top" wrapText="1"/>
    </xf>
    <xf numFmtId="3" fontId="2" fillId="5" borderId="51" xfId="0" applyNumberFormat="1" applyFont="1" applyFill="1" applyBorder="1" applyAlignment="1">
      <alignment horizontal="right" vertical="top" wrapText="1"/>
    </xf>
    <xf numFmtId="3" fontId="3" fillId="0" borderId="51" xfId="0" applyNumberFormat="1" applyFont="1" applyFill="1" applyBorder="1" applyAlignment="1">
      <alignment horizontal="right" vertical="top" wrapText="1"/>
    </xf>
    <xf numFmtId="3" fontId="2" fillId="5" borderId="52" xfId="0" applyNumberFormat="1" applyFont="1" applyFill="1" applyBorder="1" applyAlignment="1" applyProtection="1">
      <alignment horizontal="right" vertical="top" wrapText="1"/>
    </xf>
    <xf numFmtId="0" fontId="1" fillId="0" borderId="0" xfId="0" applyFont="1" applyFill="1" applyBorder="1" applyAlignment="1">
      <alignment horizontal="center"/>
    </xf>
    <xf numFmtId="41" fontId="17" fillId="13" borderId="15" xfId="14" applyFont="1" applyFill="1" applyBorder="1" applyAlignment="1" applyProtection="1">
      <alignment vertical="center"/>
    </xf>
    <xf numFmtId="41" fontId="2" fillId="5" borderId="16" xfId="14" applyFont="1" applyFill="1" applyBorder="1" applyAlignment="1">
      <alignment horizontal="right" vertical="top" wrapText="1"/>
    </xf>
    <xf numFmtId="41" fontId="3" fillId="0" borderId="19" xfId="14" applyFont="1" applyFill="1" applyBorder="1" applyAlignment="1" applyProtection="1">
      <alignment horizontal="right" vertical="top" wrapText="1"/>
    </xf>
    <xf numFmtId="1" fontId="1" fillId="10" borderId="0" xfId="14" applyNumberFormat="1" applyFont="1" applyFill="1" applyBorder="1" applyAlignment="1">
      <alignment horizontal="center"/>
    </xf>
    <xf numFmtId="1" fontId="4" fillId="7" borderId="9" xfId="14" applyNumberFormat="1" applyFont="1" applyFill="1" applyBorder="1" applyAlignment="1">
      <alignment horizontal="center"/>
    </xf>
    <xf numFmtId="1" fontId="2" fillId="7" borderId="43" xfId="14" applyNumberFormat="1" applyFont="1" applyFill="1" applyBorder="1" applyAlignment="1">
      <alignment horizontal="center" vertical="center" wrapText="1"/>
    </xf>
    <xf numFmtId="1" fontId="2" fillId="5" borderId="16" xfId="14" applyNumberFormat="1" applyFont="1" applyFill="1" applyBorder="1"/>
    <xf numFmtId="1" fontId="2" fillId="5" borderId="16" xfId="14" applyNumberFormat="1" applyFont="1" applyFill="1" applyBorder="1" applyAlignment="1">
      <alignment horizontal="right" vertical="top" wrapText="1"/>
    </xf>
    <xf numFmtId="1" fontId="1" fillId="0" borderId="16" xfId="14" applyNumberFormat="1" applyFont="1" applyFill="1" applyBorder="1"/>
    <xf numFmtId="1" fontId="2" fillId="5" borderId="16" xfId="14" applyNumberFormat="1" applyFont="1" applyFill="1" applyBorder="1" applyAlignment="1" applyProtection="1">
      <alignment horizontal="right" vertical="top" wrapText="1"/>
    </xf>
    <xf numFmtId="1" fontId="3" fillId="0" borderId="16" xfId="14" applyNumberFormat="1" applyFont="1" applyFill="1" applyBorder="1" applyAlignment="1" applyProtection="1">
      <alignment horizontal="right" vertical="top" wrapText="1"/>
    </xf>
    <xf numFmtId="1" fontId="2" fillId="5" borderId="17" xfId="14" applyNumberFormat="1" applyFont="1" applyFill="1" applyBorder="1" applyAlignment="1" applyProtection="1">
      <alignment horizontal="right" vertical="top" wrapText="1"/>
    </xf>
    <xf numFmtId="1" fontId="1" fillId="0" borderId="0" xfId="14" applyNumberFormat="1" applyFont="1" applyBorder="1"/>
    <xf numFmtId="1" fontId="1" fillId="0" borderId="0" xfId="14" applyNumberFormat="1" applyFont="1"/>
    <xf numFmtId="1" fontId="1" fillId="10" borderId="0" xfId="0" applyNumberFormat="1" applyFont="1" applyFill="1" applyBorder="1" applyAlignment="1">
      <alignment horizontal="center"/>
    </xf>
    <xf numFmtId="1" fontId="4" fillId="7" borderId="9" xfId="0" applyNumberFormat="1" applyFont="1" applyFill="1" applyBorder="1" applyAlignment="1">
      <alignment horizontal="center"/>
    </xf>
    <xf numFmtId="1" fontId="2" fillId="7" borderId="41" xfId="0" applyNumberFormat="1" applyFont="1" applyFill="1" applyBorder="1" applyAlignment="1">
      <alignment horizontal="center" vertical="center" wrapText="1"/>
    </xf>
    <xf numFmtId="1" fontId="2" fillId="5" borderId="1" xfId="0" applyNumberFormat="1" applyFont="1" applyFill="1" applyBorder="1"/>
    <xf numFmtId="1" fontId="2" fillId="5" borderId="1" xfId="0" applyNumberFormat="1" applyFont="1" applyFill="1" applyBorder="1" applyAlignment="1">
      <alignment horizontal="right" vertical="top" wrapText="1"/>
    </xf>
    <xf numFmtId="1" fontId="1" fillId="0" borderId="1" xfId="0" applyNumberFormat="1" applyFont="1" applyFill="1" applyBorder="1" applyAlignment="1">
      <alignment horizontal="right" vertical="top" wrapText="1"/>
    </xf>
    <xf numFmtId="1" fontId="1" fillId="0" borderId="18" xfId="0" applyNumberFormat="1" applyFont="1" applyFill="1" applyBorder="1" applyAlignment="1">
      <alignment horizontal="right" vertical="top" wrapText="1"/>
    </xf>
    <xf numFmtId="1" fontId="2" fillId="5" borderId="3" xfId="0" applyNumberFormat="1" applyFont="1" applyFill="1" applyBorder="1" applyAlignment="1" applyProtection="1">
      <alignment horizontal="right" vertical="top" wrapText="1"/>
    </xf>
    <xf numFmtId="1" fontId="1" fillId="0" borderId="0" xfId="0" applyNumberFormat="1" applyFont="1" applyBorder="1"/>
    <xf numFmtId="1" fontId="1" fillId="0" borderId="0" xfId="0" applyNumberFormat="1" applyFont="1"/>
    <xf numFmtId="3" fontId="2" fillId="5" borderId="52" xfId="0" applyNumberFormat="1" applyFont="1" applyFill="1" applyBorder="1"/>
    <xf numFmtId="3" fontId="2" fillId="2" borderId="9" xfId="0" applyNumberFormat="1" applyFont="1" applyFill="1" applyBorder="1" applyAlignment="1">
      <alignment horizontal="center"/>
    </xf>
    <xf numFmtId="3" fontId="1" fillId="0" borderId="51" xfId="0" applyNumberFormat="1" applyFont="1" applyFill="1" applyBorder="1"/>
    <xf numFmtId="3" fontId="2" fillId="5" borderId="66" xfId="0" applyNumberFormat="1" applyFont="1" applyFill="1" applyBorder="1" applyAlignment="1">
      <alignment horizontal="right" vertical="top" wrapText="1"/>
    </xf>
    <xf numFmtId="3" fontId="2" fillId="5" borderId="32" xfId="0" applyNumberFormat="1" applyFont="1" applyFill="1" applyBorder="1"/>
    <xf numFmtId="3" fontId="1" fillId="10" borderId="32" xfId="0" applyNumberFormat="1" applyFont="1" applyFill="1" applyBorder="1" applyAlignment="1">
      <alignment horizontal="center" vertical="center" wrapText="1"/>
    </xf>
    <xf numFmtId="3" fontId="1" fillId="0" borderId="59" xfId="0" applyNumberFormat="1" applyFont="1" applyFill="1" applyBorder="1" applyAlignment="1">
      <alignment horizontal="right" vertical="top" wrapText="1"/>
    </xf>
    <xf numFmtId="3" fontId="2" fillId="5" borderId="13" xfId="0" applyNumberFormat="1" applyFont="1" applyFill="1" applyBorder="1" applyAlignment="1">
      <alignment horizontal="right" vertical="top" wrapText="1"/>
    </xf>
    <xf numFmtId="3" fontId="2" fillId="5" borderId="51" xfId="0" applyNumberFormat="1" applyFont="1" applyFill="1" applyBorder="1" applyAlignment="1" applyProtection="1">
      <alignment horizontal="right" vertical="top" wrapText="1"/>
    </xf>
    <xf numFmtId="41" fontId="1" fillId="0" borderId="30" xfId="14" applyFont="1" applyFill="1" applyBorder="1"/>
    <xf numFmtId="3" fontId="3" fillId="11" borderId="0" xfId="0" applyNumberFormat="1" applyFont="1" applyFill="1" applyBorder="1" applyProtection="1">
      <protection locked="0"/>
    </xf>
    <xf numFmtId="3" fontId="4" fillId="2" borderId="9" xfId="0" applyNumberFormat="1" applyFont="1" applyFill="1" applyBorder="1" applyAlignment="1" applyProtection="1">
      <alignment horizontal="center"/>
      <protection locked="0"/>
    </xf>
    <xf numFmtId="3" fontId="1" fillId="0" borderId="51" xfId="0" applyNumberFormat="1" applyFont="1" applyFill="1" applyBorder="1" applyAlignment="1" applyProtection="1">
      <alignment vertical="center"/>
      <protection locked="0"/>
    </xf>
    <xf numFmtId="41" fontId="1" fillId="0" borderId="30" xfId="14" applyFont="1" applyFill="1" applyBorder="1" applyAlignment="1" applyProtection="1">
      <alignment vertical="center" wrapText="1"/>
      <protection locked="0"/>
    </xf>
    <xf numFmtId="3" fontId="3" fillId="0" borderId="51" xfId="16" applyNumberFormat="1" applyFont="1" applyFill="1" applyBorder="1" applyAlignment="1" applyProtection="1">
      <alignment vertical="center"/>
      <protection locked="0"/>
    </xf>
    <xf numFmtId="41" fontId="1" fillId="0" borderId="51" xfId="14" applyFont="1" applyFill="1" applyBorder="1" applyAlignment="1" applyProtection="1">
      <alignment vertical="center" wrapText="1"/>
      <protection locked="0"/>
    </xf>
    <xf numFmtId="3" fontId="2" fillId="5" borderId="52" xfId="0" applyNumberFormat="1" applyFont="1" applyFill="1" applyBorder="1" applyAlignment="1" applyProtection="1">
      <alignment vertical="center"/>
      <protection locked="0"/>
    </xf>
    <xf numFmtId="3" fontId="2" fillId="0" borderId="2" xfId="0" applyNumberFormat="1" applyFont="1" applyFill="1" applyBorder="1" applyAlignment="1" applyProtection="1">
      <alignment vertical="center"/>
      <protection locked="0"/>
    </xf>
    <xf numFmtId="3" fontId="3" fillId="0" borderId="2" xfId="16" applyNumberFormat="1" applyFont="1" applyFill="1" applyBorder="1" applyAlignment="1" applyProtection="1">
      <alignment vertical="center"/>
      <protection locked="0"/>
    </xf>
    <xf numFmtId="3" fontId="3" fillId="0" borderId="57" xfId="0" applyNumberFormat="1" applyFont="1" applyFill="1" applyBorder="1" applyAlignment="1" applyProtection="1">
      <alignment horizontal="right" vertical="center"/>
      <protection locked="0"/>
    </xf>
    <xf numFmtId="3" fontId="24" fillId="5" borderId="51" xfId="0" applyNumberFormat="1" applyFont="1" applyFill="1" applyBorder="1" applyAlignment="1" applyProtection="1">
      <alignment horizontal="right" vertical="center"/>
      <protection locked="0"/>
    </xf>
    <xf numFmtId="3" fontId="3" fillId="0" borderId="51" xfId="0" applyNumberFormat="1" applyFont="1" applyFill="1" applyBorder="1" applyAlignment="1" applyProtection="1">
      <alignment horizontal="right" vertical="center"/>
      <protection locked="0"/>
    </xf>
    <xf numFmtId="3" fontId="3" fillId="0" borderId="51" xfId="16" applyNumberFormat="1" applyFont="1" applyFill="1" applyBorder="1" applyAlignment="1" applyProtection="1">
      <alignment horizontal="right" vertical="center"/>
      <protection locked="0"/>
    </xf>
    <xf numFmtId="3" fontId="24" fillId="5" borderId="52" xfId="0" applyNumberFormat="1" applyFont="1" applyFill="1" applyBorder="1" applyAlignment="1" applyProtection="1">
      <alignment horizontal="right" vertical="center"/>
      <protection locked="0"/>
    </xf>
    <xf numFmtId="0" fontId="48" fillId="0" borderId="0" xfId="0" applyFont="1"/>
    <xf numFmtId="173" fontId="48" fillId="0" borderId="0" xfId="0" applyNumberFormat="1" applyFont="1"/>
    <xf numFmtId="3" fontId="48" fillId="20" borderId="0" xfId="14" applyNumberFormat="1" applyFont="1" applyFill="1"/>
    <xf numFmtId="41" fontId="48" fillId="0" borderId="0" xfId="14" applyFont="1"/>
    <xf numFmtId="41" fontId="48" fillId="0" borderId="0" xfId="14" applyFont="1" applyAlignment="1">
      <alignment wrapText="1"/>
    </xf>
    <xf numFmtId="3" fontId="48" fillId="11" borderId="0" xfId="14" applyNumberFormat="1" applyFont="1" applyFill="1"/>
    <xf numFmtId="41" fontId="48" fillId="0" borderId="0" xfId="0" applyNumberFormat="1" applyFont="1"/>
    <xf numFmtId="41" fontId="48" fillId="0" borderId="0" xfId="14" applyFont="1" applyFill="1"/>
    <xf numFmtId="3" fontId="48" fillId="0" borderId="0" xfId="0" applyNumberFormat="1" applyFont="1"/>
    <xf numFmtId="0" fontId="48" fillId="0" borderId="0" xfId="0" applyFont="1" applyAlignment="1">
      <alignment horizontal="left"/>
    </xf>
    <xf numFmtId="41" fontId="48" fillId="0" borderId="0" xfId="14" applyFont="1" applyAlignment="1"/>
    <xf numFmtId="0" fontId="48" fillId="18" borderId="0" xfId="0" applyFont="1" applyFill="1" applyAlignment="1">
      <alignment horizontal="center" vertical="center" wrapText="1"/>
    </xf>
    <xf numFmtId="0" fontId="43" fillId="19" borderId="0" xfId="0" applyFont="1" applyFill="1" applyAlignment="1">
      <alignment horizontal="center" vertical="center" wrapText="1"/>
    </xf>
    <xf numFmtId="0" fontId="48" fillId="17" borderId="0" xfId="0" applyFont="1" applyFill="1" applyAlignment="1">
      <alignment horizontal="center" vertical="center" wrapText="1"/>
    </xf>
    <xf numFmtId="173" fontId="48" fillId="17" borderId="0" xfId="0" applyNumberFormat="1" applyFont="1" applyFill="1" applyAlignment="1">
      <alignment horizontal="right" vertical="center" wrapText="1"/>
    </xf>
    <xf numFmtId="0" fontId="43" fillId="17" borderId="0" xfId="0" applyFont="1" applyFill="1" applyAlignment="1">
      <alignment horizontal="center" vertical="center" wrapText="1"/>
    </xf>
    <xf numFmtId="173" fontId="43" fillId="17" borderId="0" xfId="0" applyNumberFormat="1" applyFont="1" applyFill="1" applyAlignment="1">
      <alignment horizontal="right" vertical="center" wrapText="1"/>
    </xf>
    <xf numFmtId="0" fontId="43" fillId="17" borderId="0" xfId="0" applyFont="1" applyFill="1" applyAlignment="1">
      <alignment horizontal="left" vertical="center" wrapText="1"/>
    </xf>
    <xf numFmtId="0" fontId="43" fillId="20" borderId="0" xfId="0" applyFont="1" applyFill="1" applyAlignment="1">
      <alignment horizontal="center" vertical="center" wrapText="1"/>
    </xf>
    <xf numFmtId="173" fontId="43" fillId="20" borderId="0" xfId="0" applyNumberFormat="1" applyFont="1" applyFill="1" applyAlignment="1">
      <alignment horizontal="right" vertical="center" wrapText="1"/>
    </xf>
    <xf numFmtId="41" fontId="43" fillId="0" borderId="0" xfId="14" applyFont="1"/>
    <xf numFmtId="0" fontId="43" fillId="11" borderId="0" xfId="0" applyFont="1" applyFill="1" applyAlignment="1" applyProtection="1">
      <alignment horizontal="center" vertical="center" wrapText="1"/>
    </xf>
    <xf numFmtId="0" fontId="43" fillId="11" borderId="0" xfId="0" applyFont="1" applyFill="1" applyAlignment="1" applyProtection="1">
      <alignment horizontal="left" vertical="center" wrapText="1"/>
    </xf>
    <xf numFmtId="173" fontId="43" fillId="11" borderId="0" xfId="0" applyNumberFormat="1" applyFont="1" applyFill="1" applyAlignment="1" applyProtection="1">
      <alignment horizontal="right" vertical="center" wrapText="1"/>
    </xf>
    <xf numFmtId="41" fontId="48" fillId="11" borderId="0" xfId="14" applyFont="1" applyFill="1"/>
    <xf numFmtId="41" fontId="43" fillId="17" borderId="0" xfId="14" applyFont="1" applyFill="1" applyAlignment="1" applyProtection="1">
      <alignment horizontal="center" vertical="center" wrapText="1"/>
    </xf>
    <xf numFmtId="0" fontId="43" fillId="17" borderId="0" xfId="0" applyFont="1" applyFill="1" applyAlignment="1" applyProtection="1">
      <alignment horizontal="center" vertical="center"/>
    </xf>
    <xf numFmtId="0" fontId="43" fillId="17" borderId="0" xfId="0" applyFont="1" applyFill="1" applyAlignment="1" applyProtection="1">
      <alignment horizontal="left" vertical="center"/>
    </xf>
    <xf numFmtId="173" fontId="43" fillId="17" borderId="0" xfId="0" applyNumberFormat="1" applyFont="1" applyFill="1" applyAlignment="1" applyProtection="1">
      <alignment horizontal="right" vertical="center"/>
    </xf>
    <xf numFmtId="41" fontId="48" fillId="11" borderId="0" xfId="14" applyFont="1" applyFill="1" applyAlignment="1"/>
    <xf numFmtId="41" fontId="43" fillId="17" borderId="0" xfId="14" applyFont="1" applyFill="1" applyAlignment="1" applyProtection="1">
      <alignment horizontal="right" vertical="center" wrapText="1"/>
    </xf>
    <xf numFmtId="0" fontId="43" fillId="0" borderId="0" xfId="0" applyFont="1" applyFill="1" applyAlignment="1" applyProtection="1">
      <alignment horizontal="center" vertical="center" wrapText="1"/>
    </xf>
    <xf numFmtId="173" fontId="43" fillId="0" borderId="0" xfId="0" applyNumberFormat="1" applyFont="1" applyFill="1" applyAlignment="1" applyProtection="1">
      <alignment horizontal="right" vertical="center" wrapText="1"/>
    </xf>
    <xf numFmtId="41" fontId="43" fillId="17" borderId="0" xfId="14" applyFont="1" applyFill="1" applyAlignment="1" applyProtection="1">
      <alignment horizontal="center" vertical="center"/>
    </xf>
    <xf numFmtId="41" fontId="43" fillId="17" borderId="0" xfId="14" applyFont="1" applyFill="1" applyAlignment="1" applyProtection="1">
      <alignment horizontal="left" vertical="center"/>
    </xf>
    <xf numFmtId="41" fontId="43" fillId="17" borderId="0" xfId="14" applyFont="1" applyFill="1" applyAlignment="1" applyProtection="1">
      <alignment horizontal="right" vertical="center"/>
    </xf>
    <xf numFmtId="41" fontId="48" fillId="0" borderId="0" xfId="14" applyFont="1" applyAlignment="1">
      <alignment horizontal="left" wrapText="1"/>
    </xf>
    <xf numFmtId="3" fontId="1" fillId="0" borderId="0" xfId="14" applyNumberFormat="1" applyFont="1" applyFill="1" applyAlignment="1" applyProtection="1">
      <alignment horizontal="right"/>
      <protection locked="0"/>
    </xf>
    <xf numFmtId="3" fontId="1" fillId="0" borderId="0" xfId="14" applyNumberFormat="1" applyFont="1" applyAlignment="1" applyProtection="1">
      <alignment horizontal="right"/>
      <protection locked="0"/>
    </xf>
    <xf numFmtId="3" fontId="38" fillId="0" borderId="0" xfId="14" applyNumberFormat="1" applyFont="1" applyFill="1" applyAlignment="1" applyProtection="1">
      <alignment horizontal="right"/>
      <protection locked="0"/>
    </xf>
    <xf numFmtId="3" fontId="3" fillId="10" borderId="0" xfId="14" applyNumberFormat="1" applyFont="1" applyFill="1" applyBorder="1" applyAlignment="1" applyProtection="1">
      <alignment horizontal="right" vertical="center"/>
    </xf>
    <xf numFmtId="3" fontId="24" fillId="5" borderId="57" xfId="14" applyNumberFormat="1" applyFont="1" applyFill="1" applyBorder="1" applyAlignment="1" applyProtection="1">
      <alignment horizontal="right" vertical="center"/>
    </xf>
    <xf numFmtId="3" fontId="24" fillId="5" borderId="57" xfId="14" applyNumberFormat="1" applyFont="1" applyFill="1" applyBorder="1" applyAlignment="1" applyProtection="1">
      <alignment horizontal="right" vertical="center" wrapText="1"/>
    </xf>
    <xf numFmtId="3" fontId="3" fillId="0" borderId="57" xfId="14" applyNumberFormat="1" applyFont="1" applyFill="1" applyBorder="1" applyAlignment="1" applyProtection="1">
      <alignment horizontal="right" vertical="center"/>
    </xf>
    <xf numFmtId="3" fontId="24" fillId="5" borderId="50" xfId="14" applyNumberFormat="1" applyFont="1" applyFill="1" applyBorder="1" applyAlignment="1" applyProtection="1">
      <alignment horizontal="right" vertical="center"/>
    </xf>
    <xf numFmtId="3" fontId="1" fillId="0" borderId="0" xfId="14" applyNumberFormat="1" applyFont="1" applyFill="1" applyBorder="1" applyAlignment="1" applyProtection="1">
      <alignment horizontal="right"/>
      <protection locked="0"/>
    </xf>
    <xf numFmtId="3" fontId="1" fillId="0" borderId="0" xfId="14" applyNumberFormat="1" applyFont="1" applyFill="1" applyAlignment="1" applyProtection="1">
      <alignment horizontal="right" vertical="center"/>
      <protection locked="0"/>
    </xf>
    <xf numFmtId="3" fontId="3" fillId="11" borderId="0" xfId="14" applyNumberFormat="1" applyFont="1" applyFill="1" applyBorder="1" applyAlignment="1" applyProtection="1">
      <alignment horizontal="center" vertical="center"/>
      <protection locked="0"/>
    </xf>
    <xf numFmtId="168" fontId="24" fillId="5" borderId="1" xfId="0" applyNumberFormat="1" applyFont="1" applyFill="1" applyBorder="1" applyAlignment="1" applyProtection="1">
      <alignment vertical="center"/>
    </xf>
    <xf numFmtId="172" fontId="24" fillId="5" borderId="3" xfId="7" applyNumberFormat="1" applyFont="1" applyFill="1" applyBorder="1" applyAlignment="1" applyProtection="1">
      <alignment horizontal="center" vertical="center" wrapText="1"/>
    </xf>
    <xf numFmtId="172" fontId="24" fillId="5" borderId="36" xfId="2" applyNumberFormat="1" applyFont="1" applyFill="1" applyBorder="1" applyAlignment="1" applyProtection="1">
      <alignment horizontal="center" vertical="center" wrapText="1"/>
    </xf>
    <xf numFmtId="172" fontId="24" fillId="0" borderId="36" xfId="2" applyNumberFormat="1" applyFont="1" applyFill="1" applyBorder="1" applyAlignment="1" applyProtection="1">
      <alignment horizontal="center" vertical="center" wrapText="1"/>
    </xf>
    <xf numFmtId="172" fontId="24" fillId="5" borderId="36" xfId="7" applyNumberFormat="1" applyFont="1" applyFill="1" applyBorder="1" applyAlignment="1" applyProtection="1">
      <alignment horizontal="center" vertical="center" wrapText="1"/>
    </xf>
    <xf numFmtId="172" fontId="24" fillId="0" borderId="36" xfId="7" applyNumberFormat="1" applyFont="1" applyFill="1" applyBorder="1" applyAlignment="1" applyProtection="1">
      <alignment horizontal="center" vertical="center" wrapText="1"/>
    </xf>
    <xf numFmtId="3" fontId="3" fillId="0" borderId="23" xfId="0" applyNumberFormat="1" applyFont="1" applyFill="1" applyBorder="1" applyAlignment="1" applyProtection="1">
      <alignment horizontal="right" vertical="center"/>
    </xf>
    <xf numFmtId="3" fontId="24" fillId="5" borderId="23" xfId="0" applyNumberFormat="1" applyFont="1" applyFill="1" applyBorder="1" applyAlignment="1" applyProtection="1">
      <alignment horizontal="right" vertical="center"/>
    </xf>
    <xf numFmtId="3" fontId="3" fillId="0" borderId="23" xfId="16" applyNumberFormat="1" applyFont="1" applyFill="1" applyBorder="1" applyAlignment="1" applyProtection="1">
      <alignment horizontal="right" vertical="center"/>
    </xf>
    <xf numFmtId="3" fontId="24" fillId="5" borderId="39" xfId="0" applyNumberFormat="1" applyFont="1" applyFill="1" applyBorder="1" applyAlignment="1" applyProtection="1">
      <alignment horizontal="right" vertical="center"/>
    </xf>
    <xf numFmtId="0" fontId="15" fillId="0" borderId="0" xfId="0" applyFont="1" applyFill="1" applyBorder="1" applyAlignment="1" applyProtection="1">
      <alignment horizontal="left"/>
      <protection locked="0"/>
    </xf>
    <xf numFmtId="167" fontId="15" fillId="0" borderId="0" xfId="0" applyNumberFormat="1" applyFont="1" applyFill="1" applyBorder="1" applyAlignment="1" applyProtection="1">
      <alignment horizontal="left" vertical="center"/>
      <protection locked="0"/>
    </xf>
    <xf numFmtId="168" fontId="15" fillId="0" borderId="0" xfId="0" applyNumberFormat="1" applyFont="1" applyFill="1" applyBorder="1" applyAlignment="1" applyProtection="1">
      <alignment horizontal="left" vertical="center"/>
      <protection locked="0"/>
    </xf>
    <xf numFmtId="0" fontId="15" fillId="0" borderId="0" xfId="0" applyFont="1" applyFill="1" applyBorder="1" applyProtection="1">
      <protection locked="0"/>
    </xf>
    <xf numFmtId="3" fontId="15" fillId="0" borderId="0" xfId="0" applyNumberFormat="1" applyFont="1" applyFill="1" applyBorder="1" applyProtection="1">
      <protection locked="0"/>
    </xf>
    <xf numFmtId="3" fontId="15" fillId="0" borderId="0" xfId="0" applyNumberFormat="1" applyFont="1" applyFill="1" applyBorder="1" applyAlignment="1" applyProtection="1">
      <alignment horizontal="center"/>
      <protection locked="0"/>
    </xf>
    <xf numFmtId="3" fontId="15" fillId="0" borderId="0" xfId="0" applyNumberFormat="1" applyFont="1" applyFill="1" applyBorder="1" applyAlignment="1" applyProtection="1">
      <alignment horizontal="right"/>
      <protection locked="0"/>
    </xf>
    <xf numFmtId="3" fontId="15" fillId="0" borderId="0" xfId="7" applyNumberFormat="1" applyFont="1" applyFill="1" applyBorder="1" applyProtection="1">
      <protection locked="0"/>
    </xf>
    <xf numFmtId="10" fontId="15" fillId="0" borderId="0" xfId="7" applyNumberFormat="1" applyFont="1" applyFill="1" applyBorder="1" applyProtection="1">
      <protection locked="0"/>
    </xf>
    <xf numFmtId="3" fontId="15" fillId="0" borderId="0" xfId="7" applyNumberFormat="1" applyFont="1" applyFill="1" applyProtection="1">
      <protection locked="0"/>
    </xf>
    <xf numFmtId="3" fontId="15" fillId="0" borderId="0" xfId="14" applyNumberFormat="1" applyFont="1" applyFill="1" applyAlignment="1" applyProtection="1">
      <alignment horizontal="right"/>
      <protection locked="0"/>
    </xf>
    <xf numFmtId="0" fontId="32" fillId="13" borderId="15" xfId="2" applyFont="1" applyFill="1" applyBorder="1" applyAlignment="1" applyProtection="1">
      <alignment vertical="center"/>
    </xf>
    <xf numFmtId="167" fontId="32" fillId="13" borderId="6" xfId="2" applyNumberFormat="1" applyFont="1" applyFill="1" applyBorder="1" applyAlignment="1" applyProtection="1">
      <alignment vertical="center"/>
    </xf>
    <xf numFmtId="168" fontId="32" fillId="13" borderId="6" xfId="2" applyNumberFormat="1" applyFont="1" applyFill="1" applyBorder="1" applyAlignment="1" applyProtection="1">
      <alignment vertical="center"/>
    </xf>
    <xf numFmtId="168" fontId="31" fillId="13" borderId="6" xfId="2" applyNumberFormat="1" applyFont="1" applyFill="1" applyBorder="1" applyAlignment="1" applyProtection="1">
      <alignment vertical="center"/>
    </xf>
    <xf numFmtId="0" fontId="32" fillId="13" borderId="34" xfId="2" applyFont="1" applyFill="1" applyBorder="1" applyAlignment="1" applyProtection="1">
      <alignment horizontal="center" vertical="center"/>
    </xf>
    <xf numFmtId="3" fontId="32" fillId="13" borderId="15" xfId="2" applyNumberFormat="1" applyFont="1" applyFill="1" applyBorder="1" applyAlignment="1" applyProtection="1">
      <alignment vertical="center"/>
    </xf>
    <xf numFmtId="3" fontId="32" fillId="13" borderId="6" xfId="2" applyNumberFormat="1" applyFont="1" applyFill="1" applyBorder="1" applyAlignment="1" applyProtection="1">
      <alignment vertical="center"/>
    </xf>
    <xf numFmtId="172" fontId="32" fillId="13" borderId="6" xfId="2" applyNumberFormat="1" applyFont="1" applyFill="1" applyBorder="1" applyAlignment="1" applyProtection="1">
      <alignment horizontal="center" vertical="center"/>
    </xf>
    <xf numFmtId="3" fontId="32" fillId="13" borderId="6" xfId="14" applyNumberFormat="1" applyFont="1" applyFill="1" applyBorder="1" applyAlignment="1" applyProtection="1">
      <alignment horizontal="right" vertical="center"/>
    </xf>
    <xf numFmtId="41" fontId="32" fillId="13" borderId="6" xfId="14" applyFont="1" applyFill="1" applyBorder="1" applyAlignment="1" applyProtection="1">
      <alignment horizontal="center" vertical="center"/>
    </xf>
    <xf numFmtId="10" fontId="32" fillId="13" borderId="37" xfId="7" applyNumberFormat="1" applyFont="1" applyFill="1" applyBorder="1" applyAlignment="1" applyProtection="1">
      <alignment horizontal="center" vertical="center"/>
    </xf>
    <xf numFmtId="3" fontId="2" fillId="2" borderId="58" xfId="14" applyNumberFormat="1" applyFont="1" applyFill="1" applyBorder="1" applyAlignment="1" applyProtection="1">
      <alignment horizontal="right" vertical="center"/>
      <protection locked="0"/>
    </xf>
    <xf numFmtId="3" fontId="2" fillId="2" borderId="26" xfId="0" applyNumberFormat="1" applyFont="1" applyFill="1" applyBorder="1" applyAlignment="1" applyProtection="1">
      <alignment horizontal="right" vertical="center"/>
      <protection locked="0"/>
    </xf>
    <xf numFmtId="3" fontId="2" fillId="2" borderId="65" xfId="0" applyNumberFormat="1" applyFont="1" applyFill="1" applyBorder="1" applyAlignment="1" applyProtection="1">
      <alignment horizontal="right" vertical="center"/>
      <protection locked="0"/>
    </xf>
    <xf numFmtId="3" fontId="2" fillId="2" borderId="61" xfId="0" applyNumberFormat="1" applyFont="1" applyFill="1" applyBorder="1" applyAlignment="1" applyProtection="1">
      <alignment vertical="center"/>
      <protection locked="0"/>
    </xf>
    <xf numFmtId="3" fontId="2" fillId="2" borderId="65" xfId="0" applyNumberFormat="1" applyFont="1" applyFill="1" applyBorder="1" applyAlignment="1" applyProtection="1">
      <alignment vertical="center"/>
      <protection locked="0"/>
    </xf>
    <xf numFmtId="3" fontId="2" fillId="2" borderId="7" xfId="0" applyNumberFormat="1" applyFont="1" applyFill="1" applyBorder="1" applyAlignment="1" applyProtection="1">
      <alignment vertical="center"/>
      <protection locked="0"/>
    </xf>
    <xf numFmtId="3" fontId="2" fillId="2" borderId="34" xfId="0" applyNumberFormat="1" applyFont="1" applyFill="1" applyBorder="1" applyAlignment="1" applyProtection="1">
      <alignment vertical="center"/>
      <protection locked="0"/>
    </xf>
    <xf numFmtId="168" fontId="15" fillId="0" borderId="0" xfId="0" applyNumberFormat="1" applyFont="1" applyFill="1" applyBorder="1" applyProtection="1">
      <protection locked="0"/>
    </xf>
    <xf numFmtId="168" fontId="15" fillId="0" borderId="0" xfId="0" applyNumberFormat="1" applyFont="1" applyFill="1" applyBorder="1" applyAlignment="1" applyProtection="1">
      <protection locked="0"/>
    </xf>
    <xf numFmtId="168" fontId="1" fillId="0" borderId="0" xfId="0" applyNumberFormat="1" applyFont="1" applyFill="1" applyBorder="1" applyProtection="1">
      <protection locked="0"/>
    </xf>
    <xf numFmtId="168" fontId="1" fillId="0" borderId="0" xfId="0" applyNumberFormat="1" applyFont="1" applyFill="1" applyBorder="1" applyAlignment="1" applyProtection="1">
      <protection locked="0"/>
    </xf>
    <xf numFmtId="3" fontId="24" fillId="11" borderId="16" xfId="0" applyNumberFormat="1" applyFont="1" applyFill="1" applyBorder="1" applyAlignment="1">
      <alignment horizontal="right" vertical="top" wrapText="1"/>
    </xf>
    <xf numFmtId="41" fontId="2" fillId="11" borderId="0" xfId="0" applyNumberFormat="1" applyFont="1" applyFill="1"/>
    <xf numFmtId="174" fontId="2" fillId="11" borderId="0" xfId="0" applyNumberFormat="1" applyFont="1" applyFill="1"/>
    <xf numFmtId="3" fontId="37" fillId="8" borderId="47" xfId="0" applyNumberFormat="1" applyFont="1" applyFill="1" applyBorder="1" applyAlignment="1">
      <alignment horizontal="center" vertical="center" wrapText="1"/>
    </xf>
    <xf numFmtId="0" fontId="25" fillId="19" borderId="0" xfId="0" applyFont="1" applyFill="1" applyAlignment="1" applyProtection="1">
      <alignment horizontal="center" vertical="center" wrapText="1"/>
    </xf>
    <xf numFmtId="0" fontId="35" fillId="10" borderId="11" xfId="0" applyFont="1" applyFill="1" applyBorder="1" applyAlignment="1">
      <alignment horizontal="center" vertical="center"/>
    </xf>
    <xf numFmtId="0" fontId="35" fillId="10" borderId="0" xfId="0" applyFont="1" applyFill="1" applyBorder="1" applyAlignment="1">
      <alignment horizontal="center" vertical="center"/>
    </xf>
    <xf numFmtId="0" fontId="5" fillId="14" borderId="9" xfId="0" applyFont="1" applyFill="1" applyBorder="1" applyAlignment="1" applyProtection="1">
      <alignment horizontal="center"/>
    </xf>
    <xf numFmtId="3" fontId="2" fillId="2" borderId="9" xfId="0" applyNumberFormat="1" applyFont="1" applyFill="1" applyBorder="1" applyAlignment="1" applyProtection="1">
      <alignment horizontal="center"/>
      <protection locked="0"/>
    </xf>
    <xf numFmtId="3" fontId="24" fillId="5" borderId="51" xfId="0" applyNumberFormat="1" applyFont="1" applyFill="1" applyBorder="1" applyAlignment="1" applyProtection="1">
      <alignment vertical="center"/>
    </xf>
    <xf numFmtId="3" fontId="24" fillId="5" borderId="52" xfId="0" applyNumberFormat="1" applyFont="1" applyFill="1" applyBorder="1" applyAlignment="1" applyProtection="1">
      <alignment vertical="center"/>
      <protection locked="0"/>
    </xf>
    <xf numFmtId="0" fontId="5" fillId="14" borderId="9" xfId="0" applyFont="1" applyFill="1" applyBorder="1" applyAlignment="1" applyProtection="1"/>
    <xf numFmtId="10" fontId="1" fillId="10" borderId="0" xfId="0" applyNumberFormat="1" applyFont="1" applyFill="1" applyBorder="1" applyProtection="1"/>
    <xf numFmtId="10" fontId="15" fillId="0" borderId="0" xfId="0" applyNumberFormat="1" applyFont="1" applyBorder="1" applyProtection="1">
      <protection locked="0"/>
    </xf>
    <xf numFmtId="10" fontId="1" fillId="0" borderId="0" xfId="0" applyNumberFormat="1" applyFont="1" applyBorder="1" applyProtection="1">
      <protection locked="0"/>
    </xf>
    <xf numFmtId="10" fontId="1" fillId="0" borderId="0" xfId="0" applyNumberFormat="1" applyFont="1" applyFill="1" applyBorder="1" applyProtection="1">
      <protection locked="0"/>
    </xf>
    <xf numFmtId="10" fontId="1" fillId="0" borderId="0" xfId="0" applyNumberFormat="1" applyFont="1" applyProtection="1">
      <protection locked="0"/>
    </xf>
    <xf numFmtId="3" fontId="1" fillId="10" borderId="0" xfId="14" applyNumberFormat="1" applyFont="1" applyFill="1" applyBorder="1" applyAlignment="1" applyProtection="1">
      <alignment horizontal="right"/>
    </xf>
    <xf numFmtId="3" fontId="15" fillId="0" borderId="0" xfId="14" applyNumberFormat="1" applyFont="1" applyBorder="1" applyAlignment="1" applyProtection="1">
      <alignment horizontal="right"/>
      <protection locked="0"/>
    </xf>
    <xf numFmtId="3" fontId="1" fillId="0" borderId="0" xfId="14" applyNumberFormat="1" applyFont="1" applyBorder="1" applyAlignment="1" applyProtection="1">
      <alignment horizontal="right"/>
      <protection locked="0"/>
    </xf>
    <xf numFmtId="3" fontId="1" fillId="11" borderId="0" xfId="14" applyNumberFormat="1" applyFont="1" applyFill="1" applyBorder="1" applyAlignment="1" applyProtection="1">
      <alignment horizontal="center"/>
      <protection locked="0"/>
    </xf>
    <xf numFmtId="3" fontId="24" fillId="5" borderId="16" xfId="14" applyNumberFormat="1" applyFont="1" applyFill="1" applyBorder="1" applyAlignment="1" applyProtection="1">
      <alignment horizontal="right" vertical="center" wrapText="1"/>
    </xf>
    <xf numFmtId="3" fontId="1" fillId="0" borderId="16" xfId="14" applyNumberFormat="1" applyFont="1" applyFill="1" applyBorder="1" applyAlignment="1" applyProtection="1">
      <alignment horizontal="right" vertical="center"/>
    </xf>
    <xf numFmtId="3" fontId="24" fillId="5" borderId="16" xfId="14" applyNumberFormat="1" applyFont="1" applyFill="1" applyBorder="1" applyAlignment="1" applyProtection="1">
      <alignment horizontal="right" vertical="center"/>
    </xf>
    <xf numFmtId="3" fontId="1" fillId="0" borderId="16" xfId="14" applyNumberFormat="1" applyFont="1" applyFill="1" applyBorder="1" applyAlignment="1" applyProtection="1">
      <alignment horizontal="right"/>
      <protection locked="0"/>
    </xf>
    <xf numFmtId="3" fontId="24" fillId="5" borderId="17" xfId="14" applyNumberFormat="1" applyFont="1" applyFill="1" applyBorder="1" applyAlignment="1" applyProtection="1">
      <alignment horizontal="right" vertical="center"/>
    </xf>
    <xf numFmtId="3" fontId="24" fillId="5" borderId="19" xfId="14" applyNumberFormat="1" applyFont="1" applyFill="1" applyBorder="1" applyAlignment="1" applyProtection="1">
      <alignment horizontal="right" vertical="center"/>
      <protection locked="0"/>
    </xf>
    <xf numFmtId="3" fontId="4" fillId="2" borderId="20" xfId="14" applyNumberFormat="1" applyFont="1" applyFill="1" applyBorder="1" applyAlignment="1" applyProtection="1">
      <alignment horizontal="right" vertical="center" wrapText="1"/>
      <protection locked="0"/>
    </xf>
    <xf numFmtId="3" fontId="1" fillId="0" borderId="20" xfId="14" applyNumberFormat="1" applyFont="1" applyBorder="1" applyAlignment="1">
      <alignment horizontal="center" vertical="center" wrapText="1"/>
    </xf>
    <xf numFmtId="3" fontId="4" fillId="8" borderId="28" xfId="0" applyNumberFormat="1" applyFont="1" applyFill="1" applyBorder="1" applyAlignment="1" applyProtection="1">
      <alignment horizontal="center"/>
    </xf>
    <xf numFmtId="3" fontId="4" fillId="8" borderId="14" xfId="0" applyNumberFormat="1" applyFont="1" applyFill="1" applyBorder="1" applyAlignment="1" applyProtection="1">
      <alignment horizontal="center"/>
    </xf>
    <xf numFmtId="3" fontId="4" fillId="8" borderId="27" xfId="0" applyNumberFormat="1" applyFont="1" applyFill="1" applyBorder="1" applyAlignment="1" applyProtection="1">
      <alignment horizontal="center"/>
    </xf>
    <xf numFmtId="3" fontId="24" fillId="5" borderId="59" xfId="0" applyNumberFormat="1" applyFont="1" applyFill="1" applyBorder="1" applyAlignment="1" applyProtection="1">
      <alignment vertical="center"/>
      <protection locked="0"/>
    </xf>
    <xf numFmtId="3" fontId="24" fillId="5" borderId="19" xfId="0" applyNumberFormat="1" applyFont="1" applyFill="1" applyBorder="1" applyAlignment="1" applyProtection="1">
      <alignment vertical="center"/>
      <protection locked="0"/>
    </xf>
    <xf numFmtId="3" fontId="4" fillId="2" borderId="20" xfId="0" applyNumberFormat="1" applyFont="1" applyFill="1" applyBorder="1" applyAlignment="1" applyProtection="1">
      <alignment vertical="center" wrapText="1"/>
      <protection locked="0"/>
    </xf>
    <xf numFmtId="3" fontId="2" fillId="5" borderId="51" xfId="0" applyNumberFormat="1" applyFont="1" applyFill="1" applyBorder="1" applyAlignment="1">
      <alignment horizontal="right" vertical="center" wrapText="1"/>
    </xf>
    <xf numFmtId="3" fontId="24" fillId="5" borderId="51" xfId="0" applyNumberFormat="1" applyFont="1" applyFill="1" applyBorder="1" applyAlignment="1">
      <alignment horizontal="right" vertical="center" wrapText="1"/>
    </xf>
    <xf numFmtId="10" fontId="4" fillId="7" borderId="9" xfId="0" applyNumberFormat="1" applyFont="1" applyFill="1" applyBorder="1" applyAlignment="1" applyProtection="1">
      <alignment horizontal="center"/>
    </xf>
    <xf numFmtId="10" fontId="2" fillId="8" borderId="22" xfId="0" applyNumberFormat="1" applyFont="1" applyFill="1" applyBorder="1" applyAlignment="1">
      <alignment horizontal="center" vertical="center" wrapText="1"/>
    </xf>
    <xf numFmtId="10" fontId="2" fillId="8" borderId="21" xfId="0" applyNumberFormat="1" applyFont="1" applyFill="1" applyBorder="1" applyAlignment="1">
      <alignment horizontal="center" vertical="center" wrapText="1"/>
    </xf>
    <xf numFmtId="0" fontId="5" fillId="9" borderId="1" xfId="0" applyFont="1" applyFill="1" applyBorder="1" applyAlignment="1">
      <alignment horizontal="center" vertical="top"/>
    </xf>
    <xf numFmtId="3" fontId="2" fillId="2" borderId="1" xfId="0" applyNumberFormat="1" applyFont="1" applyFill="1" applyBorder="1" applyAlignment="1">
      <alignment horizontal="center" vertical="top"/>
    </xf>
    <xf numFmtId="3" fontId="18" fillId="11" borderId="31" xfId="0" applyNumberFormat="1" applyFont="1" applyFill="1" applyBorder="1" applyAlignment="1">
      <alignment vertical="top"/>
    </xf>
    <xf numFmtId="3" fontId="2" fillId="2" borderId="23" xfId="0" applyNumberFormat="1" applyFont="1" applyFill="1" applyBorder="1" applyAlignment="1">
      <alignment horizontal="center" vertical="top"/>
    </xf>
    <xf numFmtId="0" fontId="1" fillId="0" borderId="0" xfId="0" applyFont="1" applyBorder="1" applyAlignment="1">
      <alignment horizontal="right" vertical="top"/>
    </xf>
    <xf numFmtId="3" fontId="18" fillId="10" borderId="0" xfId="14" applyNumberFormat="1" applyFont="1" applyFill="1" applyBorder="1" applyAlignment="1">
      <alignment horizontal="right" vertical="top"/>
    </xf>
    <xf numFmtId="3" fontId="24" fillId="5" borderId="1" xfId="14" applyNumberFormat="1" applyFont="1" applyFill="1" applyBorder="1" applyAlignment="1">
      <alignment horizontal="right" vertical="top" wrapText="1"/>
    </xf>
    <xf numFmtId="3" fontId="1" fillId="0" borderId="1" xfId="14" applyNumberFormat="1" applyFont="1" applyFill="1" applyBorder="1" applyAlignment="1">
      <alignment horizontal="right" vertical="top" wrapText="1"/>
    </xf>
    <xf numFmtId="3" fontId="24" fillId="5" borderId="1" xfId="14" applyNumberFormat="1" applyFont="1" applyFill="1" applyBorder="1" applyAlignment="1" applyProtection="1">
      <alignment horizontal="right" vertical="top" wrapText="1"/>
    </xf>
    <xf numFmtId="3" fontId="1" fillId="0" borderId="0" xfId="14" applyNumberFormat="1" applyFont="1" applyBorder="1" applyAlignment="1">
      <alignment horizontal="right" vertical="top"/>
    </xf>
    <xf numFmtId="3" fontId="1" fillId="0" borderId="0" xfId="14" applyNumberFormat="1" applyFont="1" applyAlignment="1">
      <alignment horizontal="right" vertical="top"/>
    </xf>
    <xf numFmtId="172" fontId="3" fillId="11" borderId="39" xfId="7" applyNumberFormat="1" applyFont="1" applyFill="1" applyBorder="1" applyAlignment="1">
      <alignment horizontal="center" vertical="center" wrapText="1"/>
    </xf>
    <xf numFmtId="3" fontId="1" fillId="11" borderId="0" xfId="0" applyNumberFormat="1" applyFont="1" applyFill="1" applyBorder="1" applyAlignment="1">
      <alignment horizontal="center"/>
    </xf>
    <xf numFmtId="3" fontId="18" fillId="11" borderId="0" xfId="0" applyNumberFormat="1" applyFont="1" applyFill="1" applyAlignment="1">
      <alignment horizontal="center"/>
    </xf>
    <xf numFmtId="3" fontId="3" fillId="11" borderId="1" xfId="14" applyNumberFormat="1" applyFont="1" applyFill="1" applyBorder="1" applyAlignment="1">
      <alignment vertical="center" wrapText="1"/>
    </xf>
    <xf numFmtId="3" fontId="3" fillId="11" borderId="1" xfId="14" applyNumberFormat="1" applyFont="1" applyFill="1" applyBorder="1" applyAlignment="1">
      <alignment horizontal="right" vertical="top" wrapText="1"/>
    </xf>
    <xf numFmtId="3" fontId="3" fillId="0" borderId="1" xfId="14" applyNumberFormat="1" applyFont="1" applyFill="1" applyBorder="1" applyAlignment="1">
      <alignment horizontal="right" vertical="top" wrapText="1"/>
    </xf>
    <xf numFmtId="172" fontId="3" fillId="11" borderId="3" xfId="7" applyNumberFormat="1" applyFont="1" applyFill="1" applyBorder="1" applyAlignment="1">
      <alignment horizontal="center" vertical="center" wrapText="1"/>
    </xf>
    <xf numFmtId="0" fontId="24" fillId="11" borderId="36" xfId="0" applyFont="1" applyFill="1" applyBorder="1" applyAlignment="1">
      <alignment horizontal="left" vertical="center"/>
    </xf>
    <xf numFmtId="0" fontId="3" fillId="11" borderId="36" xfId="0" applyFont="1" applyFill="1" applyBorder="1" applyAlignment="1">
      <alignment horizontal="left" vertical="center"/>
    </xf>
    <xf numFmtId="0" fontId="3" fillId="11" borderId="36" xfId="0" applyFont="1" applyFill="1" applyBorder="1" applyAlignment="1" applyProtection="1">
      <alignment vertical="top"/>
    </xf>
    <xf numFmtId="0" fontId="24" fillId="11" borderId="35" xfId="0" applyFont="1" applyFill="1" applyBorder="1" applyAlignment="1">
      <alignment horizontal="left" vertical="center"/>
    </xf>
    <xf numFmtId="0" fontId="24" fillId="0" borderId="36" xfId="0" applyFont="1" applyFill="1" applyBorder="1" applyAlignment="1">
      <alignment horizontal="left" vertical="center"/>
    </xf>
    <xf numFmtId="0" fontId="3" fillId="11" borderId="36" xfId="0" applyFont="1" applyFill="1" applyBorder="1" applyAlignment="1" applyProtection="1">
      <alignment horizontal="left" vertical="top"/>
    </xf>
    <xf numFmtId="0" fontId="3" fillId="0" borderId="36" xfId="0" applyFont="1" applyFill="1" applyBorder="1" applyAlignment="1" applyProtection="1">
      <alignment vertical="top"/>
    </xf>
    <xf numFmtId="0" fontId="3" fillId="0" borderId="36" xfId="0" applyFont="1" applyFill="1" applyBorder="1" applyAlignment="1" applyProtection="1">
      <alignment horizontal="left" vertical="top"/>
    </xf>
    <xf numFmtId="0" fontId="24" fillId="0" borderId="45" xfId="0" applyFont="1" applyFill="1" applyBorder="1" applyAlignment="1">
      <alignment horizontal="left" vertical="center"/>
    </xf>
    <xf numFmtId="3" fontId="24" fillId="11" borderId="1" xfId="0" applyNumberFormat="1" applyFont="1" applyFill="1" applyBorder="1" applyAlignment="1">
      <alignment horizontal="right" vertical="top" wrapText="1"/>
    </xf>
    <xf numFmtId="0" fontId="17" fillId="13" borderId="35" xfId="2" applyFont="1" applyFill="1" applyBorder="1" applyAlignment="1">
      <alignment vertical="center"/>
    </xf>
    <xf numFmtId="0" fontId="37" fillId="8" borderId="9" xfId="0" applyFont="1" applyFill="1" applyBorder="1" applyAlignment="1" applyProtection="1">
      <alignment horizontal="center" vertical="center"/>
    </xf>
    <xf numFmtId="3" fontId="17" fillId="13" borderId="19" xfId="2" applyNumberFormat="1" applyFont="1" applyFill="1" applyBorder="1" applyAlignment="1">
      <alignment vertical="center"/>
    </xf>
    <xf numFmtId="3" fontId="3" fillId="0" borderId="16" xfId="0" applyNumberFormat="1" applyFont="1" applyFill="1" applyBorder="1" applyAlignment="1">
      <alignment horizontal="right" vertical="top"/>
    </xf>
    <xf numFmtId="3" fontId="3" fillId="11" borderId="16" xfId="0" applyNumberFormat="1" applyFont="1" applyFill="1" applyBorder="1" applyAlignment="1">
      <alignment horizontal="right" vertical="top"/>
    </xf>
    <xf numFmtId="3" fontId="3" fillId="0" borderId="17" xfId="0" applyNumberFormat="1" applyFont="1" applyFill="1" applyBorder="1"/>
    <xf numFmtId="0" fontId="2" fillId="0" borderId="0" xfId="0" applyFont="1" applyFill="1" applyBorder="1" applyAlignment="1">
      <alignment vertical="top"/>
    </xf>
    <xf numFmtId="172" fontId="24" fillId="11" borderId="1" xfId="7" applyNumberFormat="1" applyFont="1" applyFill="1" applyBorder="1" applyAlignment="1">
      <alignment horizontal="center" vertical="center" wrapText="1"/>
    </xf>
    <xf numFmtId="172" fontId="24" fillId="11" borderId="23" xfId="7" applyNumberFormat="1" applyFont="1" applyFill="1" applyBorder="1" applyAlignment="1">
      <alignment horizontal="center" vertical="center" wrapText="1"/>
    </xf>
    <xf numFmtId="3" fontId="2" fillId="5" borderId="1" xfId="14" applyNumberFormat="1" applyFont="1" applyFill="1" applyBorder="1" applyAlignment="1">
      <alignment horizontal="right" vertical="top" wrapText="1"/>
    </xf>
    <xf numFmtId="3" fontId="2" fillId="5" borderId="1" xfId="14" applyNumberFormat="1" applyFont="1" applyFill="1" applyBorder="1" applyAlignment="1">
      <alignment horizontal="right" vertical="top"/>
    </xf>
    <xf numFmtId="3" fontId="1" fillId="0" borderId="1" xfId="0" applyNumberFormat="1" applyFont="1" applyFill="1" applyBorder="1" applyAlignment="1" applyProtection="1">
      <alignment horizontal="right" vertical="top"/>
    </xf>
    <xf numFmtId="3" fontId="1" fillId="0" borderId="1" xfId="0" applyNumberFormat="1" applyFont="1" applyFill="1" applyBorder="1" applyAlignment="1">
      <alignment horizontal="right" vertical="top"/>
    </xf>
    <xf numFmtId="3" fontId="24" fillId="0" borderId="1" xfId="14" applyNumberFormat="1" applyFont="1" applyFill="1" applyBorder="1" applyAlignment="1" applyProtection="1">
      <alignment horizontal="right" vertical="top" wrapText="1"/>
    </xf>
    <xf numFmtId="167" fontId="13" fillId="5" borderId="1" xfId="0" applyNumberFormat="1" applyFont="1" applyFill="1" applyBorder="1" applyAlignment="1" applyProtection="1">
      <alignment horizontal="left" vertical="top"/>
    </xf>
    <xf numFmtId="168" fontId="13" fillId="5" borderId="1" xfId="0" applyNumberFormat="1" applyFont="1" applyFill="1" applyBorder="1" applyAlignment="1" applyProtection="1">
      <alignment horizontal="left" vertical="top"/>
    </xf>
    <xf numFmtId="167" fontId="12" fillId="0" borderId="1" xfId="0" applyNumberFormat="1" applyFont="1" applyFill="1" applyBorder="1" applyAlignment="1" applyProtection="1">
      <alignment horizontal="left" vertical="top"/>
    </xf>
    <xf numFmtId="168" fontId="12" fillId="0" borderId="1" xfId="0" applyNumberFormat="1" applyFont="1" applyFill="1" applyBorder="1" applyAlignment="1" applyProtection="1">
      <alignment horizontal="left" vertical="top"/>
    </xf>
    <xf numFmtId="49" fontId="24" fillId="5" borderId="1" xfId="0" applyNumberFormat="1" applyFont="1" applyFill="1" applyBorder="1" applyAlignment="1" applyProtection="1">
      <alignment horizontal="left" vertical="top" wrapText="1"/>
    </xf>
    <xf numFmtId="168" fontId="24" fillId="5" borderId="1" xfId="0" applyNumberFormat="1" applyFont="1" applyFill="1" applyBorder="1" applyAlignment="1" applyProtection="1">
      <alignment horizontal="center" vertical="top" wrapText="1"/>
    </xf>
    <xf numFmtId="167" fontId="1" fillId="0" borderId="1" xfId="0" applyNumberFormat="1" applyFont="1" applyFill="1" applyBorder="1" applyAlignment="1" applyProtection="1">
      <alignment horizontal="left" vertical="top" wrapText="1"/>
    </xf>
    <xf numFmtId="49" fontId="2" fillId="5" borderId="1" xfId="0" applyNumberFormat="1" applyFont="1" applyFill="1" applyBorder="1" applyAlignment="1" applyProtection="1">
      <alignment horizontal="left" vertical="top" wrapText="1"/>
    </xf>
    <xf numFmtId="49" fontId="1" fillId="0" borderId="1" xfId="0" applyNumberFormat="1" applyFont="1" applyFill="1" applyBorder="1" applyAlignment="1" applyProtection="1">
      <alignment horizontal="left" vertical="top" wrapText="1"/>
    </xf>
    <xf numFmtId="167" fontId="2" fillId="5" borderId="1" xfId="0" applyNumberFormat="1" applyFont="1" applyFill="1" applyBorder="1" applyAlignment="1" applyProtection="1">
      <alignment horizontal="left" vertical="top" wrapText="1"/>
    </xf>
    <xf numFmtId="168" fontId="2" fillId="5" borderId="1" xfId="0" applyNumberFormat="1" applyFont="1" applyFill="1" applyBorder="1" applyAlignment="1" applyProtection="1">
      <alignment horizontal="right" vertical="top" wrapText="1"/>
    </xf>
    <xf numFmtId="0" fontId="24" fillId="0" borderId="1" xfId="0" applyFont="1" applyFill="1" applyBorder="1" applyAlignment="1" applyProtection="1">
      <alignment vertical="top" wrapText="1"/>
    </xf>
    <xf numFmtId="168" fontId="1" fillId="5" borderId="1" xfId="0" applyNumberFormat="1" applyFont="1" applyFill="1" applyBorder="1" applyAlignment="1" applyProtection="1">
      <alignment horizontal="center" vertical="top" wrapText="1"/>
    </xf>
    <xf numFmtId="168" fontId="1" fillId="0" borderId="1" xfId="0" applyNumberFormat="1" applyFont="1" applyFill="1" applyBorder="1" applyAlignment="1" applyProtection="1">
      <alignment vertical="top" wrapText="1"/>
    </xf>
    <xf numFmtId="167" fontId="1" fillId="0" borderId="1" xfId="0" applyNumberFormat="1" applyFont="1" applyFill="1" applyBorder="1" applyAlignment="1" applyProtection="1">
      <alignment horizontal="left" vertical="top"/>
    </xf>
    <xf numFmtId="49" fontId="1" fillId="0" borderId="1" xfId="0" applyNumberFormat="1" applyFont="1" applyFill="1" applyBorder="1" applyAlignment="1" applyProtection="1">
      <alignment vertical="top" wrapText="1"/>
    </xf>
    <xf numFmtId="168" fontId="3" fillId="0" borderId="1" xfId="0" applyNumberFormat="1" applyFont="1" applyFill="1" applyBorder="1" applyAlignment="1" applyProtection="1">
      <alignment vertical="top" wrapText="1"/>
    </xf>
    <xf numFmtId="41" fontId="1" fillId="11" borderId="0" xfId="14" applyFont="1" applyFill="1" applyAlignment="1">
      <alignment wrapText="1"/>
    </xf>
    <xf numFmtId="3" fontId="3" fillId="11" borderId="57" xfId="0" applyNumberFormat="1" applyFont="1" applyFill="1" applyBorder="1" applyAlignment="1">
      <alignment horizontal="right" vertical="top" wrapText="1"/>
    </xf>
    <xf numFmtId="3" fontId="2" fillId="5" borderId="1" xfId="0" applyNumberFormat="1" applyFont="1" applyFill="1" applyBorder="1" applyAlignment="1" applyProtection="1">
      <alignment vertical="top"/>
    </xf>
    <xf numFmtId="3" fontId="2" fillId="0" borderId="1" xfId="0" applyNumberFormat="1" applyFont="1" applyFill="1" applyBorder="1" applyAlignment="1">
      <alignment horizontal="right" vertical="top" wrapText="1"/>
    </xf>
    <xf numFmtId="3" fontId="18" fillId="0" borderId="31" xfId="0" applyNumberFormat="1" applyFont="1" applyBorder="1" applyAlignment="1">
      <alignment vertical="top"/>
    </xf>
    <xf numFmtId="0" fontId="5" fillId="9" borderId="23" xfId="0" applyFont="1" applyFill="1" applyBorder="1" applyAlignment="1">
      <alignment horizontal="center" vertical="top"/>
    </xf>
    <xf numFmtId="3" fontId="24" fillId="5" borderId="23" xfId="0" applyNumberFormat="1" applyFont="1" applyFill="1" applyBorder="1" applyAlignment="1">
      <alignment horizontal="right" vertical="top" wrapText="1"/>
    </xf>
    <xf numFmtId="3" fontId="1" fillId="0" borderId="23" xfId="0" applyNumberFormat="1" applyFont="1" applyFill="1" applyBorder="1" applyAlignment="1" applyProtection="1">
      <alignment horizontal="right" vertical="top" wrapText="1"/>
    </xf>
    <xf numFmtId="3" fontId="1" fillId="0" borderId="23" xfId="0" applyNumberFormat="1" applyFont="1" applyFill="1" applyBorder="1" applyAlignment="1">
      <alignment vertical="top"/>
    </xf>
    <xf numFmtId="0" fontId="1" fillId="0" borderId="23" xfId="0" applyFont="1" applyFill="1" applyBorder="1" applyAlignment="1">
      <alignment vertical="top"/>
    </xf>
    <xf numFmtId="0" fontId="13" fillId="5"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3" fontId="1" fillId="0" borderId="23" xfId="0" applyNumberFormat="1" applyFont="1" applyBorder="1" applyAlignment="1">
      <alignment vertical="top"/>
    </xf>
    <xf numFmtId="3" fontId="24" fillId="0" borderId="23" xfId="0" applyNumberFormat="1" applyFont="1" applyFill="1" applyBorder="1" applyAlignment="1">
      <alignment horizontal="right" vertical="top" wrapText="1"/>
    </xf>
    <xf numFmtId="168" fontId="13" fillId="5" borderId="16" xfId="0" applyNumberFormat="1" applyFont="1" applyFill="1" applyBorder="1" applyAlignment="1" applyProtection="1">
      <alignment vertical="top" wrapText="1"/>
    </xf>
    <xf numFmtId="167" fontId="2" fillId="5" borderId="3" xfId="0" applyNumberFormat="1" applyFont="1" applyFill="1" applyBorder="1" applyAlignment="1" applyProtection="1">
      <alignment horizontal="left" vertical="top" wrapText="1"/>
    </xf>
    <xf numFmtId="3" fontId="2" fillId="5" borderId="3" xfId="0" applyNumberFormat="1" applyFont="1" applyFill="1" applyBorder="1" applyAlignment="1" applyProtection="1">
      <alignment horizontal="right" vertical="top"/>
    </xf>
    <xf numFmtId="10" fontId="24" fillId="5" borderId="3" xfId="7" applyNumberFormat="1" applyFont="1" applyFill="1" applyBorder="1" applyAlignment="1" applyProtection="1">
      <alignment horizontal="center" vertical="top" wrapText="1"/>
    </xf>
    <xf numFmtId="10" fontId="2" fillId="5" borderId="3" xfId="7" applyNumberFormat="1" applyFont="1" applyFill="1" applyBorder="1" applyAlignment="1" applyProtection="1">
      <alignment horizontal="center" vertical="top"/>
    </xf>
    <xf numFmtId="3" fontId="2" fillId="5" borderId="3" xfId="0" applyNumberFormat="1" applyFont="1" applyFill="1" applyBorder="1" applyAlignment="1" applyProtection="1">
      <alignment vertical="top"/>
    </xf>
    <xf numFmtId="3" fontId="2" fillId="5" borderId="39" xfId="0" applyNumberFormat="1" applyFont="1" applyFill="1" applyBorder="1" applyAlignment="1" applyProtection="1">
      <alignment vertical="top"/>
    </xf>
    <xf numFmtId="3" fontId="24" fillId="5" borderId="2" xfId="0" applyNumberFormat="1" applyFont="1" applyFill="1" applyBorder="1" applyAlignment="1" applyProtection="1">
      <alignment horizontal="right" vertical="top" wrapText="1"/>
    </xf>
    <xf numFmtId="3" fontId="2" fillId="5" borderId="23" xfId="0" applyNumberFormat="1" applyFont="1" applyFill="1" applyBorder="1" applyAlignment="1" applyProtection="1">
      <alignment horizontal="right" vertical="top" wrapText="1"/>
    </xf>
    <xf numFmtId="3" fontId="24" fillId="5" borderId="23" xfId="0" applyNumberFormat="1" applyFont="1" applyFill="1" applyBorder="1" applyAlignment="1">
      <alignment vertical="top"/>
    </xf>
    <xf numFmtId="3" fontId="2" fillId="5" borderId="23" xfId="0" applyNumberFormat="1" applyFont="1" applyFill="1" applyBorder="1" applyAlignment="1">
      <alignment vertical="top"/>
    </xf>
    <xf numFmtId="3" fontId="2" fillId="5" borderId="23" xfId="0" applyNumberFormat="1" applyFont="1" applyFill="1" applyBorder="1" applyAlignment="1" applyProtection="1">
      <alignment vertical="top"/>
    </xf>
    <xf numFmtId="3" fontId="2" fillId="5" borderId="23" xfId="0" applyNumberFormat="1" applyFont="1" applyFill="1" applyBorder="1" applyAlignment="1">
      <alignment horizontal="right" vertical="top"/>
    </xf>
    <xf numFmtId="3" fontId="1" fillId="0" borderId="23" xfId="0" applyNumberFormat="1" applyFont="1" applyFill="1" applyBorder="1" applyAlignment="1">
      <alignment horizontal="right" vertical="top"/>
    </xf>
    <xf numFmtId="3" fontId="2" fillId="0" borderId="23" xfId="0" applyNumberFormat="1" applyFont="1" applyFill="1" applyBorder="1" applyAlignment="1">
      <alignment horizontal="right" vertical="top" wrapText="1"/>
    </xf>
    <xf numFmtId="3" fontId="24" fillId="5" borderId="23" xfId="0" applyNumberFormat="1" applyFont="1" applyFill="1" applyBorder="1" applyAlignment="1" applyProtection="1">
      <alignment horizontal="right" vertical="top" wrapText="1"/>
    </xf>
    <xf numFmtId="3" fontId="24" fillId="0" borderId="23" xfId="0" applyNumberFormat="1" applyFont="1" applyFill="1" applyBorder="1" applyAlignment="1" applyProtection="1">
      <alignment horizontal="right" vertical="top" wrapText="1"/>
    </xf>
    <xf numFmtId="3" fontId="17" fillId="4" borderId="1" xfId="2" applyNumberFormat="1" applyFont="1" applyBorder="1" applyAlignment="1" applyProtection="1">
      <alignment vertical="center"/>
    </xf>
    <xf numFmtId="0" fontId="17" fillId="13" borderId="19" xfId="2" applyFont="1" applyFill="1" applyBorder="1" applyAlignment="1" applyProtection="1">
      <alignment vertical="center"/>
    </xf>
    <xf numFmtId="167" fontId="17" fillId="13" borderId="18" xfId="2" applyNumberFormat="1" applyFont="1" applyFill="1" applyBorder="1" applyAlignment="1" applyProtection="1">
      <alignment vertical="center"/>
    </xf>
    <xf numFmtId="168" fontId="17" fillId="13" borderId="18" xfId="2" applyNumberFormat="1" applyFont="1" applyFill="1" applyBorder="1" applyAlignment="1" applyProtection="1">
      <alignment vertical="center"/>
    </xf>
    <xf numFmtId="3" fontId="17" fillId="13" borderId="18" xfId="2" applyNumberFormat="1" applyFont="1" applyFill="1" applyBorder="1" applyAlignment="1" applyProtection="1">
      <alignment horizontal="right" vertical="center"/>
    </xf>
    <xf numFmtId="10" fontId="17" fillId="13" borderId="18" xfId="7" applyNumberFormat="1" applyFont="1" applyFill="1" applyBorder="1" applyAlignment="1" applyProtection="1">
      <alignment horizontal="center" vertical="center"/>
    </xf>
    <xf numFmtId="3" fontId="17" fillId="13" borderId="18" xfId="14" applyNumberFormat="1" applyFont="1" applyFill="1" applyBorder="1" applyAlignment="1" applyProtection="1">
      <alignment horizontal="right" vertical="center"/>
    </xf>
    <xf numFmtId="3" fontId="2" fillId="8" borderId="43" xfId="0" applyNumberFormat="1" applyFont="1" applyFill="1" applyBorder="1" applyAlignment="1">
      <alignment horizontal="center" vertical="center" wrapText="1"/>
    </xf>
    <xf numFmtId="10" fontId="2" fillId="8" borderId="41" xfId="7" applyNumberFormat="1" applyFont="1" applyFill="1" applyBorder="1" applyAlignment="1">
      <alignment horizontal="center" vertical="center" wrapText="1"/>
    </xf>
    <xf numFmtId="168" fontId="13" fillId="5" borderId="1" xfId="0" applyNumberFormat="1" applyFont="1" applyFill="1" applyBorder="1" applyAlignment="1" applyProtection="1">
      <alignment vertical="top"/>
    </xf>
    <xf numFmtId="168" fontId="12" fillId="0" borderId="1" xfId="0" applyNumberFormat="1" applyFont="1" applyFill="1" applyBorder="1" applyAlignment="1" applyProtection="1">
      <alignment vertical="top"/>
    </xf>
    <xf numFmtId="49" fontId="1" fillId="0" borderId="1" xfId="0" applyNumberFormat="1" applyFont="1" applyFill="1" applyBorder="1" applyAlignment="1" applyProtection="1">
      <alignment vertical="top"/>
    </xf>
    <xf numFmtId="168" fontId="1" fillId="0" borderId="1" xfId="0" quotePrefix="1" applyNumberFormat="1" applyFont="1" applyFill="1" applyBorder="1" applyAlignment="1" applyProtection="1">
      <alignment vertical="top" wrapText="1"/>
    </xf>
    <xf numFmtId="49" fontId="2" fillId="5" borderId="1" xfId="0" applyNumberFormat="1" applyFont="1" applyFill="1" applyBorder="1" applyAlignment="1" applyProtection="1">
      <alignment vertical="top"/>
    </xf>
    <xf numFmtId="3" fontId="3" fillId="0" borderId="1" xfId="2" applyNumberFormat="1" applyFont="1" applyFill="1" applyBorder="1" applyAlignment="1" applyProtection="1">
      <alignment horizontal="right" vertical="top"/>
    </xf>
    <xf numFmtId="3" fontId="1" fillId="0" borderId="57" xfId="14" applyNumberFormat="1" applyFont="1" applyFill="1" applyBorder="1" applyAlignment="1" applyProtection="1">
      <alignment horizontal="right" vertical="center"/>
    </xf>
    <xf numFmtId="0" fontId="1" fillId="0" borderId="1" xfId="0" applyFont="1" applyBorder="1" applyProtection="1">
      <protection locked="0"/>
    </xf>
    <xf numFmtId="3" fontId="1" fillId="0" borderId="1" xfId="0" applyNumberFormat="1" applyFont="1" applyBorder="1" applyProtection="1">
      <protection locked="0"/>
    </xf>
    <xf numFmtId="168" fontId="32" fillId="16" borderId="15" xfId="0" applyNumberFormat="1" applyFont="1" applyFill="1" applyBorder="1" applyAlignment="1" applyProtection="1">
      <alignment vertical="center"/>
      <protection locked="0"/>
    </xf>
    <xf numFmtId="0" fontId="32" fillId="16" borderId="6" xfId="0" applyFont="1" applyFill="1" applyBorder="1" applyAlignment="1" applyProtection="1">
      <alignment horizontal="center" vertical="center"/>
      <protection locked="0"/>
    </xf>
    <xf numFmtId="3" fontId="32" fillId="16" borderId="6" xfId="0" applyNumberFormat="1" applyFont="1" applyFill="1" applyBorder="1" applyAlignment="1" applyProtection="1">
      <alignment horizontal="center" vertical="center" wrapText="1"/>
      <protection locked="0"/>
    </xf>
    <xf numFmtId="3" fontId="32" fillId="16" borderId="37" xfId="0" applyNumberFormat="1" applyFont="1" applyFill="1" applyBorder="1" applyAlignment="1" applyProtection="1">
      <alignment horizontal="center" vertical="center" wrapText="1"/>
      <protection locked="0"/>
    </xf>
    <xf numFmtId="168" fontId="1" fillId="0" borderId="16" xfId="0" applyNumberFormat="1" applyFont="1" applyBorder="1" applyAlignment="1" applyProtection="1">
      <protection locked="0"/>
    </xf>
    <xf numFmtId="3" fontId="1" fillId="0" borderId="23" xfId="0" applyNumberFormat="1" applyFont="1" applyBorder="1" applyProtection="1">
      <protection locked="0"/>
    </xf>
    <xf numFmtId="168" fontId="1" fillId="0" borderId="17" xfId="0" applyNumberFormat="1" applyFont="1" applyBorder="1" applyAlignment="1" applyProtection="1">
      <protection locked="0"/>
    </xf>
    <xf numFmtId="0" fontId="1" fillId="0" borderId="3" xfId="0" applyFont="1" applyBorder="1" applyProtection="1">
      <protection locked="0"/>
    </xf>
    <xf numFmtId="3" fontId="1" fillId="0" borderId="3" xfId="0" applyNumberFormat="1" applyFont="1" applyBorder="1" applyProtection="1">
      <protection locked="0"/>
    </xf>
    <xf numFmtId="3" fontId="1" fillId="0" borderId="39" xfId="0" applyNumberFormat="1" applyFont="1" applyBorder="1" applyProtection="1">
      <protection locked="0"/>
    </xf>
    <xf numFmtId="172" fontId="1" fillId="11" borderId="0" xfId="14" applyNumberFormat="1" applyFont="1" applyFill="1" applyAlignment="1">
      <alignment horizontal="right"/>
    </xf>
    <xf numFmtId="3" fontId="37" fillId="8" borderId="41" xfId="0" applyNumberFormat="1" applyFont="1" applyFill="1" applyBorder="1" applyAlignment="1">
      <alignment horizontal="right" vertical="center" wrapText="1"/>
    </xf>
    <xf numFmtId="41" fontId="17" fillId="13" borderId="18" xfId="14" applyFont="1" applyFill="1" applyBorder="1" applyAlignment="1">
      <alignment horizontal="right" vertical="center"/>
    </xf>
    <xf numFmtId="3" fontId="3" fillId="11" borderId="1" xfId="14" applyNumberFormat="1" applyFont="1" applyFill="1" applyBorder="1" applyAlignment="1">
      <alignment horizontal="right" vertical="center" wrapText="1"/>
    </xf>
    <xf numFmtId="3" fontId="3" fillId="11" borderId="1" xfId="14" applyNumberFormat="1" applyFont="1" applyFill="1" applyBorder="1" applyAlignment="1">
      <alignment horizontal="right"/>
    </xf>
    <xf numFmtId="41" fontId="3" fillId="11" borderId="1" xfId="14" applyFont="1" applyFill="1" applyBorder="1" applyAlignment="1">
      <alignment horizontal="right" vertical="center" wrapText="1"/>
    </xf>
    <xf numFmtId="3" fontId="1" fillId="11" borderId="0" xfId="0" applyNumberFormat="1" applyFont="1" applyFill="1" applyBorder="1" applyAlignment="1">
      <alignment horizontal="right"/>
    </xf>
    <xf numFmtId="3" fontId="4" fillId="2" borderId="56" xfId="0" applyNumberFormat="1" applyFont="1" applyFill="1" applyBorder="1" applyAlignment="1">
      <alignment vertical="center"/>
    </xf>
    <xf numFmtId="41" fontId="1" fillId="0" borderId="0" xfId="14" applyFont="1" applyBorder="1" applyAlignment="1">
      <alignment horizontal="right"/>
    </xf>
    <xf numFmtId="41" fontId="1" fillId="0" borderId="0" xfId="7" applyNumberFormat="1" applyFont="1" applyBorder="1" applyAlignment="1">
      <alignment horizontal="right"/>
    </xf>
    <xf numFmtId="1" fontId="1" fillId="0" borderId="51" xfId="14" applyNumberFormat="1" applyFont="1" applyFill="1" applyBorder="1"/>
    <xf numFmtId="3" fontId="3" fillId="0" borderId="51" xfId="0" applyNumberFormat="1" applyFont="1" applyFill="1" applyBorder="1" applyAlignment="1" applyProtection="1">
      <alignment horizontal="right" vertical="center"/>
    </xf>
    <xf numFmtId="3" fontId="24" fillId="5" borderId="51" xfId="0" applyNumberFormat="1" applyFont="1" applyFill="1" applyBorder="1" applyAlignment="1" applyProtection="1">
      <alignment horizontal="right" vertical="center"/>
    </xf>
    <xf numFmtId="3" fontId="3" fillId="0" borderId="51" xfId="16" applyNumberFormat="1" applyFont="1" applyFill="1" applyBorder="1" applyAlignment="1" applyProtection="1">
      <alignment horizontal="right" vertical="center"/>
    </xf>
    <xf numFmtId="3" fontId="24" fillId="5" borderId="52" xfId="0" applyNumberFormat="1" applyFont="1" applyFill="1" applyBorder="1" applyAlignment="1" applyProtection="1">
      <alignment horizontal="right" vertical="center"/>
    </xf>
    <xf numFmtId="41" fontId="19" fillId="17" borderId="0" xfId="14" applyFont="1" applyFill="1" applyAlignment="1" applyProtection="1">
      <alignment horizontal="center" vertical="center"/>
    </xf>
    <xf numFmtId="3" fontId="1" fillId="0" borderId="24" xfId="0" applyNumberFormat="1" applyFont="1" applyBorder="1" applyAlignment="1">
      <alignment horizontal="center" vertical="center" wrapText="1"/>
    </xf>
    <xf numFmtId="3" fontId="24" fillId="5" borderId="36" xfId="0" applyNumberFormat="1" applyFont="1" applyFill="1" applyBorder="1" applyAlignment="1" applyProtection="1">
      <alignment vertical="center"/>
    </xf>
    <xf numFmtId="3" fontId="24" fillId="5" borderId="36" xfId="14" applyNumberFormat="1" applyFont="1" applyFill="1" applyBorder="1" applyAlignment="1" applyProtection="1">
      <alignment horizontal="right" vertical="center"/>
    </xf>
    <xf numFmtId="3" fontId="24" fillId="5" borderId="36" xfId="0" applyNumberFormat="1" applyFont="1" applyFill="1" applyBorder="1" applyAlignment="1" applyProtection="1">
      <alignment horizontal="right" vertical="center"/>
      <protection locked="0"/>
    </xf>
    <xf numFmtId="3" fontId="24" fillId="5" borderId="45" xfId="0" applyNumberFormat="1" applyFont="1" applyFill="1" applyBorder="1" applyAlignment="1" applyProtection="1">
      <alignment vertical="center"/>
      <protection locked="0"/>
    </xf>
    <xf numFmtId="3" fontId="24" fillId="5" borderId="16" xfId="0" applyNumberFormat="1" applyFont="1" applyFill="1" applyBorder="1" applyAlignment="1" applyProtection="1">
      <alignment horizontal="right" vertical="center"/>
      <protection locked="0"/>
    </xf>
    <xf numFmtId="3" fontId="1" fillId="0" borderId="69" xfId="14" applyNumberFormat="1" applyFont="1" applyBorder="1" applyAlignment="1">
      <alignment horizontal="center" vertical="center" wrapText="1"/>
    </xf>
    <xf numFmtId="3" fontId="1" fillId="0" borderId="38" xfId="0" applyNumberFormat="1" applyFont="1" applyBorder="1" applyAlignment="1">
      <alignment horizontal="center" vertical="center" wrapText="1"/>
    </xf>
    <xf numFmtId="3" fontId="24" fillId="5" borderId="59" xfId="0" applyNumberFormat="1" applyFont="1" applyFill="1" applyBorder="1" applyAlignment="1" applyProtection="1">
      <alignment vertical="center"/>
    </xf>
    <xf numFmtId="3" fontId="1" fillId="0" borderId="51" xfId="0" applyNumberFormat="1" applyFont="1" applyFill="1" applyBorder="1" applyAlignment="1" applyProtection="1">
      <alignment vertical="center"/>
    </xf>
    <xf numFmtId="3" fontId="2" fillId="5" borderId="51" xfId="0" applyNumberFormat="1" applyFont="1" applyFill="1" applyBorder="1" applyAlignment="1" applyProtection="1">
      <alignment vertical="center"/>
    </xf>
    <xf numFmtId="41" fontId="1" fillId="0" borderId="51" xfId="14" applyFont="1" applyFill="1" applyBorder="1" applyProtection="1"/>
    <xf numFmtId="3" fontId="24" fillId="5" borderId="52" xfId="0" applyNumberFormat="1" applyFont="1" applyFill="1" applyBorder="1" applyAlignment="1" applyProtection="1">
      <alignment vertical="center"/>
    </xf>
    <xf numFmtId="0" fontId="21" fillId="21" borderId="0" xfId="0" applyFont="1" applyFill="1" applyAlignment="1">
      <alignment horizontal="center" vertical="center"/>
    </xf>
    <xf numFmtId="0" fontId="14" fillId="0" borderId="0" xfId="0" applyFont="1"/>
    <xf numFmtId="3" fontId="1" fillId="11" borderId="1" xfId="0" applyNumberFormat="1" applyFont="1" applyFill="1" applyBorder="1" applyAlignment="1" applyProtection="1">
      <alignment horizontal="right" vertical="top" wrapText="1"/>
    </xf>
    <xf numFmtId="3" fontId="3" fillId="11" borderId="1" xfId="0" applyNumberFormat="1" applyFont="1" applyFill="1" applyBorder="1" applyAlignment="1" applyProtection="1">
      <alignment horizontal="right" vertical="top" wrapText="1"/>
    </xf>
    <xf numFmtId="10" fontId="3" fillId="11" borderId="1" xfId="7" applyNumberFormat="1" applyFont="1" applyFill="1" applyBorder="1" applyAlignment="1" applyProtection="1">
      <alignment horizontal="center" vertical="top" wrapText="1"/>
    </xf>
    <xf numFmtId="3" fontId="1" fillId="11" borderId="1" xfId="14" applyNumberFormat="1" applyFont="1" applyFill="1" applyBorder="1" applyAlignment="1">
      <alignment horizontal="right" vertical="top" wrapText="1"/>
    </xf>
    <xf numFmtId="3" fontId="1" fillId="11" borderId="23" xfId="0" applyNumberFormat="1" applyFont="1" applyFill="1" applyBorder="1" applyAlignment="1" applyProtection="1">
      <alignment horizontal="right" vertical="top" wrapText="1"/>
    </xf>
    <xf numFmtId="3" fontId="17" fillId="13" borderId="19" xfId="2" applyNumberFormat="1" applyFont="1" applyFill="1" applyBorder="1" applyAlignment="1" applyProtection="1">
      <alignment horizontal="right" vertical="center"/>
    </xf>
    <xf numFmtId="3" fontId="24" fillId="5" borderId="16" xfId="0" applyNumberFormat="1" applyFont="1" applyFill="1" applyBorder="1" applyAlignment="1" applyProtection="1">
      <alignment horizontal="right" vertical="top" wrapText="1"/>
    </xf>
    <xf numFmtId="10" fontId="24" fillId="5" borderId="23" xfId="7" applyNumberFormat="1" applyFont="1" applyFill="1" applyBorder="1" applyAlignment="1" applyProtection="1">
      <alignment horizontal="center" vertical="top" wrapText="1"/>
    </xf>
    <xf numFmtId="3" fontId="1" fillId="0" borderId="16" xfId="0" applyNumberFormat="1" applyFont="1" applyFill="1" applyBorder="1" applyAlignment="1" applyProtection="1">
      <alignment horizontal="right" vertical="top" wrapText="1"/>
    </xf>
    <xf numFmtId="3" fontId="2" fillId="5" borderId="16" xfId="0" applyNumberFormat="1" applyFont="1" applyFill="1" applyBorder="1" applyAlignment="1" applyProtection="1">
      <alignment horizontal="right" vertical="top" wrapText="1"/>
    </xf>
    <xf numFmtId="3" fontId="2" fillId="5" borderId="16" xfId="0" applyNumberFormat="1" applyFont="1" applyFill="1" applyBorder="1" applyAlignment="1" applyProtection="1">
      <alignment horizontal="right" vertical="top"/>
    </xf>
    <xf numFmtId="3" fontId="1" fillId="11" borderId="16" xfId="0" applyNumberFormat="1" applyFont="1" applyFill="1" applyBorder="1" applyAlignment="1" applyProtection="1">
      <alignment horizontal="right" vertical="top" wrapText="1"/>
    </xf>
    <xf numFmtId="3" fontId="24" fillId="0" borderId="16" xfId="0" applyNumberFormat="1" applyFont="1" applyFill="1" applyBorder="1" applyAlignment="1" applyProtection="1">
      <alignment horizontal="right" vertical="top" wrapText="1"/>
    </xf>
    <xf numFmtId="3" fontId="2" fillId="5" borderId="17" xfId="0" applyNumberFormat="1" applyFont="1" applyFill="1" applyBorder="1" applyAlignment="1" applyProtection="1">
      <alignment horizontal="right" vertical="top"/>
    </xf>
    <xf numFmtId="10" fontId="17" fillId="13" borderId="35" xfId="7" applyNumberFormat="1" applyFont="1" applyFill="1" applyBorder="1" applyAlignment="1" applyProtection="1">
      <alignment horizontal="center" vertical="center"/>
    </xf>
    <xf numFmtId="10" fontId="1" fillId="0" borderId="36" xfId="7" applyNumberFormat="1" applyFont="1" applyFill="1" applyBorder="1" applyAlignment="1" applyProtection="1">
      <alignment horizontal="center" vertical="top" wrapText="1"/>
    </xf>
    <xf numFmtId="10" fontId="24" fillId="5" borderId="36" xfId="7" applyNumberFormat="1" applyFont="1" applyFill="1" applyBorder="1" applyAlignment="1" applyProtection="1">
      <alignment horizontal="center" vertical="top" wrapText="1"/>
    </xf>
    <xf numFmtId="10" fontId="3" fillId="0" borderId="36" xfId="7" applyNumberFormat="1" applyFont="1" applyFill="1" applyBorder="1" applyAlignment="1" applyProtection="1">
      <alignment horizontal="center" vertical="top" wrapText="1"/>
    </xf>
    <xf numFmtId="3" fontId="24" fillId="0" borderId="2" xfId="0" applyNumberFormat="1" applyFont="1" applyFill="1" applyBorder="1" applyAlignment="1" applyProtection="1">
      <alignment horizontal="right" vertical="top" wrapText="1"/>
    </xf>
    <xf numFmtId="3" fontId="17" fillId="13" borderId="19" xfId="14" applyNumberFormat="1" applyFont="1" applyFill="1" applyBorder="1" applyAlignment="1" applyProtection="1">
      <alignment horizontal="right" vertical="center"/>
    </xf>
    <xf numFmtId="3" fontId="24" fillId="5" borderId="16" xfId="0" applyNumberFormat="1" applyFont="1" applyFill="1" applyBorder="1" applyAlignment="1">
      <alignment horizontal="right" vertical="top" wrapText="1"/>
    </xf>
    <xf numFmtId="3" fontId="24" fillId="5" borderId="16" xfId="0" applyNumberFormat="1" applyFont="1" applyFill="1" applyBorder="1" applyAlignment="1">
      <alignment horizontal="right" vertical="top"/>
    </xf>
    <xf numFmtId="3" fontId="24" fillId="5" borderId="23" xfId="0" applyNumberFormat="1" applyFont="1" applyFill="1" applyBorder="1" applyAlignment="1">
      <alignment horizontal="right" vertical="top"/>
    </xf>
    <xf numFmtId="3" fontId="1" fillId="0" borderId="16" xfId="14" applyNumberFormat="1" applyFont="1" applyFill="1" applyBorder="1" applyAlignment="1">
      <alignment horizontal="right" vertical="top"/>
    </xf>
    <xf numFmtId="3" fontId="2" fillId="5" borderId="16" xfId="0" applyNumberFormat="1" applyFont="1" applyFill="1" applyBorder="1" applyAlignment="1">
      <alignment horizontal="right" vertical="top" wrapText="1"/>
    </xf>
    <xf numFmtId="3" fontId="2" fillId="5" borderId="16" xfId="0" applyNumberFormat="1" applyFont="1" applyFill="1" applyBorder="1" applyAlignment="1">
      <alignment horizontal="right" vertical="top"/>
    </xf>
    <xf numFmtId="3" fontId="2" fillId="5" borderId="23" xfId="0" applyNumberFormat="1" applyFont="1" applyFill="1" applyBorder="1" applyAlignment="1" applyProtection="1">
      <alignment horizontal="right" vertical="top"/>
    </xf>
    <xf numFmtId="3" fontId="24" fillId="5" borderId="16" xfId="14" applyNumberFormat="1" applyFont="1" applyFill="1" applyBorder="1" applyAlignment="1">
      <alignment horizontal="right" vertical="top" wrapText="1"/>
    </xf>
    <xf numFmtId="3" fontId="1" fillId="11" borderId="16" xfId="14" applyNumberFormat="1" applyFont="1" applyFill="1" applyBorder="1" applyAlignment="1">
      <alignment horizontal="right" vertical="top"/>
    </xf>
    <xf numFmtId="3" fontId="3" fillId="0" borderId="16" xfId="0" applyNumberFormat="1" applyFont="1" applyFill="1" applyBorder="1" applyAlignment="1" applyProtection="1">
      <alignment horizontal="right" vertical="top" wrapText="1"/>
    </xf>
    <xf numFmtId="3" fontId="3" fillId="0" borderId="23" xfId="0" applyNumberFormat="1" applyFont="1" applyFill="1" applyBorder="1" applyAlignment="1" applyProtection="1">
      <alignment horizontal="right" vertical="top" wrapText="1"/>
    </xf>
    <xf numFmtId="3" fontId="1" fillId="0" borderId="16" xfId="0" applyNumberFormat="1" applyFont="1" applyFill="1" applyBorder="1" applyAlignment="1">
      <alignment horizontal="right" vertical="top"/>
    </xf>
    <xf numFmtId="3" fontId="2" fillId="5" borderId="39" xfId="0" applyNumberFormat="1" applyFont="1" applyFill="1" applyBorder="1" applyAlignment="1" applyProtection="1">
      <alignment horizontal="right" vertical="top"/>
    </xf>
    <xf numFmtId="49" fontId="12" fillId="11" borderId="1" xfId="0" applyNumberFormat="1" applyFont="1" applyFill="1" applyBorder="1" applyAlignment="1" applyProtection="1">
      <alignment vertical="top" wrapText="1"/>
    </xf>
    <xf numFmtId="168" fontId="12" fillId="11" borderId="1" xfId="0" applyNumberFormat="1" applyFont="1" applyFill="1" applyBorder="1" applyAlignment="1" applyProtection="1">
      <alignment vertical="top" wrapText="1"/>
    </xf>
    <xf numFmtId="0" fontId="37" fillId="8" borderId="10" xfId="0" applyFont="1" applyFill="1" applyBorder="1" applyAlignment="1">
      <alignment horizontal="center" vertical="center"/>
    </xf>
    <xf numFmtId="3" fontId="24" fillId="5" borderId="36" xfId="0" applyNumberFormat="1" applyFont="1" applyFill="1" applyBorder="1" applyAlignment="1">
      <alignment horizontal="right" vertical="top" wrapText="1"/>
    </xf>
    <xf numFmtId="3" fontId="1" fillId="0" borderId="36" xfId="0" applyNumberFormat="1" applyFont="1" applyFill="1" applyBorder="1" applyAlignment="1" applyProtection="1">
      <alignment horizontal="right" vertical="top" wrapText="1"/>
    </xf>
    <xf numFmtId="3" fontId="2" fillId="5" borderId="36" xfId="0" applyNumberFormat="1" applyFont="1" applyFill="1" applyBorder="1" applyAlignment="1">
      <alignment horizontal="right" vertical="top" wrapText="1"/>
    </xf>
    <xf numFmtId="3" fontId="24" fillId="5" borderId="36" xfId="0" applyNumberFormat="1" applyFont="1" applyFill="1" applyBorder="1" applyAlignment="1">
      <alignment vertical="top"/>
    </xf>
    <xf numFmtId="3" fontId="2" fillId="5" borderId="36" xfId="0" applyNumberFormat="1" applyFont="1" applyFill="1" applyBorder="1" applyAlignment="1">
      <alignment vertical="top"/>
    </xf>
    <xf numFmtId="3" fontId="2" fillId="5" borderId="36" xfId="0" applyNumberFormat="1" applyFont="1" applyFill="1" applyBorder="1" applyAlignment="1" applyProtection="1">
      <alignment vertical="top"/>
    </xf>
    <xf numFmtId="3" fontId="2" fillId="5" borderId="36" xfId="0" applyNumberFormat="1" applyFont="1" applyFill="1" applyBorder="1" applyAlignment="1">
      <alignment horizontal="right" vertical="top"/>
    </xf>
    <xf numFmtId="3" fontId="1" fillId="0" borderId="36" xfId="0" applyNumberFormat="1" applyFont="1" applyFill="1" applyBorder="1" applyAlignment="1">
      <alignment horizontal="right" vertical="top"/>
    </xf>
    <xf numFmtId="3" fontId="1" fillId="11" borderId="36" xfId="0" applyNumberFormat="1" applyFont="1" applyFill="1" applyBorder="1" applyAlignment="1" applyProtection="1">
      <alignment horizontal="right" vertical="top" wrapText="1"/>
    </xf>
    <xf numFmtId="3" fontId="2" fillId="0" borderId="36" xfId="0" applyNumberFormat="1" applyFont="1" applyFill="1" applyBorder="1" applyAlignment="1">
      <alignment horizontal="right" vertical="top" wrapText="1"/>
    </xf>
    <xf numFmtId="3" fontId="3" fillId="0" borderId="36" xfId="0" applyNumberFormat="1" applyFont="1" applyFill="1" applyBorder="1" applyAlignment="1" applyProtection="1">
      <alignment horizontal="right" vertical="top" wrapText="1"/>
    </xf>
    <xf numFmtId="3" fontId="24" fillId="5" borderId="36" xfId="0" applyNumberFormat="1" applyFont="1" applyFill="1" applyBorder="1" applyAlignment="1" applyProtection="1">
      <alignment horizontal="right" vertical="top" wrapText="1"/>
    </xf>
    <xf numFmtId="3" fontId="24" fillId="0" borderId="36" xfId="0" applyNumberFormat="1" applyFont="1" applyFill="1" applyBorder="1" applyAlignment="1" applyProtection="1">
      <alignment horizontal="right" vertical="top" wrapText="1"/>
    </xf>
    <xf numFmtId="3" fontId="2" fillId="5" borderId="45" xfId="0" applyNumberFormat="1" applyFont="1" applyFill="1" applyBorder="1" applyAlignment="1" applyProtection="1">
      <alignment vertical="top"/>
    </xf>
    <xf numFmtId="3" fontId="24" fillId="0" borderId="1" xfId="0" applyNumberFormat="1" applyFont="1" applyFill="1" applyBorder="1" applyAlignment="1">
      <alignment horizontal="right" vertical="top" wrapText="1"/>
    </xf>
    <xf numFmtId="3" fontId="1" fillId="0" borderId="1" xfId="0" applyNumberFormat="1" applyFont="1" applyBorder="1" applyAlignment="1">
      <alignment vertical="top"/>
    </xf>
    <xf numFmtId="3" fontId="1" fillId="11" borderId="1" xfId="0" applyNumberFormat="1" applyFont="1" applyFill="1" applyBorder="1" applyAlignment="1">
      <alignment vertical="top"/>
    </xf>
    <xf numFmtId="3" fontId="1" fillId="0" borderId="12" xfId="14" applyNumberFormat="1" applyFont="1" applyBorder="1" applyAlignment="1">
      <alignment horizontal="center" vertical="center" wrapText="1"/>
    </xf>
    <xf numFmtId="3" fontId="24" fillId="5" borderId="59" xfId="14" applyNumberFormat="1" applyFont="1" applyFill="1" applyBorder="1" applyAlignment="1" applyProtection="1">
      <alignment horizontal="right" vertical="center"/>
      <protection locked="0"/>
    </xf>
    <xf numFmtId="3" fontId="24" fillId="5" borderId="58" xfId="14" applyNumberFormat="1" applyFont="1" applyFill="1" applyBorder="1" applyAlignment="1" applyProtection="1">
      <alignment horizontal="right" vertical="center"/>
      <protection locked="0"/>
    </xf>
    <xf numFmtId="3" fontId="2" fillId="2" borderId="27" xfId="0" applyNumberFormat="1" applyFont="1" applyFill="1" applyBorder="1" applyAlignment="1" applyProtection="1">
      <alignment horizontal="center"/>
      <protection locked="0"/>
    </xf>
    <xf numFmtId="3" fontId="24" fillId="5" borderId="23" xfId="14" applyNumberFormat="1" applyFont="1" applyFill="1" applyBorder="1" applyAlignment="1" applyProtection="1">
      <alignment horizontal="right" vertical="center"/>
      <protection locked="0"/>
    </xf>
    <xf numFmtId="3" fontId="24" fillId="5" borderId="26" xfId="14" applyNumberFormat="1" applyFont="1" applyFill="1" applyBorder="1" applyAlignment="1" applyProtection="1">
      <alignment horizontal="right" vertical="center"/>
      <protection locked="0"/>
    </xf>
    <xf numFmtId="3" fontId="1" fillId="0" borderId="14" xfId="14" applyNumberFormat="1" applyFont="1" applyBorder="1" applyAlignment="1">
      <alignment horizontal="center" vertical="center" wrapText="1"/>
    </xf>
    <xf numFmtId="3" fontId="1" fillId="0" borderId="71" xfId="0" applyNumberFormat="1" applyFont="1" applyFill="1" applyBorder="1" applyAlignment="1">
      <alignment horizontal="center" vertical="center" wrapText="1"/>
    </xf>
    <xf numFmtId="3" fontId="1" fillId="0" borderId="73" xfId="0" applyNumberFormat="1" applyFont="1" applyFill="1" applyBorder="1" applyAlignment="1">
      <alignment horizontal="center" vertical="center" wrapText="1"/>
    </xf>
    <xf numFmtId="3" fontId="24" fillId="5" borderId="19" xfId="0" applyNumberFormat="1" applyFont="1" applyFill="1" applyBorder="1" applyAlignment="1">
      <alignment horizontal="right" vertical="top" wrapText="1"/>
    </xf>
    <xf numFmtId="3" fontId="24" fillId="5" borderId="26" xfId="0" applyNumberFormat="1" applyFont="1" applyFill="1" applyBorder="1" applyAlignment="1">
      <alignment horizontal="right" vertical="top" wrapText="1"/>
    </xf>
    <xf numFmtId="3" fontId="24" fillId="5" borderId="18" xfId="0" applyNumberFormat="1" applyFont="1" applyFill="1" applyBorder="1" applyAlignment="1">
      <alignment horizontal="right" vertical="top" wrapText="1"/>
    </xf>
    <xf numFmtId="3" fontId="24" fillId="5" borderId="35" xfId="0" applyNumberFormat="1" applyFont="1" applyFill="1" applyBorder="1" applyAlignment="1">
      <alignment horizontal="right" vertical="top" wrapText="1"/>
    </xf>
    <xf numFmtId="3" fontId="17" fillId="13" borderId="1" xfId="14" applyNumberFormat="1" applyFont="1" applyFill="1" applyBorder="1" applyAlignment="1" applyProtection="1">
      <alignment horizontal="right" vertical="center"/>
    </xf>
    <xf numFmtId="0" fontId="50" fillId="0" borderId="0" xfId="0" applyFont="1"/>
    <xf numFmtId="3" fontId="1" fillId="0" borderId="28" xfId="0" applyNumberFormat="1" applyFont="1" applyBorder="1" applyAlignment="1">
      <alignment horizontal="center" vertical="center" wrapText="1"/>
    </xf>
    <xf numFmtId="3" fontId="17" fillId="13" borderId="36" xfId="14" applyNumberFormat="1" applyFont="1" applyFill="1" applyBorder="1" applyAlignment="1" applyProtection="1">
      <alignment horizontal="right" vertical="center"/>
    </xf>
    <xf numFmtId="3" fontId="24" fillId="5" borderId="57" xfId="0" applyNumberFormat="1" applyFont="1" applyFill="1" applyBorder="1" applyAlignment="1">
      <alignment horizontal="right" vertical="top" wrapText="1"/>
    </xf>
    <xf numFmtId="3" fontId="24" fillId="5" borderId="57" xfId="0" applyNumberFormat="1" applyFont="1" applyFill="1" applyBorder="1" applyAlignment="1">
      <alignment vertical="top"/>
    </xf>
    <xf numFmtId="3" fontId="2" fillId="5" borderId="57" xfId="0" applyNumberFormat="1" applyFont="1" applyFill="1" applyBorder="1" applyAlignment="1">
      <alignment horizontal="right" vertical="top" wrapText="1"/>
    </xf>
    <xf numFmtId="3" fontId="1" fillId="0" borderId="57" xfId="0" applyNumberFormat="1" applyFont="1" applyFill="1" applyBorder="1" applyAlignment="1">
      <alignment horizontal="right" vertical="top"/>
    </xf>
    <xf numFmtId="3" fontId="1" fillId="11" borderId="57" xfId="0" applyNumberFormat="1" applyFont="1" applyFill="1" applyBorder="1" applyAlignment="1" applyProtection="1">
      <alignment horizontal="right" vertical="top" wrapText="1"/>
    </xf>
    <xf numFmtId="3" fontId="3" fillId="0" borderId="57" xfId="0" applyNumberFormat="1" applyFont="1" applyFill="1" applyBorder="1" applyAlignment="1" applyProtection="1">
      <alignment horizontal="right" vertical="top" wrapText="1"/>
    </xf>
    <xf numFmtId="3" fontId="24" fillId="5" borderId="57" xfId="0" applyNumberFormat="1" applyFont="1" applyFill="1" applyBorder="1" applyAlignment="1" applyProtection="1">
      <alignment horizontal="right" vertical="top" wrapText="1"/>
    </xf>
    <xf numFmtId="3" fontId="24" fillId="0" borderId="57" xfId="0" applyNumberFormat="1" applyFont="1" applyFill="1" applyBorder="1" applyAlignment="1" applyProtection="1">
      <alignment horizontal="right" vertical="top" wrapText="1"/>
    </xf>
    <xf numFmtId="3" fontId="2" fillId="5" borderId="57" xfId="0" applyNumberFormat="1" applyFont="1" applyFill="1" applyBorder="1" applyAlignment="1">
      <alignment vertical="top"/>
    </xf>
    <xf numFmtId="3" fontId="2" fillId="5" borderId="50" xfId="0" applyNumberFormat="1" applyFont="1" applyFill="1" applyBorder="1" applyAlignment="1" applyProtection="1">
      <alignment vertical="top"/>
    </xf>
    <xf numFmtId="3" fontId="24" fillId="5" borderId="58" xfId="0" applyNumberFormat="1" applyFont="1" applyFill="1" applyBorder="1" applyAlignment="1">
      <alignment horizontal="right" vertical="top" wrapText="1"/>
    </xf>
    <xf numFmtId="3" fontId="18" fillId="11" borderId="0" xfId="14" applyNumberFormat="1" applyFont="1" applyFill="1" applyBorder="1" applyAlignment="1">
      <alignment horizontal="center" vertical="top"/>
    </xf>
    <xf numFmtId="3" fontId="18" fillId="11" borderId="0" xfId="0" applyNumberFormat="1" applyFont="1" applyFill="1" applyBorder="1" applyAlignment="1">
      <alignment horizontal="center" vertical="top"/>
    </xf>
    <xf numFmtId="3" fontId="17" fillId="4" borderId="23" xfId="2" applyNumberFormat="1" applyFont="1" applyBorder="1" applyAlignment="1" applyProtection="1">
      <alignment vertical="center"/>
    </xf>
    <xf numFmtId="3" fontId="1" fillId="0" borderId="74" xfId="0" applyNumberFormat="1" applyFont="1" applyBorder="1" applyAlignment="1">
      <alignment horizontal="center" vertical="center" wrapText="1"/>
    </xf>
    <xf numFmtId="3" fontId="24" fillId="5" borderId="36" xfId="14" applyNumberFormat="1" applyFont="1" applyFill="1" applyBorder="1" applyAlignment="1" applyProtection="1">
      <alignment horizontal="right" vertical="center"/>
      <protection locked="0"/>
    </xf>
    <xf numFmtId="0" fontId="1" fillId="0" borderId="23" xfId="0" applyFont="1" applyFill="1" applyBorder="1" applyAlignment="1" applyProtection="1">
      <alignment vertical="center"/>
      <protection locked="0"/>
    </xf>
    <xf numFmtId="3" fontId="1" fillId="0" borderId="67" xfId="14" applyNumberFormat="1" applyFont="1" applyBorder="1" applyAlignment="1">
      <alignment horizontal="center" vertical="center" wrapText="1"/>
    </xf>
    <xf numFmtId="3" fontId="1" fillId="0" borderId="68" xfId="0" applyNumberFormat="1" applyFont="1" applyFill="1" applyBorder="1" applyAlignment="1">
      <alignment horizontal="center" vertical="center" wrapText="1"/>
    </xf>
    <xf numFmtId="0" fontId="21" fillId="17" borderId="0" xfId="0" applyFont="1" applyFill="1" applyAlignment="1">
      <alignment horizontal="left" vertical="center" wrapText="1"/>
    </xf>
    <xf numFmtId="0" fontId="45" fillId="24" borderId="63" xfId="0" applyNumberFormat="1" applyFont="1" applyFill="1" applyBorder="1" applyAlignment="1" applyProtection="1">
      <alignment horizontal="center" vertical="center"/>
    </xf>
    <xf numFmtId="173" fontId="45" fillId="24" borderId="63" xfId="0" applyNumberFormat="1" applyFont="1" applyFill="1" applyBorder="1" applyAlignment="1" applyProtection="1">
      <alignment horizontal="right" vertical="center"/>
    </xf>
    <xf numFmtId="41" fontId="51" fillId="0" borderId="0" xfId="14" applyFont="1" applyFill="1" applyProtection="1">
      <protection locked="0"/>
    </xf>
    <xf numFmtId="41" fontId="51" fillId="0" borderId="0" xfId="14" applyFont="1" applyFill="1" applyAlignment="1" applyProtection="1">
      <alignment horizontal="center" vertical="center"/>
      <protection locked="0"/>
    </xf>
    <xf numFmtId="41" fontId="51" fillId="0" borderId="0" xfId="14" applyFont="1" applyFill="1" applyAlignment="1" applyProtection="1">
      <alignment vertical="center"/>
      <protection locked="0"/>
    </xf>
    <xf numFmtId="3" fontId="24" fillId="5" borderId="37" xfId="0" applyNumberFormat="1" applyFont="1" applyFill="1" applyBorder="1" applyAlignment="1" applyProtection="1">
      <alignment vertical="center"/>
      <protection locked="0"/>
    </xf>
    <xf numFmtId="3" fontId="24" fillId="5" borderId="57" xfId="14" applyNumberFormat="1" applyFont="1" applyFill="1" applyBorder="1" applyAlignment="1" applyProtection="1">
      <alignment horizontal="right" vertical="center"/>
      <protection locked="0"/>
    </xf>
    <xf numFmtId="41" fontId="51" fillId="0" borderId="11" xfId="14" applyFont="1" applyFill="1" applyBorder="1" applyAlignment="1" applyProtection="1">
      <alignment vertical="center"/>
      <protection locked="0"/>
    </xf>
    <xf numFmtId="0" fontId="50" fillId="19" borderId="0" xfId="0" applyFont="1" applyFill="1" applyAlignment="1" applyProtection="1">
      <alignment horizontal="center" vertical="center" wrapText="1"/>
    </xf>
    <xf numFmtId="0" fontId="52" fillId="17" borderId="0" xfId="0" applyFont="1" applyFill="1" applyAlignment="1" applyProtection="1">
      <alignment horizontal="center" vertical="center"/>
    </xf>
    <xf numFmtId="0" fontId="52" fillId="17" borderId="0" xfId="0" applyFont="1" applyFill="1" applyAlignment="1" applyProtection="1">
      <alignment horizontal="left" vertical="center"/>
    </xf>
    <xf numFmtId="173" fontId="52" fillId="17" borderId="0" xfId="0" applyNumberFormat="1" applyFont="1" applyFill="1" applyAlignment="1" applyProtection="1">
      <alignment horizontal="right" vertical="center"/>
    </xf>
    <xf numFmtId="0" fontId="0" fillId="0" borderId="0" xfId="0" applyFont="1" applyAlignment="1"/>
    <xf numFmtId="0" fontId="0" fillId="0" borderId="0" xfId="0" applyFont="1" applyAlignment="1">
      <alignment horizontal="left"/>
    </xf>
    <xf numFmtId="3" fontId="3" fillId="0" borderId="57" xfId="16" applyNumberFormat="1" applyFont="1" applyFill="1" applyBorder="1" applyAlignment="1" applyProtection="1">
      <alignment horizontal="right" vertical="center"/>
      <protection locked="0"/>
    </xf>
    <xf numFmtId="3" fontId="24" fillId="5" borderId="50" xfId="0" applyNumberFormat="1" applyFont="1" applyFill="1" applyBorder="1" applyAlignment="1" applyProtection="1">
      <alignment horizontal="right" vertical="center"/>
      <protection locked="0"/>
    </xf>
    <xf numFmtId="3" fontId="2" fillId="5" borderId="23" xfId="0" applyNumberFormat="1" applyFont="1" applyFill="1" applyBorder="1" applyAlignment="1" applyProtection="1">
      <alignment horizontal="right" vertical="center" wrapText="1"/>
    </xf>
    <xf numFmtId="168" fontId="3" fillId="0" borderId="1" xfId="16" applyNumberFormat="1" applyFont="1" applyFill="1" applyBorder="1" applyAlignment="1" applyProtection="1">
      <alignment vertical="center"/>
    </xf>
    <xf numFmtId="168" fontId="3" fillId="5" borderId="3" xfId="0" applyNumberFormat="1" applyFont="1" applyFill="1" applyBorder="1" applyAlignment="1" applyProtection="1">
      <alignment vertical="center"/>
    </xf>
    <xf numFmtId="3" fontId="1" fillId="0" borderId="16" xfId="14" applyNumberFormat="1" applyFont="1" applyFill="1" applyBorder="1" applyAlignment="1" applyProtection="1">
      <alignment horizontal="right" vertical="center" wrapText="1"/>
    </xf>
    <xf numFmtId="3" fontId="1" fillId="0" borderId="11" xfId="14" applyNumberFormat="1" applyFont="1" applyFill="1" applyBorder="1" applyAlignment="1" applyProtection="1">
      <alignment horizontal="right" vertical="center" wrapText="1"/>
    </xf>
    <xf numFmtId="171" fontId="2" fillId="5" borderId="5" xfId="8" applyNumberFormat="1" applyFont="1" applyFill="1" applyBorder="1" applyAlignment="1" applyProtection="1">
      <alignment vertical="center"/>
      <protection locked="0"/>
    </xf>
    <xf numFmtId="3" fontId="1" fillId="10" borderId="22" xfId="0" applyNumberFormat="1" applyFont="1" applyFill="1" applyBorder="1" applyAlignment="1">
      <alignment horizontal="center" vertical="center" wrapText="1"/>
    </xf>
    <xf numFmtId="3" fontId="4" fillId="2" borderId="37" xfId="0" applyNumberFormat="1" applyFont="1" applyFill="1" applyBorder="1" applyAlignment="1">
      <alignment vertical="center"/>
    </xf>
    <xf numFmtId="3" fontId="2" fillId="5" borderId="23" xfId="0" applyNumberFormat="1" applyFont="1" applyFill="1" applyBorder="1"/>
    <xf numFmtId="3" fontId="1" fillId="0" borderId="23" xfId="0" applyNumberFormat="1" applyFont="1" applyFill="1" applyBorder="1"/>
    <xf numFmtId="3" fontId="1" fillId="0" borderId="23" xfId="0" applyNumberFormat="1" applyFont="1" applyFill="1" applyBorder="1" applyAlignment="1">
      <alignment horizontal="right" vertical="top" wrapText="1"/>
    </xf>
    <xf numFmtId="3" fontId="1" fillId="0" borderId="26" xfId="0" applyNumberFormat="1" applyFont="1" applyFill="1" applyBorder="1" applyAlignment="1">
      <alignment horizontal="right" vertical="top" wrapText="1"/>
    </xf>
    <xf numFmtId="3" fontId="2" fillId="5" borderId="39" xfId="0" applyNumberFormat="1" applyFont="1" applyFill="1" applyBorder="1" applyAlignment="1" applyProtection="1">
      <alignment horizontal="right" vertical="top" wrapText="1"/>
    </xf>
    <xf numFmtId="3" fontId="1" fillId="0" borderId="36" xfId="0" applyNumberFormat="1" applyFont="1" applyFill="1" applyBorder="1"/>
    <xf numFmtId="3" fontId="1" fillId="0" borderId="36" xfId="0" applyNumberFormat="1" applyFont="1" applyFill="1" applyBorder="1" applyAlignment="1">
      <alignment horizontal="right" vertical="top" wrapText="1"/>
    </xf>
    <xf numFmtId="3" fontId="1" fillId="0" borderId="35" xfId="0" applyNumberFormat="1" applyFont="1" applyFill="1" applyBorder="1" applyAlignment="1">
      <alignment horizontal="right" vertical="top" wrapText="1"/>
    </xf>
    <xf numFmtId="3" fontId="2" fillId="5" borderId="45" xfId="0" applyNumberFormat="1" applyFont="1" applyFill="1" applyBorder="1" applyAlignment="1" applyProtection="1">
      <alignment horizontal="right" vertical="top" wrapText="1"/>
    </xf>
    <xf numFmtId="0" fontId="25" fillId="17" borderId="0" xfId="0" applyFont="1" applyFill="1" applyAlignment="1" applyProtection="1">
      <alignment horizontal="left" vertical="center"/>
    </xf>
    <xf numFmtId="41" fontId="50" fillId="0" borderId="0" xfId="14" applyFont="1" applyAlignment="1">
      <alignment vertical="center"/>
    </xf>
    <xf numFmtId="0" fontId="50" fillId="0" borderId="0" xfId="0" applyFont="1" applyAlignment="1"/>
    <xf numFmtId="0" fontId="50" fillId="0" borderId="0" xfId="0" applyFont="1" applyAlignment="1">
      <alignment wrapText="1"/>
    </xf>
    <xf numFmtId="0" fontId="25" fillId="17" borderId="0" xfId="0" applyFont="1" applyFill="1" applyAlignment="1" applyProtection="1">
      <alignment horizontal="center" vertical="center"/>
    </xf>
    <xf numFmtId="0" fontId="53" fillId="24" borderId="63" xfId="0" applyNumberFormat="1" applyFont="1" applyFill="1" applyBorder="1" applyAlignment="1" applyProtection="1">
      <alignment horizontal="center" vertical="center"/>
    </xf>
    <xf numFmtId="173" fontId="53" fillId="24" borderId="63" xfId="0" applyNumberFormat="1" applyFont="1" applyFill="1" applyBorder="1" applyAlignment="1" applyProtection="1">
      <alignment horizontal="right" vertical="center"/>
    </xf>
    <xf numFmtId="0" fontId="53" fillId="24" borderId="63" xfId="0" applyNumberFormat="1" applyFont="1" applyFill="1" applyBorder="1" applyAlignment="1" applyProtection="1">
      <alignment horizontal="left" vertical="center"/>
    </xf>
    <xf numFmtId="41" fontId="53" fillId="24" borderId="63" xfId="14" applyFont="1" applyFill="1" applyBorder="1" applyAlignment="1" applyProtection="1">
      <alignment horizontal="center" vertical="center"/>
    </xf>
    <xf numFmtId="41" fontId="53" fillId="24" borderId="63" xfId="14" applyFont="1" applyFill="1" applyBorder="1" applyAlignment="1" applyProtection="1">
      <alignment horizontal="right" vertical="center"/>
    </xf>
    <xf numFmtId="41" fontId="1" fillId="0" borderId="0" xfId="14" applyFont="1" applyBorder="1"/>
    <xf numFmtId="41" fontId="1" fillId="0" borderId="0" xfId="14" applyFont="1"/>
    <xf numFmtId="3" fontId="2" fillId="2" borderId="58" xfId="0" applyNumberFormat="1" applyFont="1" applyFill="1" applyBorder="1" applyAlignment="1" applyProtection="1">
      <alignment vertical="center"/>
      <protection locked="0"/>
    </xf>
    <xf numFmtId="0" fontId="21" fillId="6" borderId="0" xfId="0" applyFont="1" applyFill="1" applyAlignment="1" applyProtection="1">
      <alignment horizontal="left" vertical="center"/>
    </xf>
    <xf numFmtId="173" fontId="21" fillId="6" borderId="0" xfId="0" applyNumberFormat="1" applyFont="1" applyFill="1" applyAlignment="1" applyProtection="1">
      <alignment horizontal="right" vertical="center"/>
    </xf>
    <xf numFmtId="41" fontId="26" fillId="6" borderId="0" xfId="14" applyFont="1" applyFill="1" applyAlignment="1"/>
    <xf numFmtId="0" fontId="1" fillId="0" borderId="0" xfId="0" applyFont="1" applyFill="1" applyAlignment="1">
      <alignment horizontal="center" vertical="center"/>
    </xf>
    <xf numFmtId="3" fontId="17" fillId="13" borderId="35" xfId="14" applyNumberFormat="1" applyFont="1" applyFill="1" applyBorder="1" applyAlignment="1" applyProtection="1">
      <alignment horizontal="right" vertical="center"/>
    </xf>
    <xf numFmtId="3" fontId="24" fillId="5" borderId="16" xfId="0" applyNumberFormat="1" applyFont="1" applyFill="1" applyBorder="1" applyAlignment="1">
      <alignment vertical="top"/>
    </xf>
    <xf numFmtId="3" fontId="2" fillId="5" borderId="16" xfId="0" applyNumberFormat="1" applyFont="1" applyFill="1" applyBorder="1" applyAlignment="1">
      <alignment vertical="top"/>
    </xf>
    <xf numFmtId="3" fontId="2" fillId="5" borderId="16" xfId="0" applyNumberFormat="1" applyFont="1" applyFill="1" applyBorder="1" applyAlignment="1" applyProtection="1">
      <alignment vertical="top"/>
    </xf>
    <xf numFmtId="3" fontId="2" fillId="5" borderId="17" xfId="0" applyNumberFormat="1" applyFont="1" applyFill="1" applyBorder="1" applyAlignment="1" applyProtection="1">
      <alignment vertical="top"/>
    </xf>
    <xf numFmtId="3" fontId="1" fillId="0" borderId="22" xfId="14" applyNumberFormat="1" applyFont="1" applyBorder="1" applyAlignment="1">
      <alignment horizontal="center" vertical="center" wrapText="1"/>
    </xf>
    <xf numFmtId="168" fontId="3" fillId="11" borderId="36" xfId="0" applyNumberFormat="1" applyFont="1" applyFill="1" applyBorder="1" applyAlignment="1" applyProtection="1">
      <alignment vertical="top"/>
    </xf>
    <xf numFmtId="3" fontId="24" fillId="5" borderId="2" xfId="14" applyNumberFormat="1" applyFont="1" applyFill="1" applyBorder="1" applyAlignment="1">
      <alignment horizontal="right" vertical="top" wrapText="1"/>
    </xf>
    <xf numFmtId="3" fontId="1" fillId="0" borderId="2" xfId="14" applyNumberFormat="1" applyFont="1" applyFill="1" applyBorder="1" applyAlignment="1">
      <alignment horizontal="right" vertical="top"/>
    </xf>
    <xf numFmtId="3" fontId="1" fillId="11" borderId="2" xfId="14" applyNumberFormat="1" applyFont="1" applyFill="1" applyBorder="1" applyAlignment="1">
      <alignment horizontal="right" vertical="top"/>
    </xf>
    <xf numFmtId="10" fontId="17" fillId="13" borderId="26" xfId="7" applyNumberFormat="1" applyFont="1" applyFill="1" applyBorder="1" applyAlignment="1" applyProtection="1">
      <alignment horizontal="center" vertical="center"/>
    </xf>
    <xf numFmtId="10" fontId="2" fillId="5" borderId="23" xfId="7" applyNumberFormat="1" applyFont="1" applyFill="1" applyBorder="1" applyAlignment="1" applyProtection="1">
      <alignment horizontal="center" vertical="top" wrapText="1"/>
    </xf>
    <xf numFmtId="10" fontId="24" fillId="0" borderId="23" xfId="7" applyNumberFormat="1" applyFont="1" applyFill="1" applyBorder="1" applyAlignment="1" applyProtection="1">
      <alignment horizontal="center" vertical="top" wrapText="1"/>
    </xf>
    <xf numFmtId="0" fontId="17" fillId="13" borderId="26" xfId="2" applyFont="1" applyFill="1" applyBorder="1" applyAlignment="1" applyProtection="1">
      <alignment horizontal="center" vertical="center"/>
    </xf>
    <xf numFmtId="0" fontId="24" fillId="5" borderId="23" xfId="0" applyFont="1" applyFill="1" applyBorder="1" applyAlignment="1" applyProtection="1">
      <alignment vertical="top" wrapText="1"/>
    </xf>
    <xf numFmtId="0" fontId="12" fillId="0" borderId="23" xfId="0" applyFont="1" applyFill="1" applyBorder="1" applyAlignment="1" applyProtection="1">
      <alignment vertical="top" wrapText="1"/>
    </xf>
    <xf numFmtId="0" fontId="13" fillId="5" borderId="23" xfId="0" applyFont="1" applyFill="1" applyBorder="1" applyAlignment="1" applyProtection="1">
      <alignment vertical="top" wrapText="1"/>
    </xf>
    <xf numFmtId="0" fontId="13" fillId="5" borderId="23" xfId="0" applyFont="1" applyFill="1" applyBorder="1" applyAlignment="1" applyProtection="1">
      <alignment horizontal="left" vertical="top"/>
    </xf>
    <xf numFmtId="0" fontId="12" fillId="0" borderId="23" xfId="0" applyFont="1" applyFill="1" applyBorder="1" applyAlignment="1" applyProtection="1">
      <alignment horizontal="left" vertical="top"/>
    </xf>
    <xf numFmtId="168" fontId="13" fillId="5" borderId="23" xfId="0" applyNumberFormat="1" applyFont="1" applyFill="1" applyBorder="1" applyAlignment="1" applyProtection="1">
      <alignment vertical="top" wrapText="1"/>
    </xf>
    <xf numFmtId="0" fontId="12" fillId="11" borderId="23" xfId="0" applyFont="1" applyFill="1" applyBorder="1" applyAlignment="1" applyProtection="1">
      <alignment vertical="top" wrapText="1"/>
    </xf>
    <xf numFmtId="3" fontId="1" fillId="0" borderId="23" xfId="0" applyNumberFormat="1" applyFont="1" applyFill="1" applyBorder="1" applyAlignment="1">
      <alignment horizontal="left" vertical="top" wrapText="1"/>
    </xf>
    <xf numFmtId="0" fontId="1" fillId="0" borderId="23" xfId="0" applyFont="1" applyFill="1" applyBorder="1" applyAlignment="1" applyProtection="1">
      <alignment horizontal="left" vertical="top" wrapText="1"/>
    </xf>
    <xf numFmtId="0" fontId="24" fillId="0" borderId="23" xfId="0" applyFont="1" applyFill="1" applyBorder="1" applyAlignment="1" applyProtection="1">
      <alignment vertical="top" wrapText="1"/>
    </xf>
    <xf numFmtId="3" fontId="24" fillId="5" borderId="26" xfId="0" applyNumberFormat="1" applyFont="1" applyFill="1" applyBorder="1" applyAlignment="1" applyProtection="1">
      <alignment vertical="center"/>
      <protection locked="0"/>
    </xf>
    <xf numFmtId="3" fontId="1" fillId="0" borderId="23" xfId="0" applyNumberFormat="1" applyFont="1" applyFill="1" applyBorder="1" applyAlignment="1" applyProtection="1">
      <alignment horizontal="right" vertical="center"/>
      <protection locked="0"/>
    </xf>
    <xf numFmtId="41" fontId="1" fillId="0" borderId="23" xfId="14" applyFont="1" applyFill="1" applyBorder="1" applyAlignment="1" applyProtection="1">
      <alignment vertical="center"/>
      <protection locked="0"/>
    </xf>
    <xf numFmtId="3" fontId="2" fillId="5" borderId="23" xfId="0" applyNumberFormat="1" applyFont="1" applyFill="1" applyBorder="1" applyAlignment="1" applyProtection="1">
      <alignment vertical="center"/>
      <protection locked="0"/>
    </xf>
    <xf numFmtId="3" fontId="1" fillId="0" borderId="40" xfId="0" applyNumberFormat="1" applyFont="1" applyBorder="1" applyAlignment="1">
      <alignment horizontal="center" vertical="center" wrapText="1"/>
    </xf>
    <xf numFmtId="3" fontId="4" fillId="2" borderId="12" xfId="0" applyNumberFormat="1" applyFont="1" applyFill="1" applyBorder="1" applyAlignment="1" applyProtection="1">
      <alignment vertical="center" wrapText="1"/>
      <protection locked="0"/>
    </xf>
    <xf numFmtId="0" fontId="1" fillId="0" borderId="57" xfId="0" applyFont="1" applyFill="1" applyBorder="1" applyAlignment="1" applyProtection="1">
      <alignment vertical="center"/>
      <protection locked="0"/>
    </xf>
    <xf numFmtId="3" fontId="1" fillId="0" borderId="11" xfId="0" applyNumberFormat="1" applyFont="1" applyFill="1" applyBorder="1" applyAlignment="1" applyProtection="1">
      <alignment vertical="center"/>
      <protection locked="0"/>
    </xf>
    <xf numFmtId="3" fontId="24" fillId="5" borderId="50" xfId="0" applyNumberFormat="1" applyFont="1" applyFill="1" applyBorder="1" applyAlignment="1" applyProtection="1">
      <alignment vertical="center"/>
      <protection locked="0"/>
    </xf>
    <xf numFmtId="3" fontId="3" fillId="0" borderId="1" xfId="14" applyNumberFormat="1" applyFont="1" applyFill="1" applyBorder="1" applyAlignment="1" applyProtection="1">
      <alignment vertical="center"/>
    </xf>
    <xf numFmtId="41" fontId="3" fillId="0" borderId="0" xfId="14" applyFont="1" applyFill="1" applyBorder="1" applyAlignment="1" applyProtection="1">
      <protection locked="0"/>
    </xf>
    <xf numFmtId="0" fontId="21" fillId="17" borderId="0" xfId="0" applyFont="1" applyFill="1" applyAlignment="1" applyProtection="1">
      <alignment horizontal="center" vertical="center"/>
    </xf>
    <xf numFmtId="0" fontId="14" fillId="0" borderId="0" xfId="0" applyFont="1" applyAlignment="1">
      <alignment horizontal="left"/>
    </xf>
    <xf numFmtId="0" fontId="21" fillId="17" borderId="0" xfId="0" applyFont="1" applyFill="1" applyAlignment="1" applyProtection="1">
      <alignment horizontal="left" vertical="center"/>
    </xf>
    <xf numFmtId="173" fontId="20" fillId="17" borderId="0" xfId="0" applyNumberFormat="1" applyFont="1" applyFill="1" applyAlignment="1" applyProtection="1">
      <alignment horizontal="left" vertical="center"/>
    </xf>
    <xf numFmtId="41" fontId="27" fillId="0" borderId="0" xfId="14" applyFont="1" applyAlignment="1">
      <alignment horizontal="left"/>
    </xf>
    <xf numFmtId="3" fontId="4" fillId="2" borderId="42" xfId="0" applyNumberFormat="1" applyFont="1" applyFill="1" applyBorder="1" applyAlignment="1" applyProtection="1">
      <alignment vertical="center" wrapText="1"/>
      <protection locked="0"/>
    </xf>
    <xf numFmtId="3" fontId="2" fillId="5" borderId="39" xfId="0" applyNumberFormat="1" applyFont="1" applyFill="1" applyBorder="1" applyAlignment="1" applyProtection="1">
      <alignment vertical="center"/>
      <protection locked="0"/>
    </xf>
    <xf numFmtId="3" fontId="2" fillId="7" borderId="42" xfId="0" applyNumberFormat="1" applyFont="1" applyFill="1" applyBorder="1" applyAlignment="1">
      <alignment horizontal="center" vertical="center" wrapText="1"/>
    </xf>
    <xf numFmtId="172" fontId="32" fillId="13" borderId="37" xfId="2" applyNumberFormat="1" applyFont="1" applyFill="1" applyBorder="1" applyAlignment="1" applyProtection="1">
      <alignment horizontal="center" vertical="center"/>
    </xf>
    <xf numFmtId="172" fontId="24" fillId="5" borderId="23" xfId="7" applyNumberFormat="1" applyFont="1" applyFill="1" applyBorder="1" applyAlignment="1" applyProtection="1">
      <alignment horizontal="center" vertical="center"/>
    </xf>
    <xf numFmtId="172" fontId="24" fillId="0" borderId="23" xfId="7" applyNumberFormat="1" applyFont="1" applyFill="1" applyBorder="1" applyAlignment="1" applyProtection="1">
      <alignment horizontal="center" vertical="center"/>
    </xf>
    <xf numFmtId="172" fontId="24" fillId="5" borderId="39" xfId="7" applyNumberFormat="1" applyFont="1" applyFill="1" applyBorder="1" applyAlignment="1" applyProtection="1">
      <alignment horizontal="center" vertical="center"/>
    </xf>
    <xf numFmtId="3" fontId="3" fillId="0" borderId="36" xfId="0" applyNumberFormat="1" applyFont="1" applyFill="1" applyBorder="1" applyAlignment="1" applyProtection="1">
      <alignment vertical="center"/>
      <protection locked="0"/>
    </xf>
    <xf numFmtId="3" fontId="2" fillId="5" borderId="36" xfId="0" applyNumberFormat="1" applyFont="1" applyFill="1" applyBorder="1" applyAlignment="1" applyProtection="1">
      <alignment horizontal="right" vertical="center"/>
    </xf>
    <xf numFmtId="3" fontId="3" fillId="0" borderId="36" xfId="0" applyNumberFormat="1" applyFont="1" applyFill="1" applyBorder="1" applyAlignment="1" applyProtection="1">
      <alignment horizontal="right" vertical="center"/>
      <protection locked="0"/>
    </xf>
    <xf numFmtId="3" fontId="3" fillId="0" borderId="36" xfId="16" applyNumberFormat="1" applyFont="1" applyFill="1" applyBorder="1" applyAlignment="1" applyProtection="1">
      <alignment horizontal="right" vertical="center" wrapText="1"/>
    </xf>
    <xf numFmtId="3" fontId="3" fillId="0" borderId="57" xfId="0" applyNumberFormat="1" applyFont="1" applyFill="1" applyBorder="1" applyAlignment="1" applyProtection="1">
      <alignment vertical="center"/>
      <protection locked="0"/>
    </xf>
    <xf numFmtId="3" fontId="2" fillId="5" borderId="57" xfId="0" applyNumberFormat="1" applyFont="1" applyFill="1" applyBorder="1" applyAlignment="1" applyProtection="1">
      <alignment horizontal="right" vertical="center"/>
    </xf>
    <xf numFmtId="3" fontId="3" fillId="0" borderId="57" xfId="16" applyNumberFormat="1" applyFont="1" applyFill="1" applyBorder="1" applyAlignment="1" applyProtection="1">
      <alignment horizontal="right" vertical="center" wrapText="1"/>
    </xf>
    <xf numFmtId="41" fontId="2" fillId="5" borderId="57" xfId="14" applyFont="1" applyFill="1" applyBorder="1" applyAlignment="1" applyProtection="1">
      <alignment vertical="center"/>
      <protection locked="0"/>
    </xf>
    <xf numFmtId="3" fontId="3" fillId="0" borderId="57" xfId="0" applyNumberFormat="1" applyFont="1" applyFill="1" applyBorder="1" applyAlignment="1" applyProtection="1">
      <alignment horizontal="right" vertical="center" wrapText="1"/>
    </xf>
    <xf numFmtId="41" fontId="50" fillId="0" borderId="0" xfId="14" applyFont="1" applyAlignment="1"/>
    <xf numFmtId="172" fontId="3" fillId="0" borderId="23" xfId="7" applyNumberFormat="1" applyFont="1" applyFill="1" applyBorder="1" applyAlignment="1" applyProtection="1">
      <alignment horizontal="center" vertical="center"/>
    </xf>
    <xf numFmtId="172" fontId="3" fillId="0" borderId="36" xfId="7" applyNumberFormat="1" applyFont="1" applyFill="1" applyBorder="1" applyAlignment="1" applyProtection="1">
      <alignment horizontal="center" vertical="center" wrapText="1"/>
    </xf>
    <xf numFmtId="172" fontId="3" fillId="0" borderId="36" xfId="2" applyNumberFormat="1" applyFont="1" applyFill="1" applyBorder="1" applyAlignment="1" applyProtection="1">
      <alignment horizontal="center" vertical="center" wrapText="1"/>
    </xf>
    <xf numFmtId="10" fontId="3" fillId="0" borderId="23" xfId="7" applyNumberFormat="1" applyFont="1" applyFill="1" applyBorder="1" applyAlignment="1" applyProtection="1">
      <alignment horizontal="center" vertical="center" wrapText="1"/>
    </xf>
    <xf numFmtId="3" fontId="3" fillId="0" borderId="36" xfId="0" applyNumberFormat="1" applyFont="1" applyFill="1" applyBorder="1" applyAlignment="1" applyProtection="1">
      <alignment horizontal="right" vertical="center" wrapText="1"/>
    </xf>
    <xf numFmtId="3" fontId="2" fillId="2" borderId="12" xfId="0" applyNumberFormat="1" applyFont="1" applyFill="1" applyBorder="1" applyAlignment="1">
      <alignment horizontal="center"/>
    </xf>
    <xf numFmtId="3" fontId="2" fillId="2" borderId="40" xfId="0" applyNumberFormat="1" applyFont="1" applyFill="1" applyBorder="1" applyAlignment="1">
      <alignment horizontal="center"/>
    </xf>
    <xf numFmtId="3" fontId="1" fillId="0" borderId="24" xfId="14" applyNumberFormat="1" applyFont="1" applyBorder="1" applyAlignment="1">
      <alignment horizontal="center" vertical="center" wrapText="1"/>
    </xf>
    <xf numFmtId="3" fontId="1" fillId="0" borderId="36" xfId="0" applyNumberFormat="1" applyFont="1" applyFill="1" applyBorder="1" applyAlignment="1">
      <alignment vertical="top"/>
    </xf>
    <xf numFmtId="0" fontId="1" fillId="0" borderId="36" xfId="0" applyFont="1" applyFill="1" applyBorder="1" applyAlignment="1">
      <alignment vertical="top"/>
    </xf>
    <xf numFmtId="3" fontId="1" fillId="0" borderId="16" xfId="0" applyNumberFormat="1" applyFont="1" applyFill="1" applyBorder="1" applyAlignment="1">
      <alignment vertical="top"/>
    </xf>
    <xf numFmtId="0" fontId="1" fillId="0" borderId="16" xfId="0" applyFont="1" applyFill="1" applyBorder="1" applyAlignment="1">
      <alignment vertical="top"/>
    </xf>
    <xf numFmtId="3" fontId="4" fillId="7" borderId="20" xfId="14" applyNumberFormat="1" applyFont="1" applyFill="1" applyBorder="1" applyAlignment="1">
      <alignment horizontal="center" vertical="top"/>
    </xf>
    <xf numFmtId="0" fontId="4" fillId="7" borderId="21" xfId="0" applyFont="1" applyFill="1" applyBorder="1" applyAlignment="1">
      <alignment horizontal="center" vertical="top"/>
    </xf>
    <xf numFmtId="10" fontId="4" fillId="7" borderId="22" xfId="7" applyNumberFormat="1" applyFont="1" applyFill="1" applyBorder="1" applyAlignment="1">
      <alignment horizontal="center" vertical="top"/>
    </xf>
    <xf numFmtId="41" fontId="1" fillId="0" borderId="57" xfId="14" applyFont="1" applyFill="1" applyBorder="1" applyAlignment="1" applyProtection="1">
      <alignment vertical="center"/>
      <protection locked="0"/>
    </xf>
    <xf numFmtId="3" fontId="1" fillId="0" borderId="29" xfId="0" applyNumberFormat="1" applyFont="1" applyBorder="1" applyAlignment="1">
      <alignment horizontal="center" vertical="center" wrapText="1"/>
    </xf>
    <xf numFmtId="173" fontId="21" fillId="17" borderId="0" xfId="0" applyNumberFormat="1" applyFont="1" applyFill="1" applyAlignment="1" applyProtection="1">
      <alignment horizontal="right" vertical="center"/>
    </xf>
    <xf numFmtId="3" fontId="3" fillId="0" borderId="1" xfId="14" applyNumberFormat="1" applyFont="1" applyFill="1" applyBorder="1" applyAlignment="1" applyProtection="1"/>
    <xf numFmtId="3" fontId="1" fillId="10" borderId="0" xfId="0" applyNumberFormat="1" applyFont="1" applyFill="1" applyBorder="1" applyAlignment="1" applyProtection="1"/>
    <xf numFmtId="3" fontId="17" fillId="13" borderId="19" xfId="2" applyNumberFormat="1" applyFont="1" applyFill="1" applyBorder="1" applyAlignment="1" applyProtection="1">
      <alignment vertical="center" wrapText="1"/>
    </xf>
    <xf numFmtId="3" fontId="17" fillId="13" borderId="18" xfId="2" applyNumberFormat="1" applyFont="1" applyFill="1" applyBorder="1" applyAlignment="1" applyProtection="1">
      <alignment vertical="center" wrapText="1"/>
    </xf>
    <xf numFmtId="3" fontId="17" fillId="13" borderId="18" xfId="14" applyNumberFormat="1" applyFont="1" applyFill="1" applyBorder="1" applyAlignment="1" applyProtection="1">
      <alignment vertical="center"/>
    </xf>
    <xf numFmtId="3" fontId="24" fillId="5" borderId="16" xfId="0" applyNumberFormat="1" applyFont="1" applyFill="1" applyBorder="1" applyAlignment="1" applyProtection="1">
      <alignment vertical="center" wrapText="1"/>
    </xf>
    <xf numFmtId="3" fontId="24" fillId="5" borderId="1" xfId="0" applyNumberFormat="1" applyFont="1" applyFill="1" applyBorder="1" applyAlignment="1" applyProtection="1">
      <alignment vertical="center" wrapText="1"/>
    </xf>
    <xf numFmtId="3" fontId="24" fillId="5" borderId="1" xfId="14" applyNumberFormat="1" applyFont="1" applyFill="1" applyBorder="1" applyAlignment="1" applyProtection="1">
      <alignment vertical="center"/>
    </xf>
    <xf numFmtId="3" fontId="3" fillId="0" borderId="1" xfId="0" applyNumberFormat="1" applyFont="1" applyFill="1" applyBorder="1" applyAlignment="1" applyProtection="1">
      <alignment vertical="center" wrapText="1"/>
    </xf>
    <xf numFmtId="3" fontId="1" fillId="0" borderId="1" xfId="0" applyNumberFormat="1" applyFont="1" applyFill="1" applyBorder="1" applyAlignment="1" applyProtection="1">
      <alignment vertical="center" wrapText="1"/>
    </xf>
    <xf numFmtId="3" fontId="1" fillId="0" borderId="16" xfId="0" applyNumberFormat="1" applyFont="1" applyFill="1" applyBorder="1" applyAlignment="1" applyProtection="1">
      <alignment vertical="center" wrapText="1"/>
    </xf>
    <xf numFmtId="41" fontId="3" fillId="0" borderId="16" xfId="14" applyFont="1" applyFill="1" applyBorder="1" applyAlignment="1" applyProtection="1">
      <protection locked="0"/>
    </xf>
    <xf numFmtId="41" fontId="3" fillId="0" borderId="11" xfId="14" applyFont="1" applyFill="1" applyBorder="1" applyAlignment="1" applyProtection="1">
      <protection locked="0"/>
    </xf>
    <xf numFmtId="3" fontId="24" fillId="0" borderId="1" xfId="14" applyNumberFormat="1" applyFont="1" applyFill="1" applyBorder="1" applyAlignment="1" applyProtection="1">
      <alignment vertical="center"/>
    </xf>
    <xf numFmtId="3" fontId="24" fillId="5" borderId="17" xfId="0" applyNumberFormat="1" applyFont="1" applyFill="1" applyBorder="1" applyAlignment="1" applyProtection="1">
      <alignment vertical="center" wrapText="1"/>
    </xf>
    <xf numFmtId="3" fontId="24" fillId="5" borderId="3" xfId="0" applyNumberFormat="1" applyFont="1" applyFill="1" applyBorder="1" applyAlignment="1" applyProtection="1">
      <alignment vertical="center" wrapText="1"/>
    </xf>
    <xf numFmtId="3" fontId="15" fillId="0" borderId="0" xfId="0" applyNumberFormat="1" applyFont="1" applyBorder="1" applyAlignment="1" applyProtection="1">
      <protection locked="0"/>
    </xf>
    <xf numFmtId="3" fontId="1" fillId="0" borderId="0" xfId="0" applyNumberFormat="1" applyFont="1" applyBorder="1" applyAlignment="1" applyProtection="1">
      <protection locked="0"/>
    </xf>
    <xf numFmtId="3" fontId="1" fillId="0" borderId="0" xfId="0" applyNumberFormat="1" applyFont="1" applyAlignment="1"/>
    <xf numFmtId="3" fontId="1" fillId="0" borderId="0" xfId="0" applyNumberFormat="1" applyFont="1" applyAlignment="1" applyProtection="1">
      <protection locked="0"/>
    </xf>
    <xf numFmtId="0" fontId="43" fillId="18" borderId="0" xfId="0" applyFont="1" applyFill="1" applyAlignment="1" applyProtection="1">
      <alignment horizontal="center" vertical="center" wrapText="1"/>
    </xf>
    <xf numFmtId="168" fontId="3" fillId="11" borderId="1" xfId="0" applyNumberFormat="1" applyFont="1" applyFill="1" applyBorder="1" applyAlignment="1" applyProtection="1">
      <alignment vertical="center"/>
    </xf>
    <xf numFmtId="172" fontId="24" fillId="11" borderId="36" xfId="7" applyNumberFormat="1" applyFont="1" applyFill="1" applyBorder="1" applyAlignment="1" applyProtection="1">
      <alignment horizontal="center" vertical="center" wrapText="1"/>
    </xf>
    <xf numFmtId="172" fontId="24" fillId="11" borderId="36" xfId="2" applyNumberFormat="1" applyFont="1" applyFill="1" applyBorder="1" applyAlignment="1" applyProtection="1">
      <alignment horizontal="center" vertical="center" wrapText="1"/>
    </xf>
    <xf numFmtId="10" fontId="24" fillId="11" borderId="23" xfId="7" applyNumberFormat="1" applyFont="1" applyFill="1" applyBorder="1" applyAlignment="1" applyProtection="1">
      <alignment horizontal="center" vertical="center" wrapText="1"/>
    </xf>
    <xf numFmtId="168" fontId="3" fillId="11" borderId="1" xfId="0" quotePrefix="1" applyNumberFormat="1" applyFont="1" applyFill="1" applyBorder="1" applyAlignment="1" applyProtection="1">
      <alignment horizontal="right" vertical="center" wrapText="1"/>
    </xf>
    <xf numFmtId="168" fontId="3" fillId="11" borderId="1" xfId="0" applyNumberFormat="1" applyFont="1" applyFill="1" applyBorder="1" applyAlignment="1" applyProtection="1">
      <alignment vertical="center" wrapText="1"/>
    </xf>
    <xf numFmtId="41" fontId="1" fillId="0" borderId="36" xfId="14" applyFont="1" applyFill="1" applyBorder="1" applyAlignment="1" applyProtection="1">
      <alignment vertical="center"/>
      <protection locked="0"/>
    </xf>
    <xf numFmtId="3" fontId="1" fillId="0" borderId="36" xfId="0" applyNumberFormat="1" applyFont="1" applyFill="1" applyBorder="1" applyAlignment="1" applyProtection="1">
      <alignment horizontal="right" vertical="center" wrapText="1"/>
    </xf>
    <xf numFmtId="3" fontId="2" fillId="5" borderId="45" xfId="0" applyNumberFormat="1" applyFont="1" applyFill="1" applyBorder="1" applyAlignment="1" applyProtection="1">
      <alignment vertical="center"/>
      <protection locked="0"/>
    </xf>
    <xf numFmtId="41" fontId="11" fillId="0" borderId="0" xfId="14" applyFont="1"/>
    <xf numFmtId="41" fontId="1" fillId="0" borderId="16" xfId="14" applyFont="1" applyFill="1" applyBorder="1" applyAlignment="1" applyProtection="1">
      <alignment vertical="center"/>
      <protection locked="0"/>
    </xf>
    <xf numFmtId="3" fontId="2" fillId="5" borderId="16" xfId="0" applyNumberFormat="1" applyFont="1" applyFill="1" applyBorder="1" applyAlignment="1" applyProtection="1">
      <alignment horizontal="right" vertical="center"/>
    </xf>
    <xf numFmtId="3" fontId="2" fillId="5" borderId="23" xfId="0" applyNumberFormat="1" applyFont="1" applyFill="1" applyBorder="1" applyAlignment="1" applyProtection="1">
      <alignment horizontal="right" vertical="center"/>
      <protection locked="0"/>
    </xf>
    <xf numFmtId="3" fontId="2" fillId="0" borderId="23" xfId="0" applyNumberFormat="1" applyFont="1" applyFill="1" applyBorder="1" applyAlignment="1" applyProtection="1">
      <alignment vertical="center"/>
      <protection locked="0"/>
    </xf>
    <xf numFmtId="3" fontId="3" fillId="0" borderId="23" xfId="16" applyNumberFormat="1" applyFont="1" applyFill="1" applyBorder="1" applyAlignment="1" applyProtection="1">
      <alignment vertical="center"/>
      <protection locked="0"/>
    </xf>
    <xf numFmtId="3" fontId="2" fillId="2" borderId="19" xfId="0" applyNumberFormat="1" applyFont="1" applyFill="1" applyBorder="1" applyAlignment="1" applyProtection="1">
      <alignment vertical="center"/>
      <protection locked="0"/>
    </xf>
    <xf numFmtId="3" fontId="2" fillId="2" borderId="26" xfId="0" applyNumberFormat="1" applyFont="1" applyFill="1" applyBorder="1" applyAlignment="1" applyProtection="1">
      <alignment vertical="center"/>
      <protection locked="0"/>
    </xf>
    <xf numFmtId="41" fontId="1" fillId="0" borderId="1" xfId="14" applyFont="1" applyFill="1" applyBorder="1" applyAlignment="1" applyProtection="1">
      <alignment horizontal="right" vertical="top" wrapText="1"/>
    </xf>
    <xf numFmtId="41" fontId="2" fillId="5" borderId="1" xfId="14" applyFont="1" applyFill="1" applyBorder="1" applyAlignment="1" applyProtection="1">
      <alignment horizontal="right" vertical="top" wrapText="1"/>
    </xf>
    <xf numFmtId="3" fontId="2" fillId="5" borderId="50" xfId="0" applyNumberFormat="1" applyFont="1" applyFill="1" applyBorder="1" applyAlignment="1" applyProtection="1">
      <alignment horizontal="right" vertical="top" wrapText="1"/>
    </xf>
    <xf numFmtId="3" fontId="17" fillId="13" borderId="49" xfId="14" applyNumberFormat="1" applyFont="1" applyFill="1" applyBorder="1" applyAlignment="1" applyProtection="1">
      <alignment horizontal="right" vertical="center"/>
    </xf>
    <xf numFmtId="41" fontId="31" fillId="0" borderId="0" xfId="14" applyFont="1" applyFill="1" applyAlignment="1">
      <alignment vertical="top"/>
    </xf>
    <xf numFmtId="41" fontId="18" fillId="0" borderId="0" xfId="14" applyFont="1" applyFill="1" applyAlignment="1">
      <alignment vertical="top"/>
    </xf>
    <xf numFmtId="41" fontId="1" fillId="0" borderId="0" xfId="14" applyFont="1" applyFill="1" applyAlignment="1">
      <alignment horizontal="center" vertical="center"/>
    </xf>
    <xf numFmtId="41" fontId="31" fillId="0" borderId="0" xfId="14" applyFont="1" applyFill="1" applyAlignment="1">
      <alignment horizontal="center" vertical="top"/>
    </xf>
    <xf numFmtId="41" fontId="18" fillId="0" borderId="0" xfId="14" applyFont="1" applyFill="1" applyAlignment="1">
      <alignment horizontal="center" vertical="top"/>
    </xf>
    <xf numFmtId="41" fontId="1" fillId="0" borderId="0" xfId="14" applyFont="1" applyFill="1" applyAlignment="1">
      <alignment horizontal="center" vertical="top"/>
    </xf>
    <xf numFmtId="3" fontId="1" fillId="11" borderId="36" xfId="0" applyNumberFormat="1" applyFont="1" applyFill="1" applyBorder="1" applyAlignment="1">
      <alignment horizontal="right" vertical="top"/>
    </xf>
    <xf numFmtId="3" fontId="1" fillId="0" borderId="36" xfId="0" quotePrefix="1" applyNumberFormat="1" applyFont="1" applyFill="1" applyBorder="1" applyAlignment="1" applyProtection="1">
      <alignment horizontal="right" vertical="top" wrapText="1"/>
    </xf>
    <xf numFmtId="3" fontId="1" fillId="11" borderId="16" xfId="0" applyNumberFormat="1" applyFont="1" applyFill="1" applyBorder="1" applyAlignment="1">
      <alignment horizontal="right" vertical="top"/>
    </xf>
    <xf numFmtId="3" fontId="1" fillId="0" borderId="16" xfId="0" applyNumberFormat="1" applyFont="1" applyFill="1" applyBorder="1" applyAlignment="1">
      <alignment horizontal="right" vertical="top" wrapText="1"/>
    </xf>
    <xf numFmtId="0" fontId="16" fillId="12" borderId="28" xfId="1" applyFont="1" applyFill="1" applyBorder="1" applyAlignment="1">
      <alignment horizontal="center"/>
    </xf>
    <xf numFmtId="0" fontId="5" fillId="14" borderId="10" xfId="0" applyFont="1" applyFill="1" applyBorder="1" applyAlignment="1" applyProtection="1">
      <alignment horizontal="center"/>
    </xf>
    <xf numFmtId="3" fontId="2" fillId="2" borderId="12" xfId="0" applyNumberFormat="1" applyFont="1" applyFill="1" applyBorder="1" applyAlignment="1">
      <alignment horizontal="center"/>
    </xf>
    <xf numFmtId="3" fontId="3" fillId="11" borderId="2" xfId="0" applyNumberFormat="1" applyFont="1" applyFill="1" applyBorder="1" applyAlignment="1">
      <alignment horizontal="right" vertical="center" wrapText="1"/>
    </xf>
    <xf numFmtId="0" fontId="3" fillId="0" borderId="1" xfId="0" applyFont="1" applyFill="1" applyBorder="1" applyAlignment="1" applyProtection="1">
      <alignment vertical="top" wrapText="1"/>
    </xf>
    <xf numFmtId="3" fontId="3" fillId="0" borderId="1" xfId="14" applyNumberFormat="1" applyFont="1" applyFill="1" applyBorder="1" applyAlignment="1" applyProtection="1">
      <alignment horizontal="right" vertical="top" wrapText="1"/>
    </xf>
    <xf numFmtId="3" fontId="3" fillId="0" borderId="16" xfId="2" applyNumberFormat="1" applyFont="1" applyFill="1" applyBorder="1" applyAlignment="1" applyProtection="1">
      <alignment horizontal="right" vertical="top"/>
    </xf>
    <xf numFmtId="41" fontId="31" fillId="0" borderId="0" xfId="14" applyFont="1" applyFill="1" applyBorder="1" applyAlignment="1">
      <alignment vertical="top" wrapText="1"/>
    </xf>
    <xf numFmtId="41" fontId="31" fillId="0" borderId="0" xfId="14" applyFont="1" applyFill="1" applyBorder="1" applyAlignment="1">
      <alignment horizontal="center" vertical="center" wrapText="1"/>
    </xf>
    <xf numFmtId="41" fontId="31" fillId="0" borderId="0" xfId="14" applyFont="1" applyFill="1" applyBorder="1" applyAlignment="1" applyProtection="1">
      <alignment vertical="top" wrapText="1"/>
    </xf>
    <xf numFmtId="41" fontId="31" fillId="0" borderId="0" xfId="14" applyFont="1" applyFill="1" applyBorder="1" applyAlignment="1">
      <alignment vertical="top"/>
    </xf>
    <xf numFmtId="41" fontId="31" fillId="0" borderId="0" xfId="14" applyFont="1" applyFill="1" applyBorder="1" applyAlignment="1">
      <alignment horizontal="left" vertical="top" wrapText="1"/>
    </xf>
    <xf numFmtId="3" fontId="1" fillId="0" borderId="60" xfId="0" applyNumberFormat="1" applyFont="1" applyFill="1" applyBorder="1" applyAlignment="1" applyProtection="1">
      <alignment vertical="center"/>
      <protection locked="0"/>
    </xf>
    <xf numFmtId="3" fontId="1" fillId="11" borderId="0" xfId="0" applyNumberFormat="1" applyFont="1" applyFill="1" applyBorder="1" applyAlignment="1" applyProtection="1">
      <alignment horizontal="center"/>
      <protection locked="0"/>
    </xf>
    <xf numFmtId="3" fontId="1" fillId="11" borderId="0" xfId="0" applyNumberFormat="1" applyFont="1" applyFill="1" applyProtection="1">
      <protection locked="0"/>
    </xf>
    <xf numFmtId="41" fontId="57" fillId="0" borderId="0" xfId="14" applyFont="1" applyFill="1" applyAlignment="1" applyProtection="1">
      <alignment vertical="center"/>
      <protection locked="0"/>
    </xf>
    <xf numFmtId="3" fontId="24" fillId="5" borderId="61" xfId="0" applyNumberFormat="1" applyFont="1" applyFill="1" applyBorder="1" applyAlignment="1" applyProtection="1">
      <alignment vertical="center"/>
      <protection locked="0"/>
    </xf>
    <xf numFmtId="41" fontId="51" fillId="0" borderId="11" xfId="14" applyFont="1" applyFill="1" applyBorder="1" applyAlignment="1" applyProtection="1">
      <alignment horizontal="left" vertical="center"/>
      <protection locked="0"/>
    </xf>
    <xf numFmtId="3" fontId="3" fillId="0" borderId="71" xfId="0" applyNumberFormat="1" applyFont="1" applyFill="1" applyBorder="1" applyAlignment="1" applyProtection="1">
      <alignment vertical="center" wrapText="1"/>
    </xf>
    <xf numFmtId="3" fontId="3" fillId="0" borderId="71" xfId="14" applyNumberFormat="1" applyFont="1" applyFill="1" applyBorder="1" applyAlignment="1" applyProtection="1">
      <alignment vertical="center"/>
    </xf>
    <xf numFmtId="41" fontId="3" fillId="0" borderId="1" xfId="14" applyFont="1" applyFill="1" applyBorder="1" applyAlignment="1" applyProtection="1">
      <protection locked="0"/>
    </xf>
    <xf numFmtId="3" fontId="1" fillId="10" borderId="0" xfId="0" applyNumberFormat="1" applyFont="1" applyFill="1" applyBorder="1" applyAlignment="1" applyProtection="1">
      <alignment horizontal="center"/>
    </xf>
    <xf numFmtId="10" fontId="17" fillId="13" borderId="18" xfId="7" applyNumberFormat="1" applyFont="1" applyFill="1" applyBorder="1" applyAlignment="1" applyProtection="1">
      <alignment horizontal="center" vertical="center" wrapText="1"/>
    </xf>
    <xf numFmtId="10" fontId="24" fillId="5" borderId="1" xfId="7" applyNumberFormat="1" applyFont="1" applyFill="1" applyBorder="1" applyAlignment="1" applyProtection="1">
      <alignment horizontal="center" vertical="center"/>
    </xf>
    <xf numFmtId="10" fontId="3" fillId="0" borderId="1" xfId="2" applyNumberFormat="1" applyFont="1" applyFill="1" applyBorder="1" applyAlignment="1" applyProtection="1">
      <alignment horizontal="center" vertical="center"/>
    </xf>
    <xf numFmtId="10" fontId="24" fillId="0" borderId="1" xfId="2" applyNumberFormat="1" applyFont="1" applyFill="1" applyBorder="1" applyAlignment="1" applyProtection="1">
      <alignment horizontal="center" vertical="center"/>
    </xf>
    <xf numFmtId="10" fontId="24" fillId="5" borderId="1" xfId="2" applyNumberFormat="1" applyFont="1" applyFill="1" applyBorder="1" applyAlignment="1" applyProtection="1">
      <alignment horizontal="center" vertical="center"/>
    </xf>
    <xf numFmtId="10" fontId="3" fillId="0" borderId="71" xfId="2" applyNumberFormat="1" applyFont="1" applyFill="1" applyBorder="1" applyAlignment="1" applyProtection="1">
      <alignment horizontal="center" vertical="center"/>
    </xf>
    <xf numFmtId="10" fontId="3" fillId="0" borderId="1" xfId="14" applyNumberFormat="1" applyFont="1" applyFill="1" applyBorder="1" applyAlignment="1" applyProtection="1">
      <alignment horizontal="center" vertical="center"/>
    </xf>
    <xf numFmtId="10" fontId="24" fillId="5" borderId="3" xfId="14" applyNumberFormat="1" applyFont="1" applyFill="1" applyBorder="1" applyAlignment="1" applyProtection="1">
      <alignment horizontal="center" vertical="center" wrapText="1"/>
    </xf>
    <xf numFmtId="3" fontId="15" fillId="0" borderId="0" xfId="0" applyNumberFormat="1" applyFont="1" applyBorder="1" applyAlignment="1" applyProtection="1">
      <alignment horizontal="center"/>
      <protection locked="0"/>
    </xf>
    <xf numFmtId="10" fontId="24" fillId="5" borderId="3" xfId="2" applyNumberFormat="1" applyFont="1" applyFill="1" applyBorder="1" applyAlignment="1" applyProtection="1">
      <alignment horizontal="center" vertical="center"/>
    </xf>
    <xf numFmtId="10" fontId="17" fillId="13" borderId="26" xfId="7" applyNumberFormat="1" applyFont="1" applyFill="1" applyBorder="1" applyAlignment="1" applyProtection="1">
      <alignment horizontal="center" vertical="center" wrapText="1"/>
    </xf>
    <xf numFmtId="10" fontId="24" fillId="5" borderId="23" xfId="7" applyNumberFormat="1" applyFont="1" applyFill="1" applyBorder="1" applyAlignment="1" applyProtection="1">
      <alignment horizontal="center" vertical="center"/>
    </xf>
    <xf numFmtId="10" fontId="3" fillId="0" borderId="23" xfId="2" applyNumberFormat="1" applyFont="1" applyFill="1" applyBorder="1" applyAlignment="1" applyProtection="1">
      <alignment horizontal="center" vertical="center"/>
    </xf>
    <xf numFmtId="10" fontId="24" fillId="5" borderId="23" xfId="2" applyNumberFormat="1" applyFont="1" applyFill="1" applyBorder="1" applyAlignment="1" applyProtection="1">
      <alignment horizontal="center" vertical="center"/>
    </xf>
    <xf numFmtId="10" fontId="24" fillId="0" borderId="23" xfId="2" applyNumberFormat="1" applyFont="1" applyFill="1" applyBorder="1" applyAlignment="1" applyProtection="1">
      <alignment horizontal="center" vertical="center"/>
    </xf>
    <xf numFmtId="10" fontId="24" fillId="5" borderId="39" xfId="2" applyNumberFormat="1" applyFont="1" applyFill="1" applyBorder="1" applyAlignment="1" applyProtection="1">
      <alignment horizontal="center" vertical="center"/>
    </xf>
    <xf numFmtId="3" fontId="2" fillId="2" borderId="37" xfId="0" applyNumberFormat="1" applyFont="1" applyFill="1" applyBorder="1" applyAlignment="1" applyProtection="1">
      <alignment vertical="center"/>
      <protection locked="0"/>
    </xf>
    <xf numFmtId="41" fontId="3" fillId="0" borderId="1" xfId="14" applyFont="1" applyFill="1" applyBorder="1" applyAlignment="1" applyProtection="1">
      <alignment vertical="center"/>
      <protection locked="0"/>
    </xf>
    <xf numFmtId="3" fontId="3" fillId="0" borderId="1" xfId="8" applyNumberFormat="1" applyFont="1" applyFill="1" applyBorder="1" applyAlignment="1" applyProtection="1">
      <alignment horizontal="right" vertical="center"/>
      <protection locked="0"/>
    </xf>
    <xf numFmtId="172" fontId="3" fillId="0" borderId="1" xfId="7" applyNumberFormat="1" applyFont="1" applyFill="1" applyBorder="1" applyAlignment="1" applyProtection="1">
      <alignment horizontal="center" vertical="center" wrapText="1"/>
    </xf>
    <xf numFmtId="3" fontId="1" fillId="0" borderId="0" xfId="8" applyNumberFormat="1" applyFont="1" applyFill="1" applyBorder="1" applyAlignment="1" applyProtection="1">
      <alignment horizontal="right" vertical="center"/>
      <protection locked="0"/>
    </xf>
    <xf numFmtId="172" fontId="3" fillId="0" borderId="1" xfId="2" applyNumberFormat="1" applyFont="1" applyFill="1" applyBorder="1" applyAlignment="1" applyProtection="1">
      <alignment horizontal="center" vertical="center" wrapText="1"/>
    </xf>
    <xf numFmtId="41" fontId="1" fillId="0" borderId="16" xfId="14" applyFont="1" applyFill="1" applyBorder="1" applyAlignment="1" applyProtection="1">
      <alignment horizontal="right" vertical="top" wrapText="1"/>
    </xf>
    <xf numFmtId="41" fontId="17" fillId="13" borderId="6" xfId="14" applyFont="1" applyFill="1" applyBorder="1" applyAlignment="1" applyProtection="1">
      <alignment vertical="center"/>
    </xf>
    <xf numFmtId="0" fontId="16" fillId="12" borderId="28" xfId="1" applyFont="1" applyFill="1" applyBorder="1" applyAlignment="1">
      <alignment horizontal="center"/>
    </xf>
    <xf numFmtId="0" fontId="24" fillId="11" borderId="16" xfId="0" applyFont="1" applyFill="1" applyBorder="1" applyAlignment="1" applyProtection="1">
      <alignment horizontal="left" vertical="center" wrapText="1"/>
    </xf>
    <xf numFmtId="167" fontId="24" fillId="11" borderId="1" xfId="0" applyNumberFormat="1" applyFont="1" applyFill="1" applyBorder="1" applyAlignment="1" applyProtection="1">
      <alignment horizontal="left" vertical="center" wrapText="1"/>
    </xf>
    <xf numFmtId="168" fontId="24" fillId="11" borderId="1" xfId="0" applyNumberFormat="1" applyFont="1" applyFill="1" applyBorder="1" applyAlignment="1" applyProtection="1">
      <alignment horizontal="left" vertical="center" wrapText="1"/>
    </xf>
    <xf numFmtId="3" fontId="24" fillId="11" borderId="16" xfId="0" applyNumberFormat="1" applyFont="1" applyFill="1" applyBorder="1" applyAlignment="1" applyProtection="1">
      <alignment horizontal="right" vertical="center" wrapText="1"/>
    </xf>
    <xf numFmtId="3" fontId="24" fillId="11" borderId="1" xfId="0" applyNumberFormat="1" applyFont="1" applyFill="1" applyBorder="1" applyAlignment="1" applyProtection="1">
      <alignment horizontal="right" vertical="center" wrapText="1"/>
    </xf>
    <xf numFmtId="3" fontId="24" fillId="11" borderId="1" xfId="0" applyNumberFormat="1" applyFont="1" applyFill="1" applyBorder="1" applyAlignment="1" applyProtection="1">
      <alignment vertical="center"/>
    </xf>
    <xf numFmtId="172" fontId="24" fillId="11" borderId="23" xfId="7" applyNumberFormat="1" applyFont="1" applyFill="1" applyBorder="1" applyAlignment="1" applyProtection="1">
      <alignment horizontal="center" vertical="center"/>
    </xf>
    <xf numFmtId="0" fontId="3" fillId="11" borderId="16" xfId="0" applyFont="1" applyFill="1" applyBorder="1" applyAlignment="1" applyProtection="1">
      <alignment horizontal="left" vertical="center" wrapText="1"/>
    </xf>
    <xf numFmtId="167" fontId="3" fillId="11" borderId="1" xfId="0" applyNumberFormat="1" applyFont="1" applyFill="1" applyBorder="1" applyAlignment="1" applyProtection="1">
      <alignment horizontal="left" vertical="center" wrapText="1"/>
    </xf>
    <xf numFmtId="168" fontId="3" fillId="11" borderId="1" xfId="0" applyNumberFormat="1" applyFont="1" applyFill="1" applyBorder="1" applyAlignment="1" applyProtection="1">
      <alignment horizontal="right" vertical="center" wrapText="1"/>
    </xf>
    <xf numFmtId="3" fontId="24" fillId="11" borderId="57" xfId="0" applyNumberFormat="1" applyFont="1" applyFill="1" applyBorder="1" applyAlignment="1" applyProtection="1">
      <alignment horizontal="right" vertical="center" wrapText="1"/>
    </xf>
    <xf numFmtId="3" fontId="4" fillId="2" borderId="12" xfId="0" applyNumberFormat="1" applyFont="1" applyFill="1" applyBorder="1" applyAlignment="1" applyProtection="1">
      <alignment horizontal="center"/>
      <protection locked="0"/>
    </xf>
    <xf numFmtId="3" fontId="4" fillId="2" borderId="10" xfId="0" applyNumberFormat="1" applyFont="1" applyFill="1" applyBorder="1" applyAlignment="1" applyProtection="1">
      <alignment horizontal="center"/>
      <protection locked="0"/>
    </xf>
    <xf numFmtId="3" fontId="1" fillId="0" borderId="48" xfId="0" applyNumberFormat="1" applyFont="1" applyFill="1" applyBorder="1" applyAlignment="1">
      <alignment horizontal="right" vertical="top" wrapText="1"/>
    </xf>
    <xf numFmtId="41" fontId="1" fillId="0" borderId="23" xfId="0" applyNumberFormat="1" applyFont="1" applyFill="1" applyBorder="1" applyAlignment="1">
      <alignment vertical="top"/>
    </xf>
    <xf numFmtId="3" fontId="3" fillId="11" borderId="58" xfId="0" applyNumberFormat="1" applyFont="1" applyFill="1" applyBorder="1" applyAlignment="1">
      <alignment horizontal="right" vertical="top" wrapText="1"/>
    </xf>
    <xf numFmtId="3" fontId="24" fillId="5" borderId="13" xfId="0" applyNumberFormat="1" applyFont="1" applyFill="1" applyBorder="1" applyAlignment="1">
      <alignment horizontal="right" vertical="top" wrapText="1"/>
    </xf>
    <xf numFmtId="10" fontId="1" fillId="11" borderId="1" xfId="7" applyNumberFormat="1" applyFont="1" applyFill="1" applyBorder="1" applyAlignment="1" applyProtection="1">
      <alignment horizontal="center" vertical="top" wrapText="1"/>
    </xf>
    <xf numFmtId="173" fontId="45" fillId="24" borderId="63" xfId="0" applyNumberFormat="1" applyFont="1" applyFill="1" applyBorder="1" applyAlignment="1" applyProtection="1">
      <alignment horizontal="right" vertical="center" wrapText="1"/>
    </xf>
    <xf numFmtId="0" fontId="22" fillId="24" borderId="63" xfId="0" applyNumberFormat="1" applyFont="1" applyFill="1" applyBorder="1" applyAlignment="1" applyProtection="1">
      <alignment horizontal="center" vertical="center"/>
    </xf>
    <xf numFmtId="0" fontId="22" fillId="24" borderId="63" xfId="0" applyNumberFormat="1" applyFont="1" applyFill="1" applyBorder="1" applyAlignment="1" applyProtection="1">
      <alignment horizontal="left" vertical="center"/>
    </xf>
    <xf numFmtId="0" fontId="22" fillId="0" borderId="0" xfId="0" applyFont="1" applyAlignment="1">
      <alignment horizontal="left"/>
    </xf>
    <xf numFmtId="3" fontId="24" fillId="5" borderId="34" xfId="0" applyNumberFormat="1" applyFont="1" applyFill="1" applyBorder="1" applyAlignment="1" applyProtection="1">
      <alignment vertical="center"/>
      <protection locked="0"/>
    </xf>
    <xf numFmtId="3" fontId="1" fillId="0" borderId="72" xfId="0" applyNumberFormat="1" applyFont="1" applyFill="1" applyBorder="1" applyAlignment="1" applyProtection="1">
      <alignment vertical="center"/>
      <protection locked="0"/>
    </xf>
    <xf numFmtId="0" fontId="24" fillId="5" borderId="36" xfId="0" applyFont="1" applyFill="1" applyBorder="1" applyAlignment="1" applyProtection="1">
      <alignment horizontal="left" vertical="center"/>
    </xf>
    <xf numFmtId="0" fontId="24" fillId="0" borderId="36" xfId="0" applyFont="1" applyFill="1" applyBorder="1" applyAlignment="1" applyProtection="1">
      <alignment horizontal="left" vertical="center"/>
    </xf>
    <xf numFmtId="3" fontId="24" fillId="0" borderId="16" xfId="0" applyNumberFormat="1" applyFont="1" applyFill="1" applyBorder="1" applyAlignment="1" applyProtection="1">
      <alignment vertical="center" wrapText="1"/>
    </xf>
    <xf numFmtId="3" fontId="24" fillId="0" borderId="1" xfId="0" applyNumberFormat="1" applyFont="1" applyFill="1" applyBorder="1" applyAlignment="1" applyProtection="1">
      <alignment vertical="center" wrapText="1"/>
    </xf>
    <xf numFmtId="3" fontId="3" fillId="0" borderId="16" xfId="0" applyNumberFormat="1" applyFont="1" applyFill="1" applyBorder="1" applyAlignment="1" applyProtection="1">
      <alignment vertical="center" wrapText="1"/>
    </xf>
    <xf numFmtId="41" fontId="1" fillId="0" borderId="1" xfId="14" applyFont="1" applyFill="1" applyBorder="1" applyAlignment="1" applyProtection="1">
      <protection locked="0"/>
    </xf>
    <xf numFmtId="41" fontId="1" fillId="0" borderId="0" xfId="14" applyFont="1" applyFill="1" applyBorder="1" applyAlignment="1" applyProtection="1">
      <protection locked="0"/>
    </xf>
    <xf numFmtId="41" fontId="1" fillId="0" borderId="16" xfId="14" applyFont="1" applyFill="1" applyBorder="1" applyAlignment="1" applyProtection="1">
      <protection locked="0"/>
    </xf>
    <xf numFmtId="10" fontId="24" fillId="0" borderId="1" xfId="7" applyNumberFormat="1" applyFont="1" applyFill="1" applyBorder="1" applyAlignment="1" applyProtection="1">
      <alignment horizontal="center" vertical="center"/>
    </xf>
    <xf numFmtId="0" fontId="22" fillId="25" borderId="63" xfId="0" applyNumberFormat="1" applyFont="1" applyFill="1" applyBorder="1" applyAlignment="1" applyProtection="1">
      <alignment horizontal="center" vertical="center"/>
    </xf>
    <xf numFmtId="0" fontId="22" fillId="25" borderId="63" xfId="0" applyNumberFormat="1" applyFont="1" applyFill="1" applyBorder="1" applyAlignment="1" applyProtection="1">
      <alignment horizontal="left" vertical="center"/>
    </xf>
    <xf numFmtId="173" fontId="45" fillId="25" borderId="63" xfId="0" applyNumberFormat="1" applyFont="1" applyFill="1" applyBorder="1" applyAlignment="1" applyProtection="1">
      <alignment horizontal="right" vertical="center"/>
    </xf>
    <xf numFmtId="41" fontId="0" fillId="25" borderId="0" xfId="14" applyFont="1" applyFill="1"/>
    <xf numFmtId="3" fontId="24" fillId="5" borderId="57" xfId="0" applyNumberFormat="1" applyFont="1" applyFill="1" applyBorder="1" applyAlignment="1" applyProtection="1">
      <alignment vertical="center"/>
    </xf>
    <xf numFmtId="3" fontId="3" fillId="0" borderId="57" xfId="0" applyNumberFormat="1" applyFont="1" applyFill="1" applyBorder="1" applyAlignment="1" applyProtection="1">
      <alignment vertical="center"/>
    </xf>
    <xf numFmtId="3" fontId="24" fillId="5" borderId="50" xfId="0" applyNumberFormat="1" applyFont="1" applyFill="1" applyBorder="1" applyAlignment="1" applyProtection="1">
      <alignment vertical="center"/>
    </xf>
    <xf numFmtId="3" fontId="24" fillId="11" borderId="36" xfId="0" applyNumberFormat="1" applyFont="1" applyFill="1" applyBorder="1" applyAlignment="1" applyProtection="1">
      <alignment horizontal="right" vertical="center" wrapText="1"/>
    </xf>
    <xf numFmtId="10" fontId="1" fillId="0" borderId="23" xfId="7" applyNumberFormat="1" applyFont="1" applyFill="1" applyBorder="1" applyAlignment="1" applyProtection="1">
      <alignment horizontal="center" vertical="center"/>
    </xf>
    <xf numFmtId="10" fontId="24" fillId="5" borderId="39" xfId="7" applyNumberFormat="1" applyFont="1" applyFill="1" applyBorder="1" applyAlignment="1" applyProtection="1">
      <alignment horizontal="center" vertical="center"/>
    </xf>
    <xf numFmtId="3" fontId="4" fillId="2" borderId="19" xfId="0" applyNumberFormat="1" applyFont="1" applyFill="1" applyBorder="1" applyAlignment="1" applyProtection="1">
      <alignment vertical="center" wrapText="1"/>
      <protection locked="0"/>
    </xf>
    <xf numFmtId="3" fontId="24" fillId="5" borderId="16" xfId="14" applyNumberFormat="1" applyFont="1" applyFill="1" applyBorder="1" applyAlignment="1" applyProtection="1">
      <alignment horizontal="right" vertical="center"/>
      <protection locked="0"/>
    </xf>
    <xf numFmtId="0" fontId="24" fillId="0" borderId="36" xfId="0" applyFont="1" applyFill="1" applyBorder="1" applyAlignment="1" applyProtection="1">
      <alignment vertical="center"/>
    </xf>
    <xf numFmtId="3" fontId="24" fillId="0" borderId="57" xfId="0" applyNumberFormat="1" applyFont="1" applyFill="1" applyBorder="1" applyAlignment="1" applyProtection="1">
      <alignment horizontal="right" vertical="center" wrapText="1"/>
    </xf>
    <xf numFmtId="3" fontId="24" fillId="0" borderId="1" xfId="0" applyNumberFormat="1" applyFont="1" applyFill="1" applyBorder="1" applyAlignment="1" applyProtection="1">
      <alignment horizontal="right" vertical="center" wrapText="1"/>
    </xf>
    <xf numFmtId="172" fontId="24" fillId="0" borderId="1" xfId="7" applyNumberFormat="1" applyFont="1" applyFill="1" applyBorder="1" applyAlignment="1" applyProtection="1">
      <alignment horizontal="center" vertical="center" wrapText="1"/>
    </xf>
    <xf numFmtId="3" fontId="24" fillId="0" borderId="1" xfId="7" applyNumberFormat="1" applyFont="1" applyFill="1" applyBorder="1" applyAlignment="1" applyProtection="1">
      <alignment horizontal="right" vertical="center" wrapText="1"/>
    </xf>
    <xf numFmtId="3" fontId="24" fillId="0" borderId="16" xfId="0" applyNumberFormat="1" applyFont="1" applyFill="1" applyBorder="1" applyAlignment="1" applyProtection="1">
      <alignment horizontal="right" vertical="center" wrapText="1"/>
    </xf>
    <xf numFmtId="3" fontId="24" fillId="0" borderId="16" xfId="0" applyNumberFormat="1" applyFont="1" applyFill="1" applyBorder="1" applyAlignment="1" applyProtection="1">
      <alignment vertical="center"/>
    </xf>
    <xf numFmtId="3" fontId="24" fillId="0" borderId="2" xfId="0" applyNumberFormat="1" applyFont="1" applyFill="1" applyBorder="1" applyAlignment="1" applyProtection="1">
      <alignment vertical="center"/>
      <protection locked="0"/>
    </xf>
    <xf numFmtId="3" fontId="2" fillId="0" borderId="51" xfId="0" applyNumberFormat="1" applyFont="1" applyFill="1" applyBorder="1" applyAlignment="1" applyProtection="1">
      <alignment horizontal="right" vertical="center" wrapText="1"/>
    </xf>
    <xf numFmtId="3" fontId="2" fillId="0" borderId="57" xfId="0" quotePrefix="1" applyNumberFormat="1" applyFont="1" applyFill="1" applyBorder="1" applyAlignment="1" applyProtection="1">
      <alignment vertical="center"/>
      <protection locked="0"/>
    </xf>
    <xf numFmtId="3" fontId="24" fillId="0" borderId="57" xfId="14" applyNumberFormat="1" applyFont="1" applyFill="1" applyBorder="1" applyAlignment="1" applyProtection="1">
      <alignment horizontal="right" vertical="center"/>
    </xf>
    <xf numFmtId="3" fontId="24" fillId="0" borderId="23" xfId="0" applyNumberFormat="1" applyFont="1" applyFill="1" applyBorder="1" applyAlignment="1" applyProtection="1">
      <alignment horizontal="right" vertical="center"/>
    </xf>
    <xf numFmtId="3" fontId="24" fillId="0" borderId="51" xfId="0" applyNumberFormat="1" applyFont="1" applyFill="1" applyBorder="1" applyAlignment="1" applyProtection="1">
      <alignment horizontal="right" vertical="center"/>
    </xf>
    <xf numFmtId="3" fontId="24" fillId="0" borderId="51" xfId="0" applyNumberFormat="1" applyFont="1" applyFill="1" applyBorder="1" applyAlignment="1" applyProtection="1">
      <alignment horizontal="right" vertical="center"/>
      <protection locked="0"/>
    </xf>
    <xf numFmtId="3" fontId="24" fillId="0" borderId="57" xfId="0" applyNumberFormat="1" applyFont="1" applyFill="1" applyBorder="1" applyAlignment="1" applyProtection="1">
      <alignment horizontal="right" vertical="center"/>
      <protection locked="0"/>
    </xf>
    <xf numFmtId="3" fontId="24" fillId="0" borderId="36" xfId="0" applyNumberFormat="1" applyFont="1" applyFill="1" applyBorder="1" applyAlignment="1" applyProtection="1">
      <alignment horizontal="right" vertical="center"/>
      <protection locked="0"/>
    </xf>
    <xf numFmtId="3" fontId="2" fillId="0" borderId="36" xfId="0" applyNumberFormat="1" applyFont="1" applyFill="1" applyBorder="1" applyAlignment="1" applyProtection="1">
      <alignment vertical="center"/>
      <protection locked="0"/>
    </xf>
    <xf numFmtId="3" fontId="2" fillId="0" borderId="16" xfId="0" applyNumberFormat="1" applyFont="1" applyFill="1" applyBorder="1" applyAlignment="1" applyProtection="1">
      <alignment vertical="center"/>
      <protection locked="0"/>
    </xf>
    <xf numFmtId="41" fontId="2" fillId="0" borderId="74" xfId="14" applyFont="1" applyFill="1" applyBorder="1" applyAlignment="1" applyProtection="1">
      <alignment vertical="center"/>
      <protection locked="0"/>
    </xf>
    <xf numFmtId="168" fontId="24" fillId="0" borderId="1" xfId="0" applyNumberFormat="1" applyFont="1" applyFill="1" applyBorder="1" applyAlignment="1" applyProtection="1">
      <alignment vertical="center"/>
    </xf>
    <xf numFmtId="3" fontId="24" fillId="0" borderId="1" xfId="0" applyNumberFormat="1" applyFont="1" applyFill="1" applyBorder="1" applyAlignment="1" applyProtection="1">
      <alignment vertical="center"/>
    </xf>
    <xf numFmtId="41" fontId="2" fillId="0" borderId="51" xfId="14" applyFont="1" applyFill="1" applyBorder="1" applyAlignment="1" applyProtection="1">
      <alignment vertical="center" wrapText="1"/>
      <protection locked="0"/>
    </xf>
    <xf numFmtId="0" fontId="55" fillId="0" borderId="16" xfId="0" applyFont="1" applyFill="1" applyBorder="1" applyAlignment="1" applyProtection="1">
      <alignment horizontal="left" vertical="center" wrapText="1"/>
    </xf>
    <xf numFmtId="167" fontId="55" fillId="0" borderId="1" xfId="0" applyNumberFormat="1" applyFont="1" applyFill="1" applyBorder="1" applyAlignment="1" applyProtection="1">
      <alignment horizontal="left" vertical="center" wrapText="1"/>
    </xf>
    <xf numFmtId="168" fontId="56" fillId="0" borderId="1" xfId="0" applyNumberFormat="1" applyFont="1" applyFill="1" applyBorder="1" applyAlignment="1" applyProtection="1">
      <alignment vertical="center" wrapText="1"/>
    </xf>
    <xf numFmtId="0" fontId="3" fillId="11" borderId="0" xfId="0" applyFont="1" applyFill="1" applyAlignment="1" applyProtection="1">
      <alignment vertical="center"/>
      <protection locked="0"/>
    </xf>
    <xf numFmtId="3" fontId="24" fillId="11" borderId="51" xfId="0" applyNumberFormat="1" applyFont="1" applyFill="1" applyBorder="1" applyAlignment="1" applyProtection="1">
      <alignment horizontal="right" vertical="center" wrapText="1"/>
    </xf>
    <xf numFmtId="3" fontId="24" fillId="11" borderId="23" xfId="0" applyNumberFormat="1" applyFont="1" applyFill="1" applyBorder="1" applyAlignment="1" applyProtection="1">
      <alignment horizontal="right" vertical="center" wrapText="1"/>
    </xf>
    <xf numFmtId="3" fontId="2" fillId="0" borderId="57" xfId="0" applyNumberFormat="1" applyFont="1" applyFill="1" applyBorder="1" applyAlignment="1" applyProtection="1">
      <alignment horizontal="right" vertical="center" wrapText="1"/>
    </xf>
    <xf numFmtId="3" fontId="24" fillId="0" borderId="57" xfId="14" applyNumberFormat="1" applyFont="1" applyFill="1" applyBorder="1" applyAlignment="1" applyProtection="1">
      <alignment horizontal="right" vertical="center" wrapText="1"/>
    </xf>
    <xf numFmtId="3" fontId="24" fillId="0" borderId="23" xfId="0" applyNumberFormat="1" applyFont="1" applyFill="1" applyBorder="1" applyAlignment="1" applyProtection="1">
      <alignment horizontal="right" vertical="center"/>
      <protection locked="0"/>
    </xf>
    <xf numFmtId="3" fontId="24" fillId="0" borderId="36" xfId="0" applyNumberFormat="1" applyFont="1" applyFill="1" applyBorder="1" applyAlignment="1" applyProtection="1">
      <alignment vertical="center"/>
      <protection locked="0"/>
    </xf>
    <xf numFmtId="3" fontId="24" fillId="0" borderId="16" xfId="0" applyNumberFormat="1" applyFont="1" applyFill="1" applyBorder="1" applyAlignment="1" applyProtection="1">
      <alignment vertical="center"/>
      <protection locked="0"/>
    </xf>
    <xf numFmtId="3" fontId="2" fillId="0" borderId="57" xfId="0" applyNumberFormat="1" applyFont="1" applyFill="1" applyBorder="1" applyAlignment="1" applyProtection="1">
      <alignment horizontal="right" vertical="center"/>
      <protection locked="0"/>
    </xf>
    <xf numFmtId="3" fontId="2" fillId="0" borderId="23" xfId="0" applyNumberFormat="1" applyFont="1" applyFill="1" applyBorder="1" applyAlignment="1" applyProtection="1">
      <alignment horizontal="right" vertical="center"/>
      <protection locked="0"/>
    </xf>
    <xf numFmtId="3" fontId="2" fillId="0" borderId="2" xfId="0" applyNumberFormat="1" applyFont="1" applyFill="1" applyBorder="1" applyAlignment="1" applyProtection="1">
      <alignment horizontal="right" vertical="center"/>
      <protection locked="0"/>
    </xf>
    <xf numFmtId="3" fontId="13" fillId="0" borderId="51" xfId="0" applyNumberFormat="1" applyFont="1" applyFill="1" applyBorder="1" applyAlignment="1" applyProtection="1">
      <alignment vertical="center"/>
      <protection locked="0"/>
    </xf>
    <xf numFmtId="3" fontId="24" fillId="0" borderId="23" xfId="0" applyNumberFormat="1" applyFont="1" applyFill="1" applyBorder="1" applyAlignment="1" applyProtection="1">
      <alignment vertical="center"/>
      <protection locked="0"/>
    </xf>
    <xf numFmtId="3" fontId="24" fillId="0" borderId="51" xfId="0" applyNumberFormat="1" applyFont="1" applyFill="1" applyBorder="1" applyAlignment="1" applyProtection="1">
      <alignment vertical="center"/>
      <protection locked="0"/>
    </xf>
    <xf numFmtId="3" fontId="24" fillId="0" borderId="57" xfId="0" applyNumberFormat="1" applyFont="1" applyFill="1" applyBorder="1" applyAlignment="1" applyProtection="1">
      <alignment vertical="center"/>
      <protection locked="0"/>
    </xf>
    <xf numFmtId="3" fontId="2" fillId="2" borderId="10" xfId="0" applyNumberFormat="1" applyFont="1" applyFill="1" applyBorder="1" applyAlignment="1">
      <alignment horizontal="center"/>
    </xf>
    <xf numFmtId="3" fontId="2" fillId="5" borderId="48" xfId="0" applyNumberFormat="1" applyFont="1" applyFill="1" applyBorder="1"/>
    <xf numFmtId="3" fontId="1" fillId="0" borderId="48" xfId="0" applyNumberFormat="1" applyFont="1" applyFill="1" applyBorder="1"/>
    <xf numFmtId="3" fontId="4" fillId="2" borderId="34" xfId="0" applyNumberFormat="1" applyFont="1" applyFill="1" applyBorder="1" applyAlignment="1">
      <alignment vertical="center"/>
    </xf>
    <xf numFmtId="3" fontId="2" fillId="5" borderId="70" xfId="0" applyNumberFormat="1" applyFont="1" applyFill="1" applyBorder="1" applyAlignment="1">
      <alignment horizontal="right" vertical="top" wrapText="1"/>
    </xf>
    <xf numFmtId="3" fontId="2" fillId="5" borderId="25" xfId="0" applyNumberFormat="1" applyFont="1" applyFill="1" applyBorder="1"/>
    <xf numFmtId="3" fontId="1" fillId="0" borderId="16" xfId="0" applyNumberFormat="1" applyFont="1" applyFill="1" applyBorder="1"/>
    <xf numFmtId="3" fontId="4" fillId="2" borderId="19" xfId="0" applyNumberFormat="1" applyFont="1" applyFill="1" applyBorder="1" applyAlignment="1">
      <alignment vertical="center"/>
    </xf>
    <xf numFmtId="3" fontId="4" fillId="2" borderId="26" xfId="0" applyNumberFormat="1" applyFont="1" applyFill="1" applyBorder="1" applyAlignment="1">
      <alignment vertical="center"/>
    </xf>
    <xf numFmtId="0" fontId="54" fillId="0" borderId="0" xfId="0" applyFont="1" applyAlignment="1"/>
    <xf numFmtId="41" fontId="50" fillId="0" borderId="0" xfId="0" applyNumberFormat="1" applyFont="1" applyAlignment="1"/>
    <xf numFmtId="0" fontId="3" fillId="0" borderId="16" xfId="0" applyFont="1" applyFill="1" applyBorder="1" applyAlignment="1" applyProtection="1">
      <alignment horizontal="left" vertical="top" wrapText="1"/>
    </xf>
    <xf numFmtId="3" fontId="24" fillId="0" borderId="1" xfId="0" applyNumberFormat="1" applyFont="1" applyFill="1" applyBorder="1" applyAlignment="1" applyProtection="1">
      <alignment horizontal="right" vertical="top" wrapText="1"/>
    </xf>
    <xf numFmtId="3" fontId="3" fillId="0" borderId="58" xfId="0" applyNumberFormat="1" applyFont="1" applyFill="1" applyBorder="1" applyAlignment="1">
      <alignment horizontal="right" vertical="top" wrapText="1"/>
    </xf>
    <xf numFmtId="49" fontId="3" fillId="0" borderId="1" xfId="0" applyNumberFormat="1" applyFont="1" applyFill="1" applyBorder="1" applyAlignment="1" applyProtection="1">
      <alignment horizontal="left" vertical="top" wrapText="1"/>
    </xf>
    <xf numFmtId="3" fontId="1" fillId="0" borderId="1" xfId="14" applyNumberFormat="1" applyFont="1" applyFill="1" applyBorder="1" applyAlignment="1" applyProtection="1">
      <alignment horizontal="right" vertical="top" wrapText="1"/>
    </xf>
    <xf numFmtId="167" fontId="2" fillId="0" borderId="1" xfId="0" applyNumberFormat="1" applyFont="1" applyFill="1" applyBorder="1" applyAlignment="1" applyProtection="1">
      <alignment horizontal="left" vertical="top" wrapText="1"/>
    </xf>
    <xf numFmtId="168" fontId="1" fillId="0" borderId="1" xfId="0" applyNumberFormat="1" applyFont="1" applyFill="1" applyBorder="1" applyAlignment="1" applyProtection="1">
      <alignment horizontal="left" vertical="top" wrapText="1"/>
    </xf>
    <xf numFmtId="0" fontId="2" fillId="0" borderId="23" xfId="0" applyFont="1" applyFill="1" applyBorder="1" applyAlignment="1" applyProtection="1">
      <alignment vertical="top" wrapText="1"/>
    </xf>
    <xf numFmtId="10" fontId="24" fillId="0" borderId="36" xfId="7" applyNumberFormat="1" applyFont="1" applyFill="1" applyBorder="1" applyAlignment="1" applyProtection="1">
      <alignment horizontal="center" vertical="top" wrapText="1"/>
    </xf>
    <xf numFmtId="3" fontId="2" fillId="0" borderId="23" xfId="0" applyNumberFormat="1" applyFont="1" applyFill="1" applyBorder="1" applyAlignment="1" applyProtection="1">
      <alignment horizontal="right" vertical="top" wrapText="1"/>
    </xf>
    <xf numFmtId="3" fontId="2" fillId="0" borderId="16" xfId="0" applyNumberFormat="1" applyFont="1" applyFill="1" applyBorder="1" applyAlignment="1" applyProtection="1">
      <alignment horizontal="right" vertical="top" wrapText="1"/>
    </xf>
    <xf numFmtId="3" fontId="2" fillId="0" borderId="36" xfId="0" applyNumberFormat="1" applyFont="1" applyFill="1" applyBorder="1" applyAlignment="1" applyProtection="1">
      <alignment horizontal="right" vertical="top" wrapText="1"/>
    </xf>
    <xf numFmtId="3" fontId="2" fillId="0" borderId="57" xfId="0" applyNumberFormat="1" applyFont="1" applyFill="1" applyBorder="1" applyAlignment="1" applyProtection="1">
      <alignment horizontal="right" vertical="top" wrapText="1"/>
    </xf>
    <xf numFmtId="3" fontId="2" fillId="0" borderId="1" xfId="0" applyNumberFormat="1" applyFont="1" applyFill="1" applyBorder="1" applyAlignment="1" applyProtection="1">
      <alignment horizontal="right" vertical="top" wrapText="1"/>
    </xf>
    <xf numFmtId="0" fontId="2" fillId="0" borderId="57" xfId="0" applyFont="1" applyFill="1" applyBorder="1" applyAlignment="1" applyProtection="1">
      <alignment vertical="top" wrapText="1"/>
    </xf>
    <xf numFmtId="0" fontId="2" fillId="0" borderId="36" xfId="0" applyFont="1" applyFill="1" applyBorder="1" applyAlignment="1" applyProtection="1">
      <alignment vertical="top" wrapText="1"/>
    </xf>
    <xf numFmtId="10" fontId="24" fillId="0" borderId="1" xfId="7" applyNumberFormat="1" applyFont="1" applyFill="1" applyBorder="1" applyAlignment="1" applyProtection="1">
      <alignment horizontal="center" vertical="top" wrapText="1"/>
    </xf>
    <xf numFmtId="3" fontId="24" fillId="5" borderId="59" xfId="0" applyNumberFormat="1" applyFont="1" applyFill="1" applyBorder="1" applyAlignment="1">
      <alignment horizontal="right" vertical="top" wrapText="1"/>
    </xf>
    <xf numFmtId="3" fontId="17" fillId="13" borderId="58" xfId="14" applyNumberFormat="1" applyFont="1" applyFill="1" applyBorder="1" applyAlignment="1" applyProtection="1">
      <alignment horizontal="right" vertical="center"/>
    </xf>
    <xf numFmtId="3" fontId="17" fillId="13" borderId="26" xfId="14" applyNumberFormat="1" applyFont="1" applyFill="1" applyBorder="1" applyAlignment="1" applyProtection="1">
      <alignment horizontal="right" vertical="center"/>
    </xf>
    <xf numFmtId="3" fontId="17" fillId="13" borderId="61" xfId="2" applyNumberFormat="1" applyFont="1" applyFill="1" applyBorder="1" applyAlignment="1" applyProtection="1">
      <alignment horizontal="right" vertical="center" wrapText="1"/>
    </xf>
    <xf numFmtId="41" fontId="24" fillId="5" borderId="1" xfId="14" applyFont="1" applyFill="1" applyBorder="1" applyAlignment="1" applyProtection="1">
      <alignment horizontal="center" vertical="center"/>
    </xf>
    <xf numFmtId="41" fontId="1" fillId="0" borderId="1" xfId="14" applyFont="1" applyFill="1" applyBorder="1" applyAlignment="1" applyProtection="1">
      <alignment horizontal="right" vertical="center" wrapText="1"/>
    </xf>
    <xf numFmtId="3" fontId="24" fillId="0" borderId="57" xfId="14" applyNumberFormat="1" applyFont="1" applyFill="1" applyBorder="1" applyAlignment="1" applyProtection="1">
      <alignment horizontal="right" vertical="center"/>
      <protection locked="0"/>
    </xf>
    <xf numFmtId="3" fontId="24" fillId="0" borderId="23" xfId="14" applyNumberFormat="1" applyFont="1" applyFill="1" applyBorder="1" applyAlignment="1" applyProtection="1">
      <alignment horizontal="right" vertical="center"/>
      <protection locked="0"/>
    </xf>
    <xf numFmtId="0" fontId="26" fillId="0" borderId="0" xfId="0" applyFont="1" applyAlignment="1">
      <alignment horizontal="center"/>
    </xf>
    <xf numFmtId="0" fontId="50" fillId="0" borderId="0" xfId="0" applyFont="1" applyAlignment="1">
      <alignment horizontal="center"/>
    </xf>
    <xf numFmtId="0" fontId="5" fillId="14" borderId="12" xfId="0" applyFont="1" applyFill="1" applyBorder="1" applyAlignment="1" applyProtection="1">
      <alignment horizontal="center"/>
    </xf>
    <xf numFmtId="0" fontId="1" fillId="0" borderId="36" xfId="0" applyFont="1" applyFill="1" applyBorder="1" applyAlignment="1" applyProtection="1">
      <alignment vertical="top" wrapText="1"/>
    </xf>
    <xf numFmtId="168" fontId="3" fillId="0" borderId="1" xfId="0" quotePrefix="1" applyNumberFormat="1" applyFont="1" applyFill="1" applyBorder="1" applyAlignment="1" applyProtection="1">
      <alignment horizontal="left" vertical="center" wrapText="1"/>
    </xf>
    <xf numFmtId="0" fontId="16" fillId="12" borderId="28" xfId="1" applyFont="1" applyFill="1" applyBorder="1" applyAlignment="1">
      <alignment horizontal="center"/>
    </xf>
    <xf numFmtId="0" fontId="37" fillId="8" borderId="10" xfId="0" applyFont="1" applyFill="1" applyBorder="1" applyAlignment="1">
      <alignment horizontal="center" vertical="center"/>
    </xf>
    <xf numFmtId="3" fontId="2" fillId="2" borderId="10" xfId="0" applyNumberFormat="1" applyFont="1" applyFill="1" applyBorder="1" applyAlignment="1">
      <alignment horizontal="center"/>
    </xf>
    <xf numFmtId="3" fontId="24" fillId="5" borderId="49" xfId="0" applyNumberFormat="1" applyFont="1" applyFill="1" applyBorder="1" applyAlignment="1">
      <alignment horizontal="right" vertical="top" wrapText="1"/>
    </xf>
    <xf numFmtId="3" fontId="24" fillId="5" borderId="48" xfId="0" applyNumberFormat="1" applyFont="1" applyFill="1" applyBorder="1" applyAlignment="1">
      <alignment horizontal="right" vertical="top" wrapText="1"/>
    </xf>
    <xf numFmtId="3" fontId="1" fillId="0" borderId="48" xfId="0" applyNumberFormat="1" applyFont="1" applyFill="1" applyBorder="1" applyAlignment="1" applyProtection="1">
      <alignment horizontal="right" vertical="top" wrapText="1"/>
    </xf>
    <xf numFmtId="3" fontId="2" fillId="5" borderId="48" xfId="0" applyNumberFormat="1" applyFont="1" applyFill="1" applyBorder="1" applyAlignment="1">
      <alignment horizontal="right" vertical="top" wrapText="1"/>
    </xf>
    <xf numFmtId="3" fontId="24" fillId="5" borderId="48" xfId="0" applyNumberFormat="1" applyFont="1" applyFill="1" applyBorder="1" applyAlignment="1">
      <alignment vertical="top"/>
    </xf>
    <xf numFmtId="3" fontId="2" fillId="5" borderId="48" xfId="0" applyNumberFormat="1" applyFont="1" applyFill="1" applyBorder="1" applyAlignment="1">
      <alignment vertical="top"/>
    </xf>
    <xf numFmtId="3" fontId="1" fillId="0" borderId="48" xfId="0" applyNumberFormat="1" applyFont="1" applyFill="1" applyBorder="1" applyAlignment="1">
      <alignment horizontal="right" vertical="top"/>
    </xf>
    <xf numFmtId="3" fontId="1" fillId="11" borderId="48" xfId="0" applyNumberFormat="1" applyFont="1" applyFill="1" applyBorder="1" applyAlignment="1" applyProtection="1">
      <alignment horizontal="right" vertical="top" wrapText="1"/>
    </xf>
    <xf numFmtId="3" fontId="3" fillId="0" borderId="48" xfId="0" applyNumberFormat="1" applyFont="1" applyFill="1" applyBorder="1" applyAlignment="1" applyProtection="1">
      <alignment horizontal="right" vertical="top" wrapText="1"/>
    </xf>
    <xf numFmtId="3" fontId="24" fillId="5" borderId="48" xfId="0" applyNumberFormat="1" applyFont="1" applyFill="1" applyBorder="1" applyAlignment="1" applyProtection="1">
      <alignment horizontal="right" vertical="top" wrapText="1"/>
    </xf>
    <xf numFmtId="3" fontId="24" fillId="0" borderId="48" xfId="0" applyNumberFormat="1" applyFont="1" applyFill="1" applyBorder="1" applyAlignment="1" applyProtection="1">
      <alignment horizontal="right" vertical="top" wrapText="1"/>
    </xf>
    <xf numFmtId="3" fontId="2" fillId="5" borderId="48" xfId="0" applyNumberFormat="1" applyFont="1" applyFill="1" applyBorder="1" applyAlignment="1" applyProtection="1">
      <alignment horizontal="right" vertical="top" wrapText="1"/>
    </xf>
    <xf numFmtId="3" fontId="2" fillId="0" borderId="48" xfId="0" applyNumberFormat="1" applyFont="1" applyFill="1" applyBorder="1" applyAlignment="1" applyProtection="1">
      <alignment horizontal="right" vertical="top" wrapText="1"/>
    </xf>
    <xf numFmtId="3" fontId="2" fillId="0" borderId="48" xfId="0" applyNumberFormat="1" applyFont="1" applyFill="1" applyBorder="1" applyAlignment="1">
      <alignment horizontal="right" vertical="top" wrapText="1"/>
    </xf>
    <xf numFmtId="3" fontId="2" fillId="5" borderId="46" xfId="0" applyNumberFormat="1" applyFont="1" applyFill="1" applyBorder="1" applyAlignment="1" applyProtection="1">
      <alignment vertical="top"/>
    </xf>
    <xf numFmtId="3" fontId="1" fillId="0" borderId="22" xfId="0" applyNumberFormat="1" applyFont="1" applyFill="1" applyBorder="1" applyAlignment="1">
      <alignment horizontal="center" vertical="center" wrapText="1"/>
    </xf>
    <xf numFmtId="41" fontId="1" fillId="0" borderId="57" xfId="0" applyNumberFormat="1" applyFont="1" applyFill="1" applyBorder="1" applyAlignment="1">
      <alignment vertical="top"/>
    </xf>
    <xf numFmtId="41" fontId="31" fillId="0" borderId="0" xfId="14" applyFont="1" applyFill="1" applyAlignment="1">
      <alignment horizontal="left" vertical="top"/>
    </xf>
    <xf numFmtId="41" fontId="18" fillId="0" borderId="0" xfId="14" applyFont="1" applyFill="1" applyAlignment="1">
      <alignment horizontal="left" vertical="top"/>
    </xf>
    <xf numFmtId="41" fontId="1" fillId="0" borderId="0" xfId="14" applyFont="1" applyFill="1" applyAlignment="1">
      <alignment horizontal="left" vertical="top"/>
    </xf>
    <xf numFmtId="41" fontId="1" fillId="0" borderId="0" xfId="14" applyFont="1" applyFill="1" applyAlignment="1">
      <alignment horizontal="left" vertical="center"/>
    </xf>
    <xf numFmtId="173" fontId="26" fillId="0" borderId="0" xfId="0" applyNumberFormat="1" applyFont="1" applyAlignment="1">
      <alignment wrapText="1"/>
    </xf>
    <xf numFmtId="3" fontId="26" fillId="0" borderId="0" xfId="0" applyNumberFormat="1" applyFont="1" applyAlignment="1">
      <alignment wrapText="1"/>
    </xf>
    <xf numFmtId="0" fontId="54" fillId="0" borderId="0" xfId="0" applyFont="1"/>
    <xf numFmtId="3" fontId="3" fillId="11" borderId="57" xfId="0" applyNumberFormat="1" applyFont="1" applyFill="1" applyBorder="1" applyAlignment="1">
      <alignment vertical="top"/>
    </xf>
    <xf numFmtId="3" fontId="24" fillId="5" borderId="51" xfId="0" applyNumberFormat="1" applyFont="1" applyFill="1" applyBorder="1" applyAlignment="1">
      <alignment horizontal="right" vertical="top" wrapText="1"/>
    </xf>
    <xf numFmtId="3" fontId="24" fillId="5" borderId="50" xfId="0" applyNumberFormat="1" applyFont="1" applyFill="1" applyBorder="1" applyAlignment="1" applyProtection="1">
      <alignment horizontal="right" vertical="top" wrapText="1"/>
    </xf>
    <xf numFmtId="3" fontId="17" fillId="13" borderId="37" xfId="14" applyNumberFormat="1" applyFont="1" applyFill="1" applyBorder="1" applyAlignment="1" applyProtection="1">
      <alignment horizontal="right" vertical="center"/>
    </xf>
    <xf numFmtId="41" fontId="1" fillId="0" borderId="0" xfId="0" applyNumberFormat="1" applyFont="1" applyFill="1" applyAlignment="1">
      <alignment vertical="center"/>
    </xf>
    <xf numFmtId="0" fontId="26" fillId="0" borderId="0" xfId="0" applyFont="1"/>
    <xf numFmtId="0" fontId="59" fillId="19" borderId="0" xfId="0" applyFont="1" applyFill="1" applyAlignment="1" applyProtection="1">
      <alignment horizontal="center" vertical="center" wrapText="1"/>
    </xf>
    <xf numFmtId="41" fontId="59" fillId="18" borderId="0" xfId="14" applyFont="1" applyFill="1" applyAlignment="1" applyProtection="1">
      <alignment horizontal="center" vertical="center" wrapText="1"/>
    </xf>
    <xf numFmtId="0" fontId="3" fillId="0" borderId="0" xfId="0" applyFont="1" applyFill="1" applyAlignment="1">
      <alignment vertical="top"/>
    </xf>
    <xf numFmtId="41" fontId="3" fillId="0" borderId="0" xfId="14" applyFont="1" applyFill="1" applyAlignment="1">
      <alignment vertical="center"/>
    </xf>
    <xf numFmtId="0" fontId="3" fillId="0" borderId="0" xfId="0" applyFont="1" applyFill="1" applyBorder="1" applyAlignment="1">
      <alignment vertical="top"/>
    </xf>
    <xf numFmtId="0" fontId="59" fillId="0" borderId="0" xfId="0" applyFont="1"/>
    <xf numFmtId="0" fontId="59" fillId="0" borderId="0" xfId="0" applyFont="1" applyAlignment="1"/>
    <xf numFmtId="0" fontId="59" fillId="0" borderId="0" xfId="0" applyFont="1" applyAlignment="1">
      <alignment wrapText="1"/>
    </xf>
    <xf numFmtId="41" fontId="59" fillId="0" borderId="0" xfId="14" applyFont="1"/>
    <xf numFmtId="0" fontId="43" fillId="0" borderId="0" xfId="0" applyFont="1"/>
    <xf numFmtId="41" fontId="43" fillId="0" borderId="0" xfId="14" applyFont="1" applyFill="1"/>
    <xf numFmtId="41" fontId="43" fillId="0" borderId="0" xfId="14" applyFont="1" applyFill="1" applyAlignment="1"/>
    <xf numFmtId="0" fontId="43" fillId="0" borderId="0" xfId="0" applyFont="1" applyFill="1"/>
    <xf numFmtId="0" fontId="43" fillId="0" borderId="0" xfId="0" applyFont="1" applyFill="1" applyAlignment="1" applyProtection="1">
      <alignment horizontal="left" vertical="center" wrapText="1"/>
    </xf>
    <xf numFmtId="41" fontId="43" fillId="0" borderId="0" xfId="0" applyNumberFormat="1" applyFont="1" applyFill="1"/>
    <xf numFmtId="41" fontId="43" fillId="0" borderId="0" xfId="14" applyFont="1" applyFill="1" applyAlignment="1">
      <alignment wrapText="1"/>
    </xf>
    <xf numFmtId="3" fontId="43" fillId="0" borderId="0" xfId="0" applyNumberFormat="1" applyFont="1" applyFill="1"/>
    <xf numFmtId="0" fontId="43" fillId="0" borderId="0" xfId="0" applyFont="1" applyFill="1" applyAlignment="1">
      <alignment wrapText="1"/>
    </xf>
    <xf numFmtId="168" fontId="24" fillId="0" borderId="1" xfId="0" applyNumberFormat="1" applyFont="1" applyFill="1" applyBorder="1" applyAlignment="1" applyProtection="1">
      <alignment vertical="center" wrapText="1"/>
    </xf>
    <xf numFmtId="10" fontId="24" fillId="0" borderId="23" xfId="7" applyNumberFormat="1" applyFont="1" applyFill="1" applyBorder="1" applyAlignment="1" applyProtection="1">
      <alignment horizontal="center" vertical="center"/>
    </xf>
    <xf numFmtId="3" fontId="24" fillId="0" borderId="57" xfId="0" applyNumberFormat="1" applyFont="1" applyFill="1" applyBorder="1" applyAlignment="1" applyProtection="1">
      <alignment vertical="center"/>
    </xf>
    <xf numFmtId="3" fontId="24" fillId="0" borderId="58" xfId="14" applyNumberFormat="1" applyFont="1" applyFill="1" applyBorder="1" applyAlignment="1" applyProtection="1">
      <alignment horizontal="right" vertical="center"/>
      <protection locked="0"/>
    </xf>
    <xf numFmtId="3" fontId="24" fillId="0" borderId="26" xfId="14" applyNumberFormat="1" applyFont="1" applyFill="1" applyBorder="1" applyAlignment="1" applyProtection="1">
      <alignment horizontal="right" vertical="center"/>
      <protection locked="0"/>
    </xf>
    <xf numFmtId="3" fontId="24" fillId="0" borderId="35" xfId="14" applyNumberFormat="1" applyFont="1" applyFill="1" applyBorder="1" applyAlignment="1" applyProtection="1">
      <alignment horizontal="right" vertical="center"/>
      <protection locked="0"/>
    </xf>
    <xf numFmtId="3" fontId="24" fillId="0" borderId="36" xfId="14" applyNumberFormat="1" applyFont="1" applyFill="1" applyBorder="1" applyAlignment="1" applyProtection="1">
      <alignment horizontal="right" vertical="center"/>
      <protection locked="0"/>
    </xf>
    <xf numFmtId="3" fontId="24" fillId="0" borderId="59" xfId="14" applyNumberFormat="1" applyFont="1" applyFill="1" applyBorder="1" applyAlignment="1" applyProtection="1">
      <alignment horizontal="right" vertical="center"/>
      <protection locked="0"/>
    </xf>
    <xf numFmtId="3" fontId="24" fillId="0" borderId="19" xfId="14" applyNumberFormat="1" applyFont="1" applyFill="1" applyBorder="1" applyAlignment="1" applyProtection="1">
      <alignment horizontal="right" vertical="center"/>
      <protection locked="0"/>
    </xf>
    <xf numFmtId="0" fontId="24" fillId="0" borderId="16" xfId="0" applyFont="1" applyFill="1" applyBorder="1" applyAlignment="1" applyProtection="1">
      <alignment horizontal="center" vertical="center" wrapText="1"/>
    </xf>
    <xf numFmtId="167" fontId="24" fillId="0" borderId="1" xfId="0" applyNumberFormat="1" applyFont="1" applyFill="1" applyBorder="1" applyAlignment="1" applyProtection="1">
      <alignment horizontal="center" vertical="center" wrapText="1"/>
    </xf>
    <xf numFmtId="168" fontId="24" fillId="0" borderId="1" xfId="0" applyNumberFormat="1" applyFont="1" applyFill="1" applyBorder="1" applyAlignment="1" applyProtection="1">
      <alignment horizontal="center" vertical="center" wrapText="1"/>
    </xf>
    <xf numFmtId="3" fontId="24" fillId="0" borderId="57" xfId="0" applyNumberFormat="1" applyFont="1" applyFill="1" applyBorder="1" applyAlignment="1" applyProtection="1">
      <alignment horizontal="right" vertical="center"/>
    </xf>
    <xf numFmtId="3" fontId="24" fillId="0" borderId="1" xfId="0" applyNumberFormat="1" applyFont="1" applyFill="1" applyBorder="1" applyAlignment="1" applyProtection="1">
      <alignment horizontal="right" vertical="center"/>
    </xf>
    <xf numFmtId="3" fontId="24" fillId="0" borderId="16" xfId="14" applyNumberFormat="1" applyFont="1" applyFill="1" applyBorder="1" applyAlignment="1" applyProtection="1">
      <alignment horizontal="right" vertical="center" wrapText="1"/>
    </xf>
    <xf numFmtId="3" fontId="24" fillId="0" borderId="36" xfId="0" applyNumberFormat="1" applyFont="1" applyFill="1" applyBorder="1" applyAlignment="1" applyProtection="1">
      <alignment horizontal="right" vertical="center" wrapText="1"/>
    </xf>
    <xf numFmtId="3" fontId="24" fillId="0" borderId="23" xfId="0" applyNumberFormat="1" applyFont="1" applyFill="1" applyBorder="1" applyAlignment="1" applyProtection="1">
      <alignment horizontal="right" vertical="center" wrapText="1"/>
    </xf>
    <xf numFmtId="3" fontId="24" fillId="0" borderId="51" xfId="0" applyNumberFormat="1" applyFont="1" applyFill="1" applyBorder="1" applyAlignment="1" applyProtection="1">
      <alignment horizontal="right" vertical="center" wrapText="1"/>
    </xf>
    <xf numFmtId="3" fontId="1" fillId="0" borderId="57" xfId="0" applyNumberFormat="1" applyFont="1" applyFill="1" applyBorder="1" applyAlignment="1" applyProtection="1">
      <alignment horizontal="right" vertical="center" wrapText="1"/>
    </xf>
    <xf numFmtId="3" fontId="24" fillId="0" borderId="16" xfId="14" applyNumberFormat="1" applyFont="1" applyFill="1" applyBorder="1" applyAlignment="1" applyProtection="1">
      <alignment horizontal="right" vertical="center"/>
    </xf>
    <xf numFmtId="3" fontId="24" fillId="0" borderId="51" xfId="0" applyNumberFormat="1" applyFont="1" applyFill="1" applyBorder="1" applyAlignment="1" applyProtection="1">
      <alignment vertical="center"/>
    </xf>
    <xf numFmtId="3" fontId="24" fillId="0" borderId="51" xfId="0" applyNumberFormat="1" applyFont="1" applyFill="1" applyBorder="1" applyAlignment="1">
      <alignment horizontal="right" vertical="center" wrapText="1"/>
    </xf>
    <xf numFmtId="3" fontId="2" fillId="5" borderId="23" xfId="0" applyNumberFormat="1" applyFont="1" applyFill="1" applyBorder="1" applyAlignment="1">
      <alignment horizontal="right" vertical="center" wrapText="1"/>
    </xf>
    <xf numFmtId="0" fontId="18" fillId="0" borderId="16" xfId="0" applyFont="1" applyFill="1" applyBorder="1" applyAlignment="1" applyProtection="1">
      <alignment horizontal="left" vertical="center" wrapText="1"/>
    </xf>
    <xf numFmtId="168" fontId="18" fillId="0" borderId="1" xfId="0" applyNumberFormat="1" applyFont="1" applyFill="1" applyBorder="1" applyAlignment="1" applyProtection="1">
      <alignment horizontal="right" vertical="center" wrapText="1"/>
    </xf>
    <xf numFmtId="41" fontId="1" fillId="0" borderId="57" xfId="14" applyFont="1" applyFill="1" applyBorder="1" applyAlignment="1" applyProtection="1">
      <alignment horizontal="right" vertical="center" wrapText="1"/>
    </xf>
    <xf numFmtId="0" fontId="12" fillId="0" borderId="36" xfId="0" applyFont="1" applyFill="1" applyBorder="1" applyAlignment="1">
      <alignment horizontal="left" vertical="center"/>
    </xf>
    <xf numFmtId="3" fontId="1" fillId="0" borderId="1" xfId="0" applyNumberFormat="1" applyFont="1" applyFill="1" applyBorder="1" applyAlignment="1" applyProtection="1">
      <alignment vertical="center"/>
    </xf>
    <xf numFmtId="41" fontId="3" fillId="0" borderId="57" xfId="14" applyFont="1" applyFill="1" applyBorder="1" applyAlignment="1" applyProtection="1">
      <alignment horizontal="right" vertical="center" wrapText="1"/>
    </xf>
    <xf numFmtId="3" fontId="4" fillId="2" borderId="35" xfId="0" applyNumberFormat="1" applyFont="1" applyFill="1" applyBorder="1" applyAlignment="1" applyProtection="1">
      <alignment vertical="center" wrapText="1"/>
      <protection locked="0"/>
    </xf>
    <xf numFmtId="3" fontId="24" fillId="0" borderId="1" xfId="0" applyNumberFormat="1" applyFont="1" applyFill="1" applyBorder="1" applyAlignment="1" applyProtection="1">
      <alignment vertical="center"/>
      <protection locked="0"/>
    </xf>
    <xf numFmtId="0" fontId="61" fillId="0" borderId="0" xfId="0" applyFont="1"/>
    <xf numFmtId="0" fontId="61" fillId="0" borderId="0" xfId="0" applyFont="1" applyAlignment="1">
      <alignment horizontal="center"/>
    </xf>
    <xf numFmtId="41" fontId="61" fillId="0" borderId="0" xfId="14" applyFont="1"/>
    <xf numFmtId="0" fontId="61" fillId="0" borderId="0" xfId="0" applyFont="1" applyAlignment="1">
      <alignment horizontal="left"/>
    </xf>
    <xf numFmtId="0" fontId="21" fillId="19" borderId="0" xfId="0" applyFont="1" applyFill="1" applyAlignment="1" applyProtection="1">
      <alignment horizontal="left" vertical="center"/>
    </xf>
    <xf numFmtId="0" fontId="21" fillId="19" borderId="0" xfId="0" applyFont="1" applyFill="1" applyAlignment="1" applyProtection="1">
      <alignment horizontal="left" vertical="center" wrapText="1"/>
    </xf>
    <xf numFmtId="0" fontId="21" fillId="18" borderId="79" xfId="0" applyNumberFormat="1" applyFont="1" applyFill="1" applyBorder="1" applyAlignment="1" applyProtection="1">
      <alignment horizontal="center" vertical="center" wrapText="1"/>
    </xf>
    <xf numFmtId="173" fontId="21" fillId="17" borderId="0" xfId="0" applyNumberFormat="1" applyFont="1" applyFill="1" applyAlignment="1" applyProtection="1">
      <alignment horizontal="center" vertical="center"/>
    </xf>
    <xf numFmtId="41" fontId="26" fillId="0" borderId="0" xfId="14" applyFont="1"/>
    <xf numFmtId="0" fontId="46" fillId="24" borderId="63" xfId="0" applyNumberFormat="1" applyFont="1" applyFill="1" applyBorder="1" applyAlignment="1" applyProtection="1">
      <alignment horizontal="center" vertical="center"/>
    </xf>
    <xf numFmtId="0" fontId="46" fillId="24" borderId="63" xfId="0" applyNumberFormat="1" applyFont="1" applyFill="1" applyBorder="1" applyAlignment="1" applyProtection="1">
      <alignment horizontal="left" vertical="center"/>
    </xf>
    <xf numFmtId="173" fontId="46" fillId="24" borderId="63" xfId="0" applyNumberFormat="1" applyFont="1" applyFill="1" applyBorder="1" applyAlignment="1" applyProtection="1">
      <alignment horizontal="right" vertical="center"/>
    </xf>
    <xf numFmtId="0" fontId="26" fillId="17" borderId="0" xfId="0" applyFont="1" applyFill="1" applyAlignment="1" applyProtection="1">
      <alignment horizontal="center" vertical="center"/>
    </xf>
    <xf numFmtId="0" fontId="26" fillId="17" borderId="0" xfId="0" applyFont="1" applyFill="1" applyAlignment="1" applyProtection="1">
      <alignment horizontal="left" vertical="center"/>
    </xf>
    <xf numFmtId="173" fontId="26" fillId="17" borderId="0" xfId="0" applyNumberFormat="1" applyFont="1" applyFill="1" applyAlignment="1" applyProtection="1">
      <alignment horizontal="right" vertical="center"/>
    </xf>
    <xf numFmtId="41" fontId="26" fillId="11" borderId="0" xfId="14" applyFont="1" applyFill="1"/>
    <xf numFmtId="41" fontId="21" fillId="17" borderId="0" xfId="14" applyFont="1" applyFill="1" applyAlignment="1" applyProtection="1">
      <alignment horizontal="left" vertical="center"/>
    </xf>
    <xf numFmtId="0" fontId="21" fillId="24" borderId="63" xfId="0" applyNumberFormat="1" applyFont="1" applyFill="1" applyBorder="1" applyAlignment="1" applyProtection="1">
      <alignment horizontal="center" vertical="center"/>
    </xf>
    <xf numFmtId="0" fontId="21" fillId="24" borderId="63" xfId="0" applyNumberFormat="1" applyFont="1" applyFill="1" applyBorder="1" applyAlignment="1" applyProtection="1">
      <alignment horizontal="left" vertical="center"/>
    </xf>
    <xf numFmtId="173" fontId="21" fillId="24" borderId="63" xfId="0" applyNumberFormat="1" applyFont="1" applyFill="1" applyBorder="1" applyAlignment="1" applyProtection="1">
      <alignment horizontal="right" vertical="center"/>
    </xf>
    <xf numFmtId="41" fontId="26" fillId="0" borderId="0" xfId="0" applyNumberFormat="1" applyFont="1"/>
    <xf numFmtId="0" fontId="26" fillId="0" borderId="0" xfId="0" applyFont="1" applyAlignment="1">
      <alignment horizontal="left"/>
    </xf>
    <xf numFmtId="173" fontId="26" fillId="0" borderId="0" xfId="0" applyNumberFormat="1" applyFont="1"/>
    <xf numFmtId="3" fontId="26" fillId="0" borderId="0" xfId="0" applyNumberFormat="1" applyFont="1"/>
    <xf numFmtId="173" fontId="26" fillId="0" borderId="0" xfId="0" applyNumberFormat="1" applyFont="1" applyAlignment="1">
      <alignment horizontal="center"/>
    </xf>
    <xf numFmtId="41" fontId="21" fillId="0" borderId="0" xfId="14" applyFont="1" applyAlignment="1"/>
    <xf numFmtId="41" fontId="50" fillId="11" borderId="0" xfId="14" applyFont="1" applyFill="1"/>
    <xf numFmtId="173" fontId="25" fillId="17" borderId="0" xfId="0" applyNumberFormat="1" applyFont="1" applyFill="1" applyAlignment="1" applyProtection="1">
      <alignment horizontal="left" vertical="center"/>
    </xf>
    <xf numFmtId="41" fontId="50" fillId="0" borderId="0" xfId="0" applyNumberFormat="1" applyFont="1"/>
    <xf numFmtId="0" fontId="50" fillId="0" borderId="0" xfId="0" applyFont="1" applyAlignment="1">
      <alignment horizontal="left"/>
    </xf>
    <xf numFmtId="0" fontId="5" fillId="14" borderId="40" xfId="0" applyFont="1" applyFill="1" applyBorder="1" applyAlignment="1" applyProtection="1"/>
    <xf numFmtId="3" fontId="2" fillId="5" borderId="57" xfId="0" applyNumberFormat="1" applyFont="1" applyFill="1" applyBorder="1" applyAlignment="1">
      <alignment horizontal="right" vertical="center" wrapText="1"/>
    </xf>
    <xf numFmtId="41" fontId="1" fillId="0" borderId="0" xfId="14" applyFont="1" applyFill="1" applyAlignment="1" applyProtection="1">
      <alignment horizontal="center" vertical="center"/>
      <protection locked="0"/>
    </xf>
    <xf numFmtId="41" fontId="50" fillId="11" borderId="0" xfId="0" applyNumberFormat="1" applyFont="1" applyFill="1"/>
    <xf numFmtId="168" fontId="24" fillId="0" borderId="1" xfId="0" applyNumberFormat="1" applyFont="1" applyFill="1" applyBorder="1" applyAlignment="1" applyProtection="1">
      <alignment horizontal="right" vertical="center" wrapText="1"/>
    </xf>
    <xf numFmtId="3" fontId="2" fillId="0" borderId="36" xfId="0" applyNumberFormat="1" applyFont="1" applyFill="1" applyBorder="1" applyAlignment="1" applyProtection="1">
      <alignment horizontal="right" vertical="center" wrapText="1"/>
    </xf>
    <xf numFmtId="3" fontId="2" fillId="5" borderId="36" xfId="0" applyNumberFormat="1" applyFont="1" applyFill="1" applyBorder="1" applyAlignment="1" applyProtection="1">
      <alignment horizontal="right" vertical="center"/>
      <protection locked="0"/>
    </xf>
    <xf numFmtId="3" fontId="1" fillId="0" borderId="36" xfId="0" applyNumberFormat="1" applyFont="1" applyFill="1" applyBorder="1" applyAlignment="1" applyProtection="1">
      <alignment horizontal="right" vertical="center"/>
      <protection locked="0"/>
    </xf>
    <xf numFmtId="3" fontId="3" fillId="0" borderId="36" xfId="16" applyNumberFormat="1" applyFont="1" applyFill="1" applyBorder="1" applyAlignment="1" applyProtection="1">
      <alignment vertical="center"/>
      <protection locked="0"/>
    </xf>
    <xf numFmtId="3" fontId="2" fillId="0" borderId="16" xfId="0" applyNumberFormat="1" applyFont="1" applyFill="1" applyBorder="1" applyAlignment="1" applyProtection="1">
      <alignment horizontal="right" vertical="center"/>
      <protection locked="0"/>
    </xf>
    <xf numFmtId="3" fontId="2" fillId="5" borderId="16" xfId="0" applyNumberFormat="1" applyFont="1" applyFill="1" applyBorder="1" applyAlignment="1" applyProtection="1">
      <alignment horizontal="right" vertical="center"/>
      <protection locked="0"/>
    </xf>
    <xf numFmtId="3" fontId="1" fillId="0" borderId="16" xfId="0" applyNumberFormat="1" applyFont="1" applyFill="1" applyBorder="1" applyAlignment="1" applyProtection="1">
      <alignment horizontal="right" vertical="center"/>
      <protection locked="0"/>
    </xf>
    <xf numFmtId="3" fontId="3" fillId="0" borderId="16" xfId="16" applyNumberFormat="1" applyFont="1" applyFill="1" applyBorder="1" applyAlignment="1" applyProtection="1">
      <alignment vertical="center"/>
      <protection locked="0"/>
    </xf>
    <xf numFmtId="41" fontId="1" fillId="0" borderId="0" xfId="0" applyNumberFormat="1" applyFont="1" applyFill="1" applyBorder="1" applyAlignment="1">
      <alignment horizontal="center"/>
    </xf>
    <xf numFmtId="41" fontId="52" fillId="11" borderId="0" xfId="14" applyFont="1" applyFill="1" applyAlignment="1"/>
    <xf numFmtId="3" fontId="4" fillId="2" borderId="35" xfId="0" applyNumberFormat="1" applyFont="1" applyFill="1" applyBorder="1" applyAlignment="1">
      <alignment vertical="center"/>
    </xf>
    <xf numFmtId="3" fontId="2" fillId="5" borderId="39" xfId="0" applyNumberFormat="1" applyFont="1" applyFill="1" applyBorder="1"/>
    <xf numFmtId="3" fontId="2" fillId="0" borderId="41" xfId="0" applyNumberFormat="1" applyFont="1" applyBorder="1" applyProtection="1">
      <protection locked="0"/>
    </xf>
    <xf numFmtId="3" fontId="2" fillId="0" borderId="42" xfId="0" applyNumberFormat="1" applyFont="1" applyBorder="1" applyProtection="1">
      <protection locked="0"/>
    </xf>
    <xf numFmtId="10" fontId="4" fillId="8" borderId="12" xfId="7" applyNumberFormat="1" applyFont="1" applyFill="1" applyBorder="1" applyAlignment="1" applyProtection="1">
      <alignment horizontal="center" vertical="top"/>
    </xf>
    <xf numFmtId="10" fontId="2" fillId="8" borderId="47" xfId="7" applyNumberFormat="1" applyFont="1" applyFill="1" applyBorder="1" applyAlignment="1">
      <alignment horizontal="center" vertical="center" wrapText="1"/>
    </xf>
    <xf numFmtId="10" fontId="3" fillId="11" borderId="36" xfId="7" applyNumberFormat="1" applyFont="1" applyFill="1" applyBorder="1" applyAlignment="1" applyProtection="1">
      <alignment horizontal="center" vertical="top" wrapText="1"/>
    </xf>
    <xf numFmtId="10" fontId="2" fillId="5" borderId="45" xfId="7" applyNumberFormat="1" applyFont="1" applyFill="1" applyBorder="1" applyAlignment="1" applyProtection="1">
      <alignment horizontal="center" vertical="top"/>
    </xf>
    <xf numFmtId="3" fontId="1" fillId="0" borderId="0" xfId="14" applyNumberFormat="1" applyFont="1" applyBorder="1" applyAlignment="1">
      <alignment horizontal="center" vertical="center" wrapText="1"/>
    </xf>
    <xf numFmtId="3" fontId="17" fillId="13" borderId="2" xfId="14" applyNumberFormat="1" applyFont="1" applyFill="1" applyBorder="1" applyAlignment="1" applyProtection="1">
      <alignment horizontal="right" vertical="center"/>
    </xf>
    <xf numFmtId="3" fontId="24" fillId="5" borderId="44" xfId="0" applyNumberFormat="1" applyFont="1" applyFill="1" applyBorder="1" applyAlignment="1">
      <alignment horizontal="right" vertical="top" wrapText="1"/>
    </xf>
    <xf numFmtId="3" fontId="24" fillId="5" borderId="2" xfId="0" applyNumberFormat="1" applyFont="1" applyFill="1" applyBorder="1" applyAlignment="1">
      <alignment horizontal="right" vertical="top" wrapText="1"/>
    </xf>
    <xf numFmtId="3" fontId="1" fillId="0" borderId="2" xfId="14" applyNumberFormat="1" applyFont="1" applyFill="1" applyBorder="1" applyAlignment="1" applyProtection="1">
      <alignment horizontal="right" vertical="top" wrapText="1"/>
    </xf>
    <xf numFmtId="3" fontId="1" fillId="0" borderId="2" xfId="14" applyNumberFormat="1" applyFont="1" applyFill="1" applyBorder="1" applyAlignment="1" applyProtection="1">
      <alignment horizontal="right" vertical="top"/>
    </xf>
    <xf numFmtId="3" fontId="24" fillId="5" borderId="2" xfId="14" applyNumberFormat="1" applyFont="1" applyFill="1" applyBorder="1" applyAlignment="1" applyProtection="1">
      <alignment horizontal="right" vertical="top" wrapText="1"/>
    </xf>
    <xf numFmtId="3" fontId="3" fillId="0" borderId="2" xfId="14" applyNumberFormat="1" applyFont="1" applyFill="1" applyBorder="1" applyAlignment="1" applyProtection="1">
      <alignment horizontal="right" vertical="top" wrapText="1"/>
    </xf>
    <xf numFmtId="3" fontId="24" fillId="5" borderId="2" xfId="0" applyNumberFormat="1" applyFont="1" applyFill="1" applyBorder="1" applyAlignment="1">
      <alignment horizontal="right" vertical="top"/>
    </xf>
    <xf numFmtId="3" fontId="2" fillId="5" borderId="2" xfId="0" applyNumberFormat="1" applyFont="1" applyFill="1" applyBorder="1" applyAlignment="1">
      <alignment horizontal="right" vertical="top"/>
    </xf>
    <xf numFmtId="3" fontId="2" fillId="5" borderId="2" xfId="0" applyNumberFormat="1" applyFont="1" applyFill="1" applyBorder="1" applyAlignment="1" applyProtection="1">
      <alignment horizontal="right" vertical="top"/>
    </xf>
    <xf numFmtId="3" fontId="24" fillId="0" borderId="2" xfId="2" applyNumberFormat="1" applyFont="1" applyFill="1" applyBorder="1" applyAlignment="1" applyProtection="1">
      <alignment horizontal="right" vertical="top"/>
    </xf>
    <xf numFmtId="3" fontId="24" fillId="0" borderId="2" xfId="14" applyNumberFormat="1" applyFont="1" applyFill="1" applyBorder="1" applyAlignment="1">
      <alignment horizontal="right" vertical="top" wrapText="1"/>
    </xf>
    <xf numFmtId="3" fontId="1" fillId="0" borderId="2" xfId="0" applyNumberFormat="1" applyFont="1" applyFill="1" applyBorder="1" applyAlignment="1">
      <alignment horizontal="right" vertical="top"/>
    </xf>
    <xf numFmtId="3" fontId="3" fillId="0" borderId="2" xfId="2" applyNumberFormat="1" applyFont="1" applyFill="1" applyBorder="1" applyAlignment="1" applyProtection="1">
      <alignment horizontal="right" vertical="top"/>
    </xf>
    <xf numFmtId="3" fontId="2" fillId="5" borderId="2" xfId="14" applyNumberFormat="1" applyFont="1" applyFill="1" applyBorder="1" applyAlignment="1">
      <alignment horizontal="right" vertical="top"/>
    </xf>
    <xf numFmtId="3" fontId="2" fillId="5" borderId="8" xfId="14" applyNumberFormat="1" applyFont="1" applyFill="1" applyBorder="1" applyAlignment="1">
      <alignment horizontal="right" vertical="top"/>
    </xf>
    <xf numFmtId="3" fontId="2" fillId="7" borderId="43" xfId="14" applyNumberFormat="1" applyFont="1" applyFill="1" applyBorder="1" applyAlignment="1">
      <alignment horizontal="center" vertical="center" wrapText="1"/>
    </xf>
    <xf numFmtId="10" fontId="24" fillId="5" borderId="23" xfId="7" applyNumberFormat="1" applyFont="1" applyFill="1" applyBorder="1" applyAlignment="1">
      <alignment horizontal="center" vertical="top" wrapText="1"/>
    </xf>
    <xf numFmtId="3" fontId="1" fillId="0" borderId="16" xfId="14" applyNumberFormat="1" applyFont="1" applyFill="1" applyBorder="1" applyAlignment="1">
      <alignment horizontal="right" vertical="top" wrapText="1"/>
    </xf>
    <xf numFmtId="10" fontId="1" fillId="0" borderId="23" xfId="7" applyNumberFormat="1" applyFont="1" applyFill="1" applyBorder="1" applyAlignment="1">
      <alignment horizontal="center" vertical="top"/>
    </xf>
    <xf numFmtId="10" fontId="1" fillId="11" borderId="23" xfId="7" applyNumberFormat="1" applyFont="1" applyFill="1" applyBorder="1" applyAlignment="1">
      <alignment horizontal="center" vertical="top"/>
    </xf>
    <xf numFmtId="3" fontId="2" fillId="5" borderId="16" xfId="14" applyNumberFormat="1" applyFont="1" applyFill="1" applyBorder="1" applyAlignment="1">
      <alignment horizontal="right" vertical="top" wrapText="1"/>
    </xf>
    <xf numFmtId="9" fontId="2" fillId="5" borderId="23" xfId="7" applyFont="1" applyFill="1" applyBorder="1" applyAlignment="1">
      <alignment horizontal="center" vertical="top" wrapText="1"/>
    </xf>
    <xf numFmtId="3" fontId="2" fillId="0" borderId="16" xfId="14" applyNumberFormat="1" applyFont="1" applyFill="1" applyBorder="1" applyAlignment="1">
      <alignment horizontal="right" vertical="top" wrapText="1"/>
    </xf>
    <xf numFmtId="10" fontId="24" fillId="0" borderId="23" xfId="7" applyNumberFormat="1" applyFont="1" applyFill="1" applyBorder="1" applyAlignment="1">
      <alignment horizontal="center" vertical="top" wrapText="1"/>
    </xf>
    <xf numFmtId="3" fontId="3" fillId="0" borderId="16" xfId="14" applyNumberFormat="1" applyFont="1" applyFill="1" applyBorder="1" applyAlignment="1">
      <alignment horizontal="right" vertical="top"/>
    </xf>
    <xf numFmtId="10" fontId="3" fillId="0" borderId="23" xfId="7" applyNumberFormat="1" applyFont="1" applyFill="1" applyBorder="1" applyAlignment="1">
      <alignment horizontal="center" vertical="top"/>
    </xf>
    <xf numFmtId="10" fontId="2" fillId="5" borderId="23" xfId="7" applyNumberFormat="1" applyFont="1" applyFill="1" applyBorder="1" applyAlignment="1">
      <alignment horizontal="center" vertical="top"/>
    </xf>
    <xf numFmtId="3" fontId="3" fillId="11" borderId="16" xfId="0" applyNumberFormat="1" applyFont="1" applyFill="1" applyBorder="1" applyAlignment="1" applyProtection="1">
      <alignment horizontal="right" vertical="top" wrapText="1"/>
    </xf>
    <xf numFmtId="10" fontId="2" fillId="5" borderId="39" xfId="7" applyNumberFormat="1" applyFont="1" applyFill="1" applyBorder="1" applyAlignment="1">
      <alignment horizontal="center" vertical="top"/>
    </xf>
    <xf numFmtId="0" fontId="12" fillId="11" borderId="36" xfId="0" applyFont="1" applyFill="1" applyBorder="1" applyAlignment="1">
      <alignment horizontal="left" vertical="center"/>
    </xf>
    <xf numFmtId="3" fontId="12" fillId="11" borderId="16" xfId="0" applyNumberFormat="1" applyFont="1" applyFill="1" applyBorder="1" applyAlignment="1">
      <alignment horizontal="right" vertical="top" wrapText="1"/>
    </xf>
    <xf numFmtId="3" fontId="12" fillId="11" borderId="1" xfId="0" applyNumberFormat="1" applyFont="1" applyFill="1" applyBorder="1" applyAlignment="1">
      <alignment horizontal="right" vertical="top" wrapText="1"/>
    </xf>
    <xf numFmtId="172" fontId="12" fillId="11" borderId="1" xfId="7" applyNumberFormat="1" applyFont="1" applyFill="1" applyBorder="1" applyAlignment="1">
      <alignment horizontal="center" vertical="center" wrapText="1"/>
    </xf>
    <xf numFmtId="172" fontId="12" fillId="11" borderId="23" xfId="7" applyNumberFormat="1" applyFont="1" applyFill="1" applyBorder="1" applyAlignment="1">
      <alignment horizontal="center" vertical="center" wrapText="1"/>
    </xf>
    <xf numFmtId="0" fontId="21" fillId="0" borderId="0" xfId="0" applyFont="1" applyFill="1" applyAlignment="1" applyProtection="1">
      <alignment horizontal="left" vertical="center" wrapText="1"/>
    </xf>
    <xf numFmtId="173" fontId="21" fillId="0" borderId="0" xfId="0" applyNumberFormat="1" applyFont="1" applyFill="1" applyAlignment="1" applyProtection="1">
      <alignment horizontal="right" vertical="center" wrapText="1"/>
    </xf>
    <xf numFmtId="10" fontId="17" fillId="13" borderId="37" xfId="2" applyNumberFormat="1" applyFont="1" applyFill="1" applyBorder="1" applyAlignment="1" applyProtection="1">
      <alignment horizontal="center" vertical="center" wrapText="1"/>
    </xf>
    <xf numFmtId="41" fontId="24" fillId="5" borderId="57" xfId="14" applyFont="1" applyFill="1" applyBorder="1" applyAlignment="1" applyProtection="1">
      <alignment horizontal="center" vertical="center"/>
    </xf>
    <xf numFmtId="1" fontId="24" fillId="5" borderId="57" xfId="14" applyNumberFormat="1" applyFont="1" applyFill="1" applyBorder="1" applyAlignment="1" applyProtection="1">
      <alignment horizontal="right" vertical="center"/>
    </xf>
    <xf numFmtId="10" fontId="2" fillId="7" borderId="42" xfId="0" applyNumberFormat="1" applyFont="1" applyFill="1" applyBorder="1" applyAlignment="1">
      <alignment horizontal="center" vertical="center" wrapText="1"/>
    </xf>
    <xf numFmtId="0" fontId="16" fillId="12" borderId="28" xfId="1" applyFont="1" applyFill="1" applyBorder="1" applyAlignment="1">
      <alignment horizontal="center"/>
    </xf>
    <xf numFmtId="3" fontId="2" fillId="2" borderId="10" xfId="0" applyNumberFormat="1" applyFont="1" applyFill="1" applyBorder="1" applyAlignment="1">
      <alignment horizontal="center"/>
    </xf>
    <xf numFmtId="0" fontId="21" fillId="18" borderId="0" xfId="0" applyFont="1" applyFill="1" applyAlignment="1" applyProtection="1">
      <alignment horizontal="center" vertical="center" wrapText="1"/>
    </xf>
    <xf numFmtId="41" fontId="14" fillId="0" borderId="0" xfId="14" applyFont="1" applyAlignment="1"/>
    <xf numFmtId="0" fontId="62" fillId="18" borderId="0" xfId="0" applyFont="1" applyFill="1" applyAlignment="1" applyProtection="1">
      <alignment horizontal="center" vertical="center" wrapText="1"/>
    </xf>
    <xf numFmtId="41" fontId="15" fillId="0" borderId="0" xfId="14" applyFont="1" applyFill="1" applyProtection="1">
      <protection locked="0"/>
    </xf>
    <xf numFmtId="41" fontId="1" fillId="0" borderId="0" xfId="14" applyFont="1" applyProtection="1">
      <protection locked="0"/>
    </xf>
    <xf numFmtId="3" fontId="1" fillId="0" borderId="21" xfId="14" applyNumberFormat="1" applyFont="1" applyBorder="1" applyAlignment="1">
      <alignment horizontal="center" vertical="center" wrapText="1"/>
    </xf>
    <xf numFmtId="0" fontId="5" fillId="9" borderId="2" xfId="0" applyFont="1" applyFill="1" applyBorder="1" applyAlignment="1">
      <alignment horizontal="center" vertical="top"/>
    </xf>
    <xf numFmtId="3" fontId="2" fillId="2" borderId="2" xfId="0" applyNumberFormat="1" applyFont="1" applyFill="1" applyBorder="1" applyAlignment="1">
      <alignment horizontal="center" vertical="top"/>
    </xf>
    <xf numFmtId="3" fontId="17" fillId="13" borderId="6" xfId="14" applyNumberFormat="1" applyFont="1" applyFill="1" applyBorder="1" applyAlignment="1" applyProtection="1">
      <alignment horizontal="right" vertical="center"/>
    </xf>
    <xf numFmtId="0" fontId="43" fillId="0" borderId="0" xfId="0" applyFont="1" applyAlignment="1" applyProtection="1">
      <alignment horizontal="left" vertical="center"/>
    </xf>
    <xf numFmtId="41" fontId="0" fillId="26" borderId="0" xfId="14" applyFont="1" applyFill="1"/>
    <xf numFmtId="0" fontId="43" fillId="26" borderId="0" xfId="0" applyFont="1" applyFill="1" applyAlignment="1" applyProtection="1">
      <alignment horizontal="left" vertical="center" wrapText="1"/>
    </xf>
    <xf numFmtId="173" fontId="19" fillId="26" borderId="0" xfId="0" applyNumberFormat="1" applyFont="1" applyFill="1" applyAlignment="1" applyProtection="1">
      <alignment horizontal="right" vertical="center" wrapText="1"/>
    </xf>
    <xf numFmtId="0" fontId="6" fillId="0" borderId="0" xfId="5"/>
    <xf numFmtId="41" fontId="1" fillId="0" borderId="11" xfId="14" applyFont="1" applyFill="1" applyBorder="1" applyAlignment="1" applyProtection="1">
      <alignment horizontal="center" vertical="center"/>
      <protection locked="0"/>
    </xf>
    <xf numFmtId="41" fontId="4" fillId="0" borderId="0" xfId="14" applyFont="1" applyFill="1" applyAlignment="1" applyProtection="1">
      <alignment vertical="center" wrapText="1"/>
      <protection locked="0"/>
    </xf>
    <xf numFmtId="41" fontId="2" fillId="0" borderId="0" xfId="14" applyFont="1" applyFill="1" applyAlignment="1" applyProtection="1">
      <alignment horizontal="center" vertical="center"/>
      <protection locked="0"/>
    </xf>
    <xf numFmtId="0" fontId="51" fillId="0" borderId="0" xfId="0" applyFont="1" applyFill="1" applyAlignment="1" applyProtection="1">
      <alignment vertical="center"/>
      <protection locked="0"/>
    </xf>
    <xf numFmtId="41" fontId="1" fillId="0" borderId="1" xfId="14" applyFont="1" applyFill="1" applyBorder="1" applyAlignment="1" applyProtection="1">
      <alignment vertical="center"/>
      <protection locked="0"/>
    </xf>
    <xf numFmtId="3" fontId="2" fillId="0" borderId="48" xfId="0" applyNumberFormat="1" applyFont="1" applyFill="1" applyBorder="1" applyAlignment="1" applyProtection="1">
      <alignment vertical="center"/>
      <protection locked="0"/>
    </xf>
    <xf numFmtId="3" fontId="2" fillId="5" borderId="48" xfId="0" applyNumberFormat="1" applyFont="1" applyFill="1" applyBorder="1" applyAlignment="1" applyProtection="1">
      <alignment vertical="center"/>
      <protection locked="0"/>
    </xf>
    <xf numFmtId="3" fontId="1" fillId="0" borderId="48" xfId="0" applyNumberFormat="1" applyFont="1" applyFill="1" applyBorder="1" applyAlignment="1" applyProtection="1">
      <alignment horizontal="right" vertical="center"/>
      <protection locked="0"/>
    </xf>
    <xf numFmtId="3" fontId="3" fillId="0" borderId="48" xfId="16" applyNumberFormat="1" applyFont="1" applyFill="1" applyBorder="1" applyAlignment="1" applyProtection="1">
      <alignment vertical="center"/>
      <protection locked="0"/>
    </xf>
    <xf numFmtId="3" fontId="2" fillId="5" borderId="46" xfId="0" applyNumberFormat="1" applyFont="1" applyFill="1" applyBorder="1" applyAlignment="1" applyProtection="1">
      <alignment vertical="center"/>
      <protection locked="0"/>
    </xf>
    <xf numFmtId="0" fontId="21" fillId="18" borderId="79" xfId="0" applyNumberFormat="1" applyFont="1" applyFill="1" applyBorder="1" applyAlignment="1" applyProtection="1">
      <alignment horizontal="left" vertical="center" wrapText="1"/>
    </xf>
    <xf numFmtId="0" fontId="43" fillId="18" borderId="79" xfId="0" applyNumberFormat="1" applyFont="1" applyFill="1" applyBorder="1" applyAlignment="1" applyProtection="1">
      <alignment horizontal="center" vertical="center" wrapText="1"/>
    </xf>
    <xf numFmtId="0" fontId="63" fillId="0" borderId="0" xfId="0" applyFont="1" applyFill="1"/>
    <xf numFmtId="10" fontId="3" fillId="0" borderId="36" xfId="7" applyNumberFormat="1" applyFont="1" applyFill="1" applyBorder="1" applyAlignment="1" applyProtection="1">
      <alignment horizontal="center" vertical="center" wrapText="1"/>
    </xf>
    <xf numFmtId="10" fontId="24" fillId="0" borderId="36" xfId="7" applyNumberFormat="1" applyFont="1" applyFill="1" applyBorder="1" applyAlignment="1" applyProtection="1">
      <alignment horizontal="center" vertical="center" wrapText="1"/>
    </xf>
    <xf numFmtId="3" fontId="4" fillId="2" borderId="49" xfId="0" applyNumberFormat="1" applyFont="1" applyFill="1" applyBorder="1" applyAlignment="1">
      <alignment vertical="center"/>
    </xf>
    <xf numFmtId="0" fontId="3" fillId="0" borderId="0" xfId="0" applyFont="1" applyFill="1" applyAlignment="1">
      <alignment horizontal="center"/>
    </xf>
    <xf numFmtId="3" fontId="1" fillId="0" borderId="0" xfId="0" applyNumberFormat="1" applyFont="1" applyBorder="1" applyAlignment="1">
      <alignment horizontal="center"/>
    </xf>
    <xf numFmtId="41" fontId="1" fillId="0" borderId="0" xfId="14" applyFont="1" applyFill="1" applyAlignment="1">
      <alignment horizontal="center"/>
    </xf>
    <xf numFmtId="0" fontId="1" fillId="0" borderId="0" xfId="0" applyFont="1" applyFill="1" applyAlignment="1">
      <alignment horizontal="center"/>
    </xf>
    <xf numFmtId="3" fontId="2" fillId="5" borderId="73" xfId="0" applyNumberFormat="1" applyFont="1" applyFill="1" applyBorder="1" applyAlignment="1">
      <alignment horizontal="right" vertical="top" wrapText="1"/>
    </xf>
    <xf numFmtId="3" fontId="2" fillId="5" borderId="42" xfId="0" applyNumberFormat="1" applyFont="1" applyFill="1" applyBorder="1"/>
    <xf numFmtId="0" fontId="16" fillId="12" borderId="12" xfId="1" applyFont="1" applyFill="1" applyBorder="1" applyAlignment="1">
      <alignment horizontal="center"/>
    </xf>
    <xf numFmtId="0" fontId="16" fillId="12" borderId="10" xfId="1" applyFont="1" applyFill="1" applyBorder="1" applyAlignment="1">
      <alignment horizontal="center"/>
    </xf>
    <xf numFmtId="0" fontId="16" fillId="12" borderId="40" xfId="1" applyFont="1" applyFill="1" applyBorder="1" applyAlignment="1">
      <alignment horizontal="center"/>
    </xf>
    <xf numFmtId="0" fontId="37" fillId="7" borderId="20" xfId="0" applyFont="1" applyFill="1" applyBorder="1" applyAlignment="1">
      <alignment horizontal="center" vertical="center"/>
    </xf>
    <xf numFmtId="0" fontId="37" fillId="7" borderId="21" xfId="0" applyFont="1" applyFill="1" applyBorder="1" applyAlignment="1">
      <alignment horizontal="center" vertical="center"/>
    </xf>
    <xf numFmtId="0" fontId="37" fillId="7" borderId="22" xfId="0" applyFont="1" applyFill="1" applyBorder="1" applyAlignment="1">
      <alignment horizontal="center" vertical="center"/>
    </xf>
    <xf numFmtId="0" fontId="37" fillId="7" borderId="12" xfId="0" applyFont="1" applyFill="1" applyBorder="1" applyAlignment="1">
      <alignment horizontal="center" vertical="center"/>
    </xf>
    <xf numFmtId="0" fontId="37" fillId="7" borderId="10" xfId="0" applyFont="1" applyFill="1" applyBorder="1" applyAlignment="1">
      <alignment horizontal="center" vertical="center"/>
    </xf>
    <xf numFmtId="0" fontId="37" fillId="7" borderId="40" xfId="0" applyFont="1" applyFill="1" applyBorder="1" applyAlignment="1">
      <alignment horizontal="center" vertical="center"/>
    </xf>
    <xf numFmtId="170" fontId="34" fillId="10" borderId="11" xfId="0" applyNumberFormat="1" applyFont="1" applyFill="1" applyBorder="1" applyAlignment="1">
      <alignment horizontal="center"/>
    </xf>
    <xf numFmtId="170" fontId="34" fillId="10" borderId="0" xfId="0" applyNumberFormat="1" applyFont="1" applyFill="1" applyBorder="1" applyAlignment="1">
      <alignment horizontal="center"/>
    </xf>
    <xf numFmtId="170" fontId="34" fillId="10" borderId="31" xfId="0" applyNumberFormat="1" applyFont="1" applyFill="1" applyBorder="1" applyAlignment="1">
      <alignment horizontal="center"/>
    </xf>
    <xf numFmtId="0" fontId="35" fillId="10" borderId="14" xfId="0" applyFont="1" applyFill="1" applyBorder="1" applyAlignment="1">
      <alignment horizontal="center" vertical="center"/>
    </xf>
    <xf numFmtId="0" fontId="35" fillId="10" borderId="28" xfId="0" applyFont="1" applyFill="1" applyBorder="1" applyAlignment="1">
      <alignment horizontal="center" vertical="center"/>
    </xf>
    <xf numFmtId="0" fontId="35" fillId="10" borderId="11" xfId="0" applyFont="1" applyFill="1" applyBorder="1" applyAlignment="1">
      <alignment horizontal="center" vertical="center"/>
    </xf>
    <xf numFmtId="0" fontId="35" fillId="10" borderId="0" xfId="0" applyFont="1" applyFill="1" applyBorder="1" applyAlignment="1">
      <alignment horizontal="center" vertical="center"/>
    </xf>
    <xf numFmtId="0" fontId="35" fillId="11" borderId="14" xfId="0" applyFont="1" applyFill="1" applyBorder="1" applyAlignment="1">
      <alignment horizontal="center" vertical="center" wrapText="1"/>
    </xf>
    <xf numFmtId="0" fontId="35" fillId="11" borderId="28" xfId="0" applyFont="1" applyFill="1" applyBorder="1" applyAlignment="1">
      <alignment horizontal="center" vertical="center" wrapText="1"/>
    </xf>
    <xf numFmtId="0" fontId="35" fillId="11" borderId="29" xfId="0" applyFont="1" applyFill="1" applyBorder="1" applyAlignment="1">
      <alignment horizontal="center" vertical="center" wrapText="1"/>
    </xf>
    <xf numFmtId="0" fontId="35" fillId="11" borderId="11" xfId="0" applyFont="1" applyFill="1" applyBorder="1" applyAlignment="1">
      <alignment horizontal="center" vertical="center" wrapText="1"/>
    </xf>
    <xf numFmtId="0" fontId="35" fillId="11" borderId="0" xfId="0" applyFont="1" applyFill="1" applyBorder="1" applyAlignment="1">
      <alignment horizontal="center" vertical="center" wrapText="1"/>
    </xf>
    <xf numFmtId="0" fontId="35" fillId="11" borderId="31" xfId="0" applyFont="1" applyFill="1" applyBorder="1" applyAlignment="1">
      <alignment horizontal="center" vertical="center" wrapText="1"/>
    </xf>
    <xf numFmtId="0" fontId="1" fillId="10" borderId="13" xfId="0" applyFont="1" applyFill="1" applyBorder="1" applyAlignment="1">
      <alignment horizontal="center"/>
    </xf>
    <xf numFmtId="0" fontId="1" fillId="10" borderId="25" xfId="0" applyFont="1" applyFill="1" applyBorder="1" applyAlignment="1">
      <alignment horizontal="center"/>
    </xf>
    <xf numFmtId="0" fontId="1" fillId="10" borderId="33" xfId="0" applyFont="1" applyFill="1" applyBorder="1" applyAlignment="1">
      <alignment horizontal="center"/>
    </xf>
    <xf numFmtId="0" fontId="17" fillId="13" borderId="12" xfId="2" applyFont="1" applyFill="1" applyBorder="1" applyAlignment="1">
      <alignment horizontal="center"/>
    </xf>
    <xf numFmtId="0" fontId="17" fillId="13" borderId="10" xfId="2" applyFont="1" applyFill="1" applyBorder="1" applyAlignment="1">
      <alignment horizontal="center"/>
    </xf>
    <xf numFmtId="0" fontId="17" fillId="13" borderId="40" xfId="2" applyFont="1" applyFill="1" applyBorder="1" applyAlignment="1">
      <alignment horizontal="center"/>
    </xf>
    <xf numFmtId="0" fontId="16" fillId="12" borderId="28" xfId="1" applyFont="1" applyFill="1" applyBorder="1" applyAlignment="1">
      <alignment horizontal="center"/>
    </xf>
    <xf numFmtId="0" fontId="16" fillId="12" borderId="29" xfId="1" applyFont="1" applyFill="1" applyBorder="1" applyAlignment="1">
      <alignment horizontal="center"/>
    </xf>
    <xf numFmtId="0" fontId="37" fillId="8" borderId="12" xfId="0" applyFont="1" applyFill="1" applyBorder="1" applyAlignment="1">
      <alignment horizontal="center" vertical="center"/>
    </xf>
    <xf numFmtId="0" fontId="37" fillId="8" borderId="10" xfId="0" applyFont="1" applyFill="1" applyBorder="1" applyAlignment="1">
      <alignment horizontal="center" vertical="center"/>
    </xf>
    <xf numFmtId="0" fontId="37" fillId="8" borderId="40" xfId="0" applyFont="1" applyFill="1" applyBorder="1" applyAlignment="1">
      <alignment horizontal="center" vertical="center"/>
    </xf>
    <xf numFmtId="3" fontId="2" fillId="2" borderId="50" xfId="0" applyNumberFormat="1" applyFont="1" applyFill="1" applyBorder="1" applyAlignment="1">
      <alignment horizontal="center" vertical="top"/>
    </xf>
    <xf numFmtId="3" fontId="2" fillId="2" borderId="55" xfId="0" applyNumberFormat="1" applyFont="1" applyFill="1" applyBorder="1" applyAlignment="1">
      <alignment horizontal="center" vertical="top"/>
    </xf>
    <xf numFmtId="3" fontId="2" fillId="2" borderId="61" xfId="0" applyNumberFormat="1" applyFont="1" applyFill="1" applyBorder="1" applyAlignment="1">
      <alignment horizontal="center" vertical="top"/>
    </xf>
    <xf numFmtId="3" fontId="2" fillId="2" borderId="76" xfId="0" applyNumberFormat="1" applyFont="1" applyFill="1" applyBorder="1" applyAlignment="1">
      <alignment horizontal="center" vertical="top"/>
    </xf>
    <xf numFmtId="3" fontId="2" fillId="2" borderId="56" xfId="0" applyNumberFormat="1" applyFont="1" applyFill="1" applyBorder="1" applyAlignment="1">
      <alignment horizontal="center" vertical="top"/>
    </xf>
    <xf numFmtId="3" fontId="2" fillId="2" borderId="14" xfId="0" applyNumberFormat="1" applyFont="1" applyFill="1" applyBorder="1" applyAlignment="1">
      <alignment horizontal="center" vertical="top"/>
    </xf>
    <xf numFmtId="3" fontId="2" fillId="2" borderId="29" xfId="0" applyNumberFormat="1" applyFont="1" applyFill="1" applyBorder="1" applyAlignment="1">
      <alignment horizontal="center" vertical="top"/>
    </xf>
    <xf numFmtId="0" fontId="16" fillId="12" borderId="11" xfId="1" applyFont="1" applyFill="1" applyBorder="1" applyAlignment="1">
      <alignment horizontal="center" vertical="top"/>
    </xf>
    <xf numFmtId="0" fontId="16" fillId="12" borderId="0" xfId="1" applyFont="1" applyFill="1" applyBorder="1" applyAlignment="1">
      <alignment horizontal="center" vertical="top"/>
    </xf>
    <xf numFmtId="0" fontId="16" fillId="12" borderId="31" xfId="1" applyFont="1" applyFill="1" applyBorder="1" applyAlignment="1">
      <alignment horizontal="center" vertical="top"/>
    </xf>
    <xf numFmtId="0" fontId="16" fillId="12" borderId="12" xfId="1" applyFont="1" applyFill="1" applyBorder="1" applyAlignment="1">
      <alignment horizontal="center" vertical="top"/>
    </xf>
    <xf numFmtId="0" fontId="16" fillId="12" borderId="10" xfId="1" applyFont="1" applyFill="1" applyBorder="1" applyAlignment="1">
      <alignment horizontal="center" vertical="top"/>
    </xf>
    <xf numFmtId="0" fontId="16" fillId="12" borderId="40" xfId="1" applyFont="1" applyFill="1" applyBorder="1" applyAlignment="1">
      <alignment horizontal="center" vertical="top"/>
    </xf>
    <xf numFmtId="3" fontId="2" fillId="2" borderId="46" xfId="0" applyNumberFormat="1" applyFont="1" applyFill="1" applyBorder="1" applyAlignment="1">
      <alignment horizontal="center" vertical="top"/>
    </xf>
    <xf numFmtId="3" fontId="2" fillId="2" borderId="28" xfId="0" applyNumberFormat="1" applyFont="1" applyFill="1" applyBorder="1" applyAlignment="1">
      <alignment horizontal="center" vertical="top"/>
    </xf>
    <xf numFmtId="0" fontId="7" fillId="10" borderId="14" xfId="0" applyFont="1" applyFill="1" applyBorder="1" applyAlignment="1">
      <alignment horizontal="center" vertical="center"/>
    </xf>
    <xf numFmtId="0" fontId="7" fillId="10" borderId="28" xfId="0" applyFont="1" applyFill="1" applyBorder="1" applyAlignment="1">
      <alignment horizontal="center" vertical="center"/>
    </xf>
    <xf numFmtId="0" fontId="7" fillId="10" borderId="29" xfId="0" applyFont="1" applyFill="1" applyBorder="1" applyAlignment="1">
      <alignment horizontal="center" vertical="center"/>
    </xf>
    <xf numFmtId="0" fontId="7" fillId="10" borderId="11" xfId="0" applyFont="1" applyFill="1" applyBorder="1" applyAlignment="1">
      <alignment horizontal="center" vertical="center"/>
    </xf>
    <xf numFmtId="0" fontId="7" fillId="10" borderId="0" xfId="0" applyFont="1" applyFill="1" applyBorder="1" applyAlignment="1">
      <alignment horizontal="center" vertical="center"/>
    </xf>
    <xf numFmtId="0" fontId="7" fillId="10" borderId="31" xfId="0" applyFont="1" applyFill="1" applyBorder="1" applyAlignment="1">
      <alignment horizontal="center" vertical="center"/>
    </xf>
    <xf numFmtId="0" fontId="7" fillId="10" borderId="13" xfId="0" applyFont="1" applyFill="1" applyBorder="1" applyAlignment="1">
      <alignment horizontal="center" vertical="center"/>
    </xf>
    <xf numFmtId="0" fontId="7" fillId="10" borderId="25" xfId="0" applyFont="1" applyFill="1" applyBorder="1" applyAlignment="1">
      <alignment horizontal="center" vertical="center"/>
    </xf>
    <xf numFmtId="0" fontId="7" fillId="10" borderId="33" xfId="0" applyFont="1" applyFill="1" applyBorder="1" applyAlignment="1">
      <alignment horizontal="center" vertical="center"/>
    </xf>
    <xf numFmtId="0" fontId="5" fillId="8" borderId="12" xfId="0" applyFont="1" applyFill="1" applyBorder="1" applyAlignment="1">
      <alignment horizontal="center" vertical="top"/>
    </xf>
    <xf numFmtId="0" fontId="5" fillId="8" borderId="10" xfId="0" applyFont="1" applyFill="1" applyBorder="1" applyAlignment="1">
      <alignment horizontal="center" vertical="top"/>
    </xf>
    <xf numFmtId="0" fontId="5" fillId="7" borderId="67" xfId="0" applyFont="1" applyFill="1" applyBorder="1" applyAlignment="1">
      <alignment horizontal="center" vertical="top"/>
    </xf>
    <xf numFmtId="0" fontId="5" fillId="7" borderId="62" xfId="0" applyFont="1" applyFill="1" applyBorder="1" applyAlignment="1">
      <alignment horizontal="center" vertical="top"/>
    </xf>
    <xf numFmtId="0" fontId="5" fillId="7" borderId="68" xfId="0" applyFont="1" applyFill="1" applyBorder="1" applyAlignment="1">
      <alignment horizontal="center" vertical="top"/>
    </xf>
    <xf numFmtId="3" fontId="2" fillId="2" borderId="8" xfId="0" applyNumberFormat="1" applyFont="1" applyFill="1" applyBorder="1" applyAlignment="1">
      <alignment horizontal="center" vertical="top"/>
    </xf>
    <xf numFmtId="3" fontId="2" fillId="2" borderId="39" xfId="0" applyNumberFormat="1" applyFont="1" applyFill="1" applyBorder="1" applyAlignment="1">
      <alignment horizontal="center" vertical="top"/>
    </xf>
    <xf numFmtId="3" fontId="5" fillId="9" borderId="7" xfId="0" applyNumberFormat="1" applyFont="1" applyFill="1" applyBorder="1" applyAlignment="1">
      <alignment horizontal="center" vertical="top"/>
    </xf>
    <xf numFmtId="3" fontId="5" fillId="9" borderId="37" xfId="0" applyNumberFormat="1" applyFont="1" applyFill="1" applyBorder="1" applyAlignment="1">
      <alignment horizontal="center" vertical="top"/>
    </xf>
    <xf numFmtId="3" fontId="2" fillId="2" borderId="17" xfId="0" applyNumberFormat="1" applyFont="1" applyFill="1" applyBorder="1" applyAlignment="1">
      <alignment horizontal="center" vertical="top"/>
    </xf>
    <xf numFmtId="3" fontId="2" fillId="2" borderId="45" xfId="0" applyNumberFormat="1" applyFont="1" applyFill="1" applyBorder="1" applyAlignment="1">
      <alignment horizontal="center" vertical="top"/>
    </xf>
    <xf numFmtId="3" fontId="2" fillId="2" borderId="60" xfId="0" applyNumberFormat="1" applyFont="1" applyFill="1" applyBorder="1" applyAlignment="1">
      <alignment horizontal="center" vertical="top"/>
    </xf>
    <xf numFmtId="3" fontId="2" fillId="2" borderId="70" xfId="0" applyNumberFormat="1" applyFont="1" applyFill="1" applyBorder="1" applyAlignment="1">
      <alignment horizontal="center" vertical="top"/>
    </xf>
    <xf numFmtId="3" fontId="5" fillId="9" borderId="61" xfId="0" applyNumberFormat="1" applyFont="1" applyFill="1" applyBorder="1" applyAlignment="1">
      <alignment horizontal="center" vertical="top"/>
    </xf>
    <xf numFmtId="3" fontId="5" fillId="9" borderId="56" xfId="0" applyNumberFormat="1" applyFont="1" applyFill="1" applyBorder="1" applyAlignment="1">
      <alignment horizontal="center" vertical="top"/>
    </xf>
    <xf numFmtId="3" fontId="2" fillId="2" borderId="78" xfId="0" applyNumberFormat="1" applyFont="1" applyFill="1" applyBorder="1" applyAlignment="1">
      <alignment horizontal="center" vertical="top"/>
    </xf>
    <xf numFmtId="3" fontId="2" fillId="2" borderId="72" xfId="0" applyNumberFormat="1" applyFont="1" applyFill="1" applyBorder="1" applyAlignment="1">
      <alignment horizontal="center" vertical="top"/>
    </xf>
    <xf numFmtId="0" fontId="26" fillId="0" borderId="0" xfId="0" applyFont="1" applyAlignment="1">
      <alignment horizontal="center"/>
    </xf>
    <xf numFmtId="41" fontId="26" fillId="0" borderId="0" xfId="14" applyFont="1" applyAlignment="1">
      <alignment horizontal="center"/>
    </xf>
    <xf numFmtId="0" fontId="26" fillId="0" borderId="0" xfId="0" applyFont="1" applyAlignment="1">
      <alignment horizontal="center" wrapText="1"/>
    </xf>
    <xf numFmtId="17" fontId="26" fillId="0" borderId="0" xfId="0" applyNumberFormat="1" applyFont="1" applyAlignment="1">
      <alignment horizontal="center"/>
    </xf>
    <xf numFmtId="0" fontId="21" fillId="0" borderId="0" xfId="0" applyFont="1" applyAlignment="1">
      <alignment horizontal="center"/>
    </xf>
    <xf numFmtId="0" fontId="26" fillId="0" borderId="64" xfId="0" applyFont="1" applyBorder="1" applyAlignment="1">
      <alignment horizontal="center"/>
    </xf>
    <xf numFmtId="0" fontId="59" fillId="0" borderId="0" xfId="0" applyFont="1" applyAlignment="1">
      <alignment horizontal="center"/>
    </xf>
    <xf numFmtId="0" fontId="59" fillId="0" borderId="0" xfId="0" applyFont="1" applyAlignment="1">
      <alignment horizontal="left"/>
    </xf>
    <xf numFmtId="3" fontId="37" fillId="2" borderId="12" xfId="0" applyNumberFormat="1" applyFont="1" applyFill="1" applyBorder="1" applyAlignment="1" applyProtection="1">
      <alignment horizontal="center"/>
      <protection locked="0"/>
    </xf>
    <xf numFmtId="3" fontId="37" fillId="2" borderId="10" xfId="0" applyNumberFormat="1" applyFont="1" applyFill="1" applyBorder="1" applyAlignment="1" applyProtection="1">
      <alignment horizontal="center"/>
      <protection locked="0"/>
    </xf>
    <xf numFmtId="0" fontId="5" fillId="14" borderId="12" xfId="0" applyFont="1" applyFill="1" applyBorder="1" applyAlignment="1" applyProtection="1">
      <alignment horizontal="center"/>
    </xf>
    <xf numFmtId="0" fontId="5" fillId="14" borderId="10" xfId="0" applyFont="1" applyFill="1" applyBorder="1" applyAlignment="1" applyProtection="1">
      <alignment horizontal="center"/>
    </xf>
    <xf numFmtId="3" fontId="2" fillId="2" borderId="12" xfId="0" applyNumberFormat="1" applyFont="1" applyFill="1" applyBorder="1" applyAlignment="1" applyProtection="1">
      <alignment horizontal="center"/>
      <protection locked="0"/>
    </xf>
    <xf numFmtId="3" fontId="2" fillId="2" borderId="10" xfId="0" applyNumberFormat="1" applyFont="1" applyFill="1" applyBorder="1" applyAlignment="1" applyProtection="1">
      <alignment horizontal="center"/>
      <protection locked="0"/>
    </xf>
    <xf numFmtId="0" fontId="5" fillId="14" borderId="40" xfId="0" applyFont="1" applyFill="1" applyBorder="1" applyAlignment="1" applyProtection="1">
      <alignment horizontal="center"/>
    </xf>
    <xf numFmtId="3" fontId="2" fillId="2" borderId="40" xfId="0" applyNumberFormat="1" applyFont="1" applyFill="1" applyBorder="1" applyAlignment="1" applyProtection="1">
      <alignment horizontal="center"/>
      <protection locked="0"/>
    </xf>
    <xf numFmtId="3" fontId="2" fillId="2" borderId="20" xfId="0" applyNumberFormat="1" applyFont="1" applyFill="1" applyBorder="1" applyAlignment="1" applyProtection="1">
      <alignment horizontal="center" vertical="center"/>
      <protection locked="0"/>
    </xf>
    <xf numFmtId="3" fontId="2" fillId="2" borderId="24" xfId="0" applyNumberFormat="1" applyFont="1" applyFill="1" applyBorder="1" applyAlignment="1" applyProtection="1">
      <alignment horizontal="center" vertical="center"/>
      <protection locked="0"/>
    </xf>
    <xf numFmtId="0" fontId="5" fillId="14" borderId="67" xfId="0" applyFont="1" applyFill="1" applyBorder="1" applyAlignment="1" applyProtection="1">
      <alignment horizontal="center"/>
    </xf>
    <xf numFmtId="0" fontId="5" fillId="14" borderId="75" xfId="0" applyFont="1" applyFill="1" applyBorder="1" applyAlignment="1" applyProtection="1">
      <alignment horizontal="center"/>
    </xf>
    <xf numFmtId="3" fontId="16" fillId="12" borderId="13" xfId="1" applyNumberFormat="1" applyFont="1" applyFill="1" applyBorder="1" applyAlignment="1">
      <alignment horizontal="center"/>
    </xf>
    <xf numFmtId="3" fontId="16" fillId="12" borderId="25" xfId="1" applyNumberFormat="1" applyFont="1" applyFill="1" applyBorder="1" applyAlignment="1">
      <alignment horizontal="center"/>
    </xf>
    <xf numFmtId="3" fontId="2" fillId="2" borderId="14" xfId="0" applyNumberFormat="1" applyFont="1" applyFill="1" applyBorder="1" applyAlignment="1" applyProtection="1">
      <alignment horizontal="center"/>
      <protection locked="0"/>
    </xf>
    <xf numFmtId="3" fontId="2" fillId="2" borderId="29" xfId="0" applyNumberFormat="1" applyFont="1" applyFill="1" applyBorder="1" applyAlignment="1" applyProtection="1">
      <alignment horizontal="center"/>
      <protection locked="0"/>
    </xf>
    <xf numFmtId="0" fontId="7" fillId="0" borderId="14" xfId="0" applyFont="1" applyFill="1" applyBorder="1" applyAlignment="1" applyProtection="1">
      <alignment horizontal="center" vertical="center" wrapText="1"/>
    </xf>
    <xf numFmtId="0" fontId="7" fillId="0" borderId="28"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7" borderId="12" xfId="0" applyFont="1" applyFill="1" applyBorder="1" applyAlignment="1" applyProtection="1">
      <alignment horizontal="center"/>
    </xf>
    <xf numFmtId="0" fontId="5" fillId="7" borderId="10" xfId="0" applyFont="1" applyFill="1" applyBorder="1" applyAlignment="1" applyProtection="1">
      <alignment horizontal="center"/>
    </xf>
    <xf numFmtId="0" fontId="5" fillId="7" borderId="40" xfId="0" applyFont="1" applyFill="1" applyBorder="1" applyAlignment="1" applyProtection="1">
      <alignment horizontal="center"/>
    </xf>
    <xf numFmtId="3" fontId="5" fillId="8" borderId="12" xfId="0" applyNumberFormat="1" applyFont="1" applyFill="1" applyBorder="1" applyAlignment="1" applyProtection="1">
      <alignment horizontal="center"/>
    </xf>
    <xf numFmtId="3" fontId="5" fillId="8" borderId="10" xfId="0" applyNumberFormat="1" applyFont="1" applyFill="1" applyBorder="1" applyAlignment="1" applyProtection="1">
      <alignment horizontal="center"/>
    </xf>
    <xf numFmtId="0" fontId="5" fillId="8" borderId="10" xfId="0" applyFont="1" applyFill="1" applyBorder="1" applyAlignment="1" applyProtection="1">
      <alignment horizontal="center"/>
    </xf>
    <xf numFmtId="0" fontId="5" fillId="8" borderId="40" xfId="0" applyFont="1" applyFill="1" applyBorder="1" applyAlignment="1" applyProtection="1">
      <alignment horizontal="center"/>
    </xf>
    <xf numFmtId="3" fontId="2" fillId="2" borderId="28" xfId="0" applyNumberFormat="1" applyFont="1" applyFill="1" applyBorder="1" applyAlignment="1" applyProtection="1">
      <alignment horizontal="center"/>
      <protection locked="0"/>
    </xf>
    <xf numFmtId="0" fontId="11" fillId="0" borderId="0" xfId="0" applyFont="1" applyAlignment="1">
      <alignment horizontal="center"/>
    </xf>
    <xf numFmtId="0" fontId="54" fillId="0" borderId="0" xfId="0" applyFont="1" applyAlignment="1">
      <alignment horizontal="center"/>
    </xf>
    <xf numFmtId="0" fontId="54" fillId="0" borderId="64" xfId="0" applyFont="1" applyBorder="1" applyAlignment="1">
      <alignment horizontal="center"/>
    </xf>
    <xf numFmtId="17" fontId="0" fillId="0" borderId="64" xfId="0" applyNumberFormat="1" applyBorder="1" applyAlignment="1">
      <alignment horizontal="center"/>
    </xf>
    <xf numFmtId="0" fontId="0" fillId="0" borderId="64" xfId="0" applyBorder="1" applyAlignment="1">
      <alignment horizontal="center"/>
    </xf>
    <xf numFmtId="0" fontId="0" fillId="0" borderId="0" xfId="0" applyAlignment="1">
      <alignment horizontal="center"/>
    </xf>
    <xf numFmtId="0" fontId="58" fillId="0" borderId="64" xfId="0" applyFont="1" applyBorder="1" applyAlignment="1">
      <alignment horizontal="center"/>
    </xf>
    <xf numFmtId="0" fontId="11" fillId="0" borderId="64" xfId="0" applyFont="1" applyBorder="1" applyAlignment="1">
      <alignment horizontal="center"/>
    </xf>
    <xf numFmtId="17" fontId="0" fillId="0" borderId="0" xfId="0" applyNumberFormat="1" applyAlignment="1">
      <alignment horizontal="center"/>
    </xf>
    <xf numFmtId="0" fontId="11" fillId="0" borderId="12" xfId="0" applyFont="1" applyBorder="1" applyAlignment="1">
      <alignment horizontal="center"/>
    </xf>
    <xf numFmtId="0" fontId="11" fillId="0" borderId="10" xfId="0" applyFont="1" applyBorder="1" applyAlignment="1">
      <alignment horizontal="center"/>
    </xf>
    <xf numFmtId="0" fontId="11" fillId="0" borderId="40" xfId="0" applyFont="1" applyBorder="1" applyAlignment="1">
      <alignment horizontal="center"/>
    </xf>
    <xf numFmtId="0" fontId="16" fillId="12" borderId="13" xfId="1" applyFont="1" applyFill="1" applyBorder="1" applyAlignment="1">
      <alignment horizontal="center"/>
    </xf>
    <xf numFmtId="0" fontId="16" fillId="12" borderId="25" xfId="1" applyFont="1" applyFill="1" applyBorder="1" applyAlignment="1">
      <alignment horizontal="center"/>
    </xf>
    <xf numFmtId="0" fontId="7" fillId="0" borderId="13"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5" fillId="8" borderId="12" xfId="0" applyFont="1" applyFill="1" applyBorder="1" applyAlignment="1" applyProtection="1">
      <alignment horizontal="center"/>
    </xf>
    <xf numFmtId="0" fontId="5" fillId="14" borderId="28" xfId="0" applyFont="1" applyFill="1" applyBorder="1" applyAlignment="1" applyProtection="1">
      <alignment horizontal="center"/>
    </xf>
    <xf numFmtId="3" fontId="4" fillId="2" borderId="14" xfId="0" applyNumberFormat="1" applyFont="1" applyFill="1" applyBorder="1" applyAlignment="1" applyProtection="1">
      <alignment horizontal="center"/>
      <protection locked="0"/>
    </xf>
    <xf numFmtId="3" fontId="4" fillId="2" borderId="29" xfId="0" applyNumberFormat="1" applyFont="1" applyFill="1" applyBorder="1" applyAlignment="1" applyProtection="1">
      <alignment horizontal="center"/>
      <protection locked="0"/>
    </xf>
    <xf numFmtId="3" fontId="4" fillId="2" borderId="12" xfId="0" applyNumberFormat="1" applyFont="1" applyFill="1" applyBorder="1" applyAlignment="1" applyProtection="1">
      <alignment horizontal="center"/>
      <protection locked="0"/>
    </xf>
    <xf numFmtId="3" fontId="4" fillId="2" borderId="40" xfId="0" applyNumberFormat="1" applyFont="1" applyFill="1" applyBorder="1" applyAlignment="1" applyProtection="1">
      <alignment horizontal="center"/>
      <protection locked="0"/>
    </xf>
    <xf numFmtId="3" fontId="4" fillId="2" borderId="10" xfId="0" applyNumberFormat="1" applyFont="1" applyFill="1" applyBorder="1" applyAlignment="1" applyProtection="1">
      <alignment horizontal="center"/>
      <protection locked="0"/>
    </xf>
    <xf numFmtId="3" fontId="4" fillId="2" borderId="20" xfId="0" applyNumberFormat="1" applyFont="1" applyFill="1" applyBorder="1" applyAlignment="1" applyProtection="1">
      <alignment horizontal="center"/>
      <protection locked="0"/>
    </xf>
    <xf numFmtId="3" fontId="4" fillId="2" borderId="22" xfId="0" applyNumberFormat="1" applyFont="1" applyFill="1" applyBorder="1" applyAlignment="1" applyProtection="1">
      <alignment horizontal="center"/>
      <protection locked="0"/>
    </xf>
    <xf numFmtId="0" fontId="10" fillId="15" borderId="12" xfId="2" applyFont="1" applyFill="1" applyBorder="1" applyAlignment="1">
      <alignment horizontal="center"/>
    </xf>
    <xf numFmtId="0" fontId="10" fillId="15" borderId="10" xfId="2" applyFont="1" applyFill="1" applyBorder="1" applyAlignment="1">
      <alignment horizontal="center"/>
    </xf>
    <xf numFmtId="0" fontId="10" fillId="15" borderId="40" xfId="2" applyFont="1" applyFill="1" applyBorder="1" applyAlignment="1">
      <alignment horizontal="center"/>
    </xf>
    <xf numFmtId="168" fontId="2" fillId="0" borderId="50" xfId="0" applyNumberFormat="1" applyFont="1" applyBorder="1" applyAlignment="1" applyProtection="1">
      <alignment horizontal="right"/>
      <protection locked="0"/>
    </xf>
    <xf numFmtId="168" fontId="2" fillId="0" borderId="55" xfId="0" applyNumberFormat="1" applyFont="1" applyBorder="1" applyAlignment="1" applyProtection="1">
      <alignment horizontal="right"/>
      <protection locked="0"/>
    </xf>
    <xf numFmtId="168" fontId="33" fillId="16" borderId="67" xfId="0" applyNumberFormat="1" applyFont="1" applyFill="1" applyBorder="1" applyAlignment="1" applyProtection="1">
      <alignment horizontal="center"/>
      <protection locked="0"/>
    </xf>
    <xf numFmtId="168" fontId="33" fillId="16" borderId="62" xfId="0" applyNumberFormat="1" applyFont="1" applyFill="1" applyBorder="1" applyAlignment="1" applyProtection="1">
      <alignment horizontal="center"/>
      <protection locked="0"/>
    </xf>
    <xf numFmtId="168" fontId="33" fillId="16" borderId="68" xfId="0" applyNumberFormat="1" applyFont="1" applyFill="1" applyBorder="1" applyAlignment="1" applyProtection="1">
      <alignment horizontal="center"/>
      <protection locked="0"/>
    </xf>
    <xf numFmtId="0" fontId="10" fillId="16" borderId="12" xfId="1" applyFont="1" applyFill="1" applyBorder="1" applyAlignment="1">
      <alignment horizontal="center" vertical="center"/>
    </xf>
    <xf numFmtId="0" fontId="10" fillId="16" borderId="40" xfId="1" applyFont="1" applyFill="1" applyBorder="1" applyAlignment="1">
      <alignment horizontal="center" vertical="center"/>
    </xf>
    <xf numFmtId="0" fontId="1" fillId="0" borderId="0" xfId="0" applyFont="1" applyFill="1" applyBorder="1" applyAlignment="1">
      <alignment horizontal="center"/>
    </xf>
    <xf numFmtId="168" fontId="2" fillId="0" borderId="13" xfId="0" applyNumberFormat="1" applyFont="1" applyBorder="1" applyAlignment="1" applyProtection="1">
      <alignment horizontal="right"/>
      <protection locked="0"/>
    </xf>
    <xf numFmtId="168" fontId="2" fillId="0" borderId="77" xfId="0" applyNumberFormat="1" applyFont="1" applyBorder="1" applyAlignment="1" applyProtection="1">
      <alignment horizontal="right"/>
      <protection locked="0"/>
    </xf>
    <xf numFmtId="168" fontId="2" fillId="0" borderId="11" xfId="0" applyNumberFormat="1" applyFont="1" applyBorder="1" applyAlignment="1" applyProtection="1">
      <alignment horizontal="right"/>
      <protection locked="0"/>
    </xf>
    <xf numFmtId="168" fontId="2" fillId="0" borderId="4" xfId="0" applyNumberFormat="1" applyFont="1" applyBorder="1" applyAlignment="1" applyProtection="1">
      <alignment horizontal="right"/>
      <protection locked="0"/>
    </xf>
    <xf numFmtId="0" fontId="48" fillId="0" borderId="0" xfId="0" applyFont="1" applyAlignment="1">
      <alignment horizontal="center"/>
    </xf>
    <xf numFmtId="17" fontId="48" fillId="0" borderId="0" xfId="0" applyNumberFormat="1" applyFont="1" applyAlignment="1">
      <alignment horizontal="center"/>
    </xf>
    <xf numFmtId="0" fontId="49" fillId="0" borderId="0" xfId="0" applyFont="1" applyAlignment="1">
      <alignment horizontal="center"/>
    </xf>
    <xf numFmtId="41" fontId="48" fillId="0" borderId="0" xfId="14" applyFont="1" applyAlignment="1">
      <alignment horizontal="center" wrapText="1"/>
    </xf>
    <xf numFmtId="0" fontId="61" fillId="0" borderId="64" xfId="0" applyFont="1" applyBorder="1" applyAlignment="1">
      <alignment horizontal="center"/>
    </xf>
    <xf numFmtId="0" fontId="61" fillId="0" borderId="0" xfId="0" applyFont="1" applyAlignment="1">
      <alignment horizontal="center"/>
    </xf>
    <xf numFmtId="17" fontId="61" fillId="0" borderId="64" xfId="0" applyNumberFormat="1" applyFont="1" applyBorder="1" applyAlignment="1">
      <alignment horizontal="center"/>
    </xf>
    <xf numFmtId="0" fontId="61" fillId="0" borderId="0" xfId="0" applyFont="1" applyAlignment="1">
      <alignment horizontal="left"/>
    </xf>
    <xf numFmtId="3" fontId="2" fillId="2" borderId="12" xfId="0" applyNumberFormat="1" applyFont="1" applyFill="1" applyBorder="1" applyAlignment="1">
      <alignment horizontal="center"/>
    </xf>
    <xf numFmtId="3" fontId="2" fillId="2" borderId="40" xfId="0" applyNumberFormat="1" applyFont="1" applyFill="1" applyBorder="1" applyAlignment="1">
      <alignment horizontal="center"/>
    </xf>
    <xf numFmtId="3" fontId="2" fillId="2" borderId="43" xfId="0" applyNumberFormat="1" applyFont="1" applyFill="1" applyBorder="1" applyAlignment="1">
      <alignment horizontal="center"/>
    </xf>
    <xf numFmtId="3" fontId="2" fillId="2" borderId="47" xfId="0" applyNumberFormat="1" applyFont="1" applyFill="1" applyBorder="1" applyAlignment="1">
      <alignment horizontal="center"/>
    </xf>
    <xf numFmtId="3" fontId="2" fillId="2" borderId="20" xfId="0" applyNumberFormat="1" applyFont="1" applyFill="1" applyBorder="1" applyAlignment="1">
      <alignment horizontal="center"/>
    </xf>
    <xf numFmtId="3" fontId="2" fillId="2" borderId="24" xfId="0" applyNumberFormat="1" applyFont="1" applyFill="1" applyBorder="1" applyAlignment="1">
      <alignment horizontal="center"/>
    </xf>
    <xf numFmtId="3" fontId="2" fillId="2" borderId="10" xfId="0" applyNumberFormat="1" applyFont="1" applyFill="1" applyBorder="1" applyAlignment="1">
      <alignment horizontal="center"/>
    </xf>
    <xf numFmtId="3" fontId="2" fillId="2" borderId="22" xfId="0" applyNumberFormat="1" applyFont="1" applyFill="1" applyBorder="1" applyAlignment="1">
      <alignment horizontal="center"/>
    </xf>
    <xf numFmtId="0" fontId="16" fillId="12" borderId="14" xfId="1" applyFont="1" applyFill="1" applyBorder="1" applyAlignment="1">
      <alignment horizontal="center"/>
    </xf>
    <xf numFmtId="0" fontId="5" fillId="8" borderId="12" xfId="0" applyFont="1" applyFill="1" applyBorder="1" applyAlignment="1">
      <alignment horizontal="center"/>
    </xf>
    <xf numFmtId="0" fontId="5" fillId="8" borderId="10" xfId="0" applyFont="1" applyFill="1" applyBorder="1" applyAlignment="1">
      <alignment horizontal="center"/>
    </xf>
    <xf numFmtId="170" fontId="1" fillId="0" borderId="11" xfId="0" applyNumberFormat="1" applyFont="1" applyBorder="1" applyAlignment="1">
      <alignment horizontal="center"/>
    </xf>
    <xf numFmtId="170" fontId="1" fillId="0" borderId="0" xfId="0" applyNumberFormat="1" applyFont="1" applyBorder="1" applyAlignment="1">
      <alignment horizontal="center"/>
    </xf>
    <xf numFmtId="0" fontId="7" fillId="0" borderId="14" xfId="0" applyFont="1" applyFill="1" applyBorder="1" applyAlignment="1">
      <alignment horizontal="center" vertical="center"/>
    </xf>
    <xf numFmtId="0" fontId="7" fillId="0" borderId="28" xfId="0" applyFont="1" applyFill="1" applyBorder="1" applyAlignment="1">
      <alignment horizontal="center" vertical="center"/>
    </xf>
    <xf numFmtId="0" fontId="7" fillId="0" borderId="29"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0" xfId="0" applyFont="1" applyFill="1" applyBorder="1" applyAlignment="1">
      <alignment horizontal="center" vertical="center"/>
    </xf>
    <xf numFmtId="0" fontId="5" fillId="7" borderId="12" xfId="0" applyFont="1" applyFill="1" applyBorder="1" applyAlignment="1">
      <alignment horizontal="center"/>
    </xf>
    <xf numFmtId="0" fontId="5" fillId="7" borderId="10" xfId="0" applyFont="1" applyFill="1" applyBorder="1" applyAlignment="1">
      <alignment horizontal="center"/>
    </xf>
    <xf numFmtId="0" fontId="5" fillId="7" borderId="40" xfId="0" applyFont="1" applyFill="1" applyBorder="1" applyAlignment="1">
      <alignment horizontal="center"/>
    </xf>
    <xf numFmtId="17" fontId="54" fillId="0" borderId="0" xfId="0" applyNumberFormat="1" applyFont="1" applyAlignment="1">
      <alignment horizontal="center"/>
    </xf>
  </cellXfs>
  <cellStyles count="17">
    <cellStyle name="Buena" xfId="15" builtinId="26"/>
    <cellStyle name="Énfasis1" xfId="1" builtinId="29"/>
    <cellStyle name="Énfasis2" xfId="2" builtinId="33"/>
    <cellStyle name="Incorrecto" xfId="16" builtinId="27"/>
    <cellStyle name="Millares" xfId="8" builtinId="3"/>
    <cellStyle name="Millares [0]" xfId="14" builtinId="6"/>
    <cellStyle name="Millares 2" xfId="3"/>
    <cellStyle name="Millares 2 2" xfId="9"/>
    <cellStyle name="Millares 3" xfId="4"/>
    <cellStyle name="Millares 3 2" xfId="10"/>
    <cellStyle name="Millares 4" xfId="13"/>
    <cellStyle name="Moneda 2" xfId="11"/>
    <cellStyle name="Normal" xfId="0" builtinId="0"/>
    <cellStyle name="Normal 2" xfId="5"/>
    <cellStyle name="Normal 2 2" xfId="12"/>
    <cellStyle name="Normal 3" xfId="6"/>
    <cellStyle name="Porcentaje" xfId="7" builtinId="5"/>
  </cellStyles>
  <dxfs count="128">
    <dxf>
      <numFmt numFmtId="13" formatCode="0%"/>
    </dxf>
    <dxf>
      <numFmt numFmtId="33" formatCode="_ * #,##0_ ;_ * \-#,##0_ ;_ * &quot;-&quot;_ ;_ @_ "/>
    </dxf>
    <dxf>
      <numFmt numFmtId="33" formatCode="_ * #,##0_ ;_ * \-#,##0_ ;_ * &quot;-&quot;_ ;_ @_ "/>
    </dxf>
    <dxf>
      <numFmt numFmtId="13" formatCode="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33" formatCode="_ * #,##0_ ;_ * \-#,##0_ ;_ * &quot;-&quot;_ ;_ @_ "/>
    </dxf>
    <dxf>
      <numFmt numFmtId="33" formatCode="_ * #,##0_ ;_ * \-#,##0_ ;_ * &quot;-&quot;_ ;_ @_ "/>
    </dxf>
    <dxf>
      <numFmt numFmtId="13" formatCode="0%"/>
    </dxf>
    <dxf>
      <numFmt numFmtId="13" formatCode="0%"/>
    </dxf>
  </dxfs>
  <tableStyles count="0" defaultTableStyle="TableStyleMedium9" defaultPivotStyle="PivotStyleLight16"/>
  <colors>
    <mruColors>
      <color rgb="FFE1C1D6"/>
      <color rgb="FFEB3C46"/>
      <color rgb="FF75DFDD"/>
      <color rgb="FFFCE010"/>
      <color rgb="FFFFCC66"/>
      <color rgb="FFFFFF99"/>
      <color rgb="FF009A46"/>
      <color rgb="FFFFCC99"/>
      <color rgb="FF0F6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 de septiembre 2023.xlsx]GRAFICOS!TablaDinámica23</c:name>
    <c:fmtId val="0"/>
  </c:pivotSource>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SITUACIóN PRESUPUESTARIA al MES DE SEPTIEMBRE</a:t>
            </a:r>
            <a:r>
              <a:rPr lang="en-US" baseline="0"/>
              <a:t> de 2023</a:t>
            </a:r>
            <a:endParaRPr lang="es-CL"/>
          </a:p>
          <a:p>
            <a:pPr>
              <a:defRPr/>
            </a:pPr>
            <a:r>
              <a:rPr lang="en-US"/>
              <a:t>PROGRAMA P01 SUBSECRETARíA DE DESARROLLO REGIONAL Y ADMINISTRATIVO</a:t>
            </a:r>
          </a:p>
        </c:rich>
      </c:tx>
      <c:layout>
        <c:manualLayout>
          <c:xMode val="edge"/>
          <c:yMode val="edge"/>
          <c:x val="0.3260128452872324"/>
          <c:y val="6.3805161431747914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s-CL"/>
        </a:p>
      </c:txPr>
    </c:title>
    <c:autoTitleDeleted val="0"/>
    <c:pivotFmts>
      <c:pivotFmt>
        <c:idx val="0"/>
      </c:pivotFmt>
      <c:pivotFmt>
        <c:idx val="1"/>
        <c:dLbl>
          <c:idx val="0"/>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2"/>
      </c:pivotFmt>
      <c:pivotFmt>
        <c:idx val="3"/>
      </c:pivotFmt>
      <c:pivotFmt>
        <c:idx val="4"/>
      </c:pivotFmt>
      <c:pivotFmt>
        <c:idx val="5"/>
        <c:spPr>
          <a:solidFill>
            <a:schemeClr val="accent1"/>
          </a:solidFill>
          <a:ln>
            <a:noFill/>
          </a:ln>
          <a:effectLst/>
          <a:scene3d>
            <a:camera prst="orthographicFront"/>
            <a:lightRig rig="brightRoom" dir="t"/>
          </a:scene3d>
          <a:sp3d prstMaterial="flat">
            <a:bevelT w="50800" h="101600" prst="angle"/>
            <a:contourClr>
              <a:srgbClr val="000000"/>
            </a:contourClr>
          </a:sp3d>
        </c:spPr>
        <c:marker>
          <c:spPr>
            <a:solidFill>
              <a:schemeClr val="accent1"/>
            </a:solidFill>
            <a:ln w="9525">
              <a:solidFill>
                <a:schemeClr val="lt1"/>
              </a:solidFill>
            </a:ln>
            <a:effectLst/>
          </c:spPr>
        </c:marker>
        <c:dLbl>
          <c:idx val="0"/>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6"/>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7"/>
        <c:spPr>
          <a:solidFill>
            <a:srgbClr val="00B050"/>
          </a:solidFill>
          <a:ln>
            <a:noFill/>
          </a:ln>
          <a:effectLst/>
          <a:scene3d>
            <a:camera prst="orthographicFront"/>
            <a:lightRig rig="brightRoom" dir="t"/>
          </a:scene3d>
          <a:sp3d prstMaterial="flat">
            <a:bevelT w="50800" h="101600" prst="angle"/>
            <a:contourClr>
              <a:srgbClr val="000000"/>
            </a:contourClr>
          </a:sp3d>
        </c:spPr>
      </c:pivotFmt>
      <c:pivotFmt>
        <c:idx val="8"/>
        <c:spPr>
          <a:solidFill>
            <a:srgbClr val="FFCC66"/>
          </a:solidFill>
          <a:ln>
            <a:noFill/>
          </a:ln>
          <a:effectLst/>
          <a:scene3d>
            <a:camera prst="orthographicFront"/>
            <a:lightRig rig="brightRoom" dir="t"/>
          </a:scene3d>
          <a:sp3d prstMaterial="flat">
            <a:bevelT w="50800" h="101600" prst="angle"/>
            <a:contourClr>
              <a:srgbClr val="000000"/>
            </a:contourClr>
          </a:sp3d>
        </c:spPr>
      </c:pivotFmt>
      <c:pivotFmt>
        <c:idx val="9"/>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0"/>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11"/>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12"/>
        <c:spPr>
          <a:solidFill>
            <a:srgbClr val="FFCC66"/>
          </a:solidFill>
          <a:ln>
            <a:noFill/>
          </a:ln>
          <a:effectLst/>
          <a:scene3d>
            <a:camera prst="orthographicFront"/>
            <a:lightRig rig="brightRoom" dir="t"/>
          </a:scene3d>
          <a:sp3d prstMaterial="flat">
            <a:bevelT w="50800" h="101600" prst="angle"/>
            <a:contourClr>
              <a:srgbClr val="000000"/>
            </a:contourClr>
          </a:sp3d>
        </c:spPr>
      </c:pivotFmt>
      <c:pivotFmt>
        <c:idx val="13"/>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14"/>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15"/>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16"/>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1"/>
          <c:extLst xmlns:c16r2="http://schemas.microsoft.com/office/drawing/2015/06/chart">
            <c:ext xmlns:c15="http://schemas.microsoft.com/office/drawing/2012/chart" uri="{CE6537A1-D6FC-4f65-9D91-7224C49458BB}"/>
          </c:extLst>
        </c:dLbl>
      </c:pivotFmt>
      <c:pivotFmt>
        <c:idx val="18"/>
        <c:spPr>
          <a:solidFill>
            <a:srgbClr val="FFC000"/>
          </a:solidFill>
          <a:ln>
            <a:noFill/>
          </a:ln>
          <a:effectLst/>
          <a:scene3d>
            <a:camera prst="orthographicFront"/>
            <a:lightRig rig="brightRoom" dir="t"/>
          </a:scene3d>
          <a:sp3d prstMaterial="flat">
            <a:bevelT w="50800" h="101600" prst="angle"/>
            <a:contourClr>
              <a:srgbClr val="000000"/>
            </a:contourClr>
          </a:sp3d>
        </c:spPr>
      </c:pivotFmt>
      <c:pivotFmt>
        <c:idx val="19"/>
        <c:spPr>
          <a:solidFill>
            <a:srgbClr val="00B050"/>
          </a:solidFill>
          <a:ln>
            <a:noFill/>
          </a:ln>
          <a:effectLst/>
          <a:scene3d>
            <a:camera prst="orthographicFront"/>
            <a:lightRig rig="brightRoom" dir="t"/>
          </a:scene3d>
          <a:sp3d prstMaterial="flat">
            <a:bevelT w="50800" h="101600" prst="angle"/>
            <a:contourClr>
              <a:srgbClr val="000000"/>
            </a:contourClr>
          </a:sp3d>
        </c:spPr>
      </c:pivotFmt>
      <c:pivotFmt>
        <c:idx val="20"/>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21"/>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22"/>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23"/>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24"/>
        <c:spPr>
          <a:solidFill>
            <a:srgbClr val="FFC000"/>
          </a:solidFill>
          <a:ln>
            <a:noFill/>
          </a:ln>
          <a:effectLst/>
          <a:scene3d>
            <a:camera prst="orthographicFront"/>
            <a:lightRig rig="brightRoom" dir="t"/>
          </a:scene3d>
          <a:sp3d prstMaterial="flat">
            <a:bevelT w="50800" h="101600" prst="angle"/>
            <a:contourClr>
              <a:srgbClr val="000000"/>
            </a:contourClr>
          </a:sp3d>
        </c:spPr>
      </c:pivotFmt>
      <c:pivotFmt>
        <c:idx val="25"/>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26"/>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27"/>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28"/>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29"/>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30"/>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31"/>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32"/>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33"/>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34"/>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35"/>
        <c:spPr>
          <a:solidFill>
            <a:srgbClr val="FF0000"/>
          </a:solidFill>
          <a:ln>
            <a:noFill/>
          </a:ln>
          <a:effectLst/>
          <a:scene3d>
            <a:camera prst="orthographicFront"/>
            <a:lightRig rig="brightRoom" dir="t"/>
          </a:scene3d>
          <a:sp3d prstMaterial="flat">
            <a:bevelT w="50800" h="101600" prst="angle"/>
            <a:contourClr>
              <a:srgbClr val="000000"/>
            </a:contourClr>
          </a:sp3d>
        </c:spPr>
      </c:pivotFmt>
      <c:pivotFmt>
        <c:idx val="36"/>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37"/>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ctr"/>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38"/>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39"/>
        <c:spPr>
          <a:solidFill>
            <a:srgbClr val="FFCC66"/>
          </a:solidFill>
          <a:ln>
            <a:noFill/>
          </a:ln>
          <a:effectLst/>
          <a:scene3d>
            <a:camera prst="orthographicFront"/>
            <a:lightRig rig="brightRoom" dir="t"/>
          </a:scene3d>
          <a:sp3d prstMaterial="flat">
            <a:bevelT w="50800" h="101600" prst="angle"/>
            <a:contourClr>
              <a:srgbClr val="000000"/>
            </a:contourClr>
          </a:sp3d>
        </c:spPr>
      </c:pivotFmt>
      <c:pivotFmt>
        <c:idx val="40"/>
        <c:spPr>
          <a:solidFill>
            <a:srgbClr val="00B050"/>
          </a:solidFill>
          <a:ln>
            <a:noFill/>
          </a:ln>
          <a:effectLst/>
          <a:scene3d>
            <a:camera prst="orthographicFront"/>
            <a:lightRig rig="brightRoom" dir="t"/>
          </a:scene3d>
          <a:sp3d prstMaterial="flat">
            <a:bevelT w="50800" h="101600" prst="angle"/>
            <a:contourClr>
              <a:srgbClr val="000000"/>
            </a:contourClr>
          </a:sp3d>
        </c:spPr>
      </c:pivotFmt>
    </c:pivotFmts>
    <c:plotArea>
      <c:layout/>
      <c:pieChart>
        <c:varyColors val="1"/>
        <c:ser>
          <c:idx val="0"/>
          <c:order val="0"/>
          <c:tx>
            <c:strRef>
              <c:f>GRAFICOS!$C$327</c:f>
              <c:strCache>
                <c:ptCount val="1"/>
                <c:pt idx="0">
                  <c:v>Total</c:v>
                </c:pt>
              </c:strCache>
            </c:strRef>
          </c:tx>
          <c:dPt>
            <c:idx val="0"/>
            <c:bubble3D val="0"/>
            <c:spPr>
              <a:solidFill>
                <a:srgbClr val="EB3C46"/>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B-CE96-47E4-BD15-D49462FADECC}"/>
              </c:ext>
            </c:extLst>
          </c:dPt>
          <c:dPt>
            <c:idx val="1"/>
            <c:bubble3D val="0"/>
            <c:spPr>
              <a:solidFill>
                <a:srgbClr val="FFCC66"/>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14-CE96-47E4-BD15-D49462FADECC}"/>
              </c:ext>
            </c:extLst>
          </c:dPt>
          <c:dPt>
            <c:idx val="2"/>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1A-CE96-47E4-BD15-D49462FADE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GRAFICOS!$B$328:$B$330</c:f>
              <c:strCache>
                <c:ptCount val="3"/>
                <c:pt idx="0">
                  <c:v>Ejecución.</c:v>
                </c:pt>
                <c:pt idx="1">
                  <c:v>Saldo por ejecutar.</c:v>
                </c:pt>
                <c:pt idx="2">
                  <c:v>Saldo disponible.</c:v>
                </c:pt>
              </c:strCache>
            </c:strRef>
          </c:cat>
          <c:val>
            <c:numRef>
              <c:f>GRAFICOS!$C$328:$C$330</c:f>
              <c:numCache>
                <c:formatCode>General</c:formatCode>
                <c:ptCount val="3"/>
                <c:pt idx="0">
                  <c:v>34120172.134000003</c:v>
                </c:pt>
                <c:pt idx="1">
                  <c:v>1330092.5799999982</c:v>
                </c:pt>
                <c:pt idx="2">
                  <c:v>6182682.2859999994</c:v>
                </c:pt>
              </c:numCache>
            </c:numRef>
          </c:val>
          <c:extLst xmlns:c16r2="http://schemas.microsoft.com/office/drawing/2015/06/chart">
            <c:ext xmlns:c16="http://schemas.microsoft.com/office/drawing/2014/chart" uri="{C3380CC4-5D6E-409C-BE32-E72D297353CC}">
              <c16:uniqueId val="{00000006-CE96-47E4-BD15-D49462FADECC}"/>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36076109878452312"/>
          <c:y val="0.16835117282667786"/>
          <c:w val="0.20394064165009174"/>
          <c:h val="7.47396034878319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 de septiembre 2023.xlsx]GRAFICOS!TablaDinámica24</c:name>
    <c:fmtId val="0"/>
  </c:pivotSource>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latin typeface="+mn-lt"/>
                <a:ea typeface="+mn-ea"/>
                <a:cs typeface="+mn-cs"/>
              </a:rPr>
              <a:t>SITUACIóN PRESUPUESTARIA al MES de SEPTIEMBRE </a:t>
            </a:r>
            <a:r>
              <a:rPr lang="en-US" sz="1400" b="1" i="0" u="none" strike="noStrike" cap="all" baseline="0">
                <a:effectLst/>
              </a:rPr>
              <a:t>de 2023</a:t>
            </a:r>
          </a:p>
          <a:p>
            <a:pPr>
              <a:defRPr/>
            </a:pPr>
            <a:r>
              <a:rPr lang="en-US" sz="1400" b="1" i="0" u="none" strike="noStrike" kern="1200" cap="all" spc="50" baseline="0">
                <a:solidFill>
                  <a:sysClr val="windowText" lastClr="000000">
                    <a:lumMod val="65000"/>
                    <a:lumOff val="35000"/>
                  </a:sysClr>
                </a:solidFill>
                <a:latin typeface="+mn-lt"/>
                <a:ea typeface="+mn-ea"/>
                <a:cs typeface="+mn-cs"/>
              </a:rPr>
              <a:t>PROGRAMA P02 FORTALECIMIENTO DE LA GESTIÓN SUBNACIONAL</a:t>
            </a:r>
            <a:endParaRPr lang="es-CL" sz="1400" b="1" i="0" u="none" strike="noStrike" kern="1200" cap="all" spc="50" baseline="0">
              <a:solidFill>
                <a:sysClr val="windowText" lastClr="000000">
                  <a:lumMod val="65000"/>
                  <a:lumOff val="35000"/>
                </a:sysClr>
              </a:solidFill>
              <a:latin typeface="+mn-lt"/>
              <a:ea typeface="+mn-ea"/>
              <a:cs typeface="+mn-cs"/>
            </a:endParaRPr>
          </a:p>
        </c:rich>
      </c:tx>
      <c:layout>
        <c:manualLayout>
          <c:xMode val="edge"/>
          <c:yMode val="edge"/>
          <c:x val="0.31007339418578589"/>
          <c:y val="5.403804994010232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s-CL"/>
        </a:p>
      </c:txPr>
    </c:title>
    <c:autoTitleDeleted val="0"/>
    <c:pivotFmts>
      <c:pivotFmt>
        <c:idx val="0"/>
      </c:pivotFmt>
      <c:pivotFmt>
        <c:idx val="1"/>
        <c:spPr>
          <a:solidFill>
            <a:schemeClr val="accent1"/>
          </a:solidFill>
          <a:ln>
            <a:noFill/>
          </a:ln>
          <a:effectLst/>
          <a:scene3d>
            <a:camera prst="orthographicFront"/>
            <a:lightRig rig="brightRoom" dir="t"/>
          </a:scene3d>
          <a:sp3d prstMaterial="flat">
            <a:bevelT w="50800" h="101600" prst="angle"/>
            <a:contourClr>
              <a:srgbClr val="000000"/>
            </a:contourClr>
          </a:sp3d>
        </c:spPr>
        <c:marker>
          <c:spPr>
            <a:solidFill>
              <a:schemeClr val="accent1"/>
            </a:solidFill>
            <a:ln w="9525">
              <a:solidFill>
                <a:schemeClr val="lt1"/>
              </a:solidFill>
            </a:ln>
            <a:effectLst/>
          </c:spPr>
        </c:marker>
        <c:dLbl>
          <c:idx val="0"/>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2"/>
        <c:spPr>
          <a:solidFill>
            <a:srgbClr val="FFC000"/>
          </a:solidFill>
          <a:ln>
            <a:noFill/>
          </a:ln>
          <a:effectLst/>
          <a:scene3d>
            <a:camera prst="orthographicFront"/>
            <a:lightRig rig="brightRoom" dir="t"/>
          </a:scene3d>
          <a:sp3d prstMaterial="flat">
            <a:bevelT w="50800" h="101600" prst="angle"/>
            <a:contourClr>
              <a:srgbClr val="000000"/>
            </a:contourClr>
          </a:sp3d>
        </c:spPr>
      </c:pivotFmt>
      <c:pivotFmt>
        <c:idx val="3"/>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4"/>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5"/>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6"/>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7"/>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8"/>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9"/>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10"/>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1"/>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12"/>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13"/>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14"/>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18"/>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9"/>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20"/>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21"/>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22"/>
        <c:spPr>
          <a:solidFill>
            <a:srgbClr val="FFCC66"/>
          </a:solidFill>
          <a:ln>
            <a:noFill/>
          </a:ln>
          <a:effectLst/>
          <a:scene3d>
            <a:camera prst="orthographicFront"/>
            <a:lightRig rig="brightRoom" dir="t"/>
          </a:scene3d>
          <a:sp3d prstMaterial="flat">
            <a:bevelT w="50800" h="101600" prst="angle"/>
            <a:contourClr>
              <a:srgbClr val="000000"/>
            </a:contourClr>
          </a:sp3d>
        </c:spPr>
      </c:pivotFmt>
      <c:pivotFmt>
        <c:idx val="23"/>
        <c:spPr>
          <a:solidFill>
            <a:srgbClr val="00B050"/>
          </a:solidFill>
          <a:ln>
            <a:noFill/>
          </a:ln>
          <a:effectLst/>
          <a:scene3d>
            <a:camera prst="orthographicFront"/>
            <a:lightRig rig="brightRoom" dir="t"/>
          </a:scene3d>
          <a:sp3d prstMaterial="flat">
            <a:bevelT w="50800" h="101600" prst="angle"/>
            <a:contourClr>
              <a:srgbClr val="000000"/>
            </a:contourClr>
          </a:sp3d>
        </c:spPr>
      </c:pivotFmt>
    </c:pivotFmts>
    <c:plotArea>
      <c:layout>
        <c:manualLayout>
          <c:layoutTarget val="inner"/>
          <c:xMode val="edge"/>
          <c:yMode val="edge"/>
          <c:x val="0.3811791433083333"/>
          <c:y val="0.26747293105250342"/>
          <c:w val="0.23037791306689526"/>
          <c:h val="0.68364599730717512"/>
        </c:manualLayout>
      </c:layout>
      <c:pieChart>
        <c:varyColors val="1"/>
        <c:ser>
          <c:idx val="0"/>
          <c:order val="0"/>
          <c:tx>
            <c:strRef>
              <c:f>GRAFICOS!$C$349</c:f>
              <c:strCache>
                <c:ptCount val="1"/>
                <c:pt idx="0">
                  <c:v>Total</c:v>
                </c:pt>
              </c:strCache>
            </c:strRef>
          </c:tx>
          <c:dPt>
            <c:idx val="0"/>
            <c:bubble3D val="0"/>
            <c:spPr>
              <a:solidFill>
                <a:srgbClr val="EB3C46"/>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7-BA62-4293-A86D-6D8C39853AE3}"/>
              </c:ext>
            </c:extLst>
          </c:dPt>
          <c:dPt>
            <c:idx val="1"/>
            <c:bubble3D val="0"/>
            <c:spPr>
              <a:solidFill>
                <a:srgbClr val="FFCC66"/>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8-BA62-4293-A86D-6D8C39853AE3}"/>
              </c:ext>
            </c:extLst>
          </c:dPt>
          <c:dPt>
            <c:idx val="2"/>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9-BA62-4293-A86D-6D8C39853AE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GRAFICOS!$B$350:$B$352</c:f>
              <c:strCache>
                <c:ptCount val="3"/>
                <c:pt idx="0">
                  <c:v>Ejecución.</c:v>
                </c:pt>
                <c:pt idx="1">
                  <c:v>Saldo por ejecutar.</c:v>
                </c:pt>
                <c:pt idx="2">
                  <c:v>Saldo disponible.</c:v>
                </c:pt>
              </c:strCache>
            </c:strRef>
          </c:cat>
          <c:val>
            <c:numRef>
              <c:f>GRAFICOS!$C$350:$C$352</c:f>
              <c:numCache>
                <c:formatCode>_(* #,##0_);_(* \(#,##0\);_(* "-"_);_(@_)</c:formatCode>
                <c:ptCount val="3"/>
                <c:pt idx="0">
                  <c:v>3398639.63</c:v>
                </c:pt>
                <c:pt idx="1">
                  <c:v>1943884.0540000005</c:v>
                </c:pt>
                <c:pt idx="2">
                  <c:v>2901286.3159999996</c:v>
                </c:pt>
              </c:numCache>
            </c:numRef>
          </c:val>
          <c:extLst xmlns:c16r2="http://schemas.microsoft.com/office/drawing/2015/06/chart">
            <c:ext xmlns:c16="http://schemas.microsoft.com/office/drawing/2014/chart" uri="{C3380CC4-5D6E-409C-BE32-E72D297353CC}">
              <c16:uniqueId val="{00000006-BA62-4293-A86D-6D8C39853AE3}"/>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35835867363426421"/>
          <c:y val="0.17510017693515698"/>
          <c:w val="0.20443403606807214"/>
          <c:h val="7.4573223164725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 de septiembre 2023.xlsx]GRAFICOS!TablaDinámica25</c:name>
    <c:fmtId val="0"/>
  </c:pivotSource>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SITUACIóN PRESUPUESTARIA al MES de SEPTIEMBRE </a:t>
            </a:r>
            <a:r>
              <a:rPr lang="en-US" sz="1400" b="1" i="0" u="none" strike="noStrike" cap="all" baseline="0">
                <a:effectLst/>
              </a:rPr>
              <a:t>de 2023</a:t>
            </a:r>
            <a:endParaRPr lang="es-CL"/>
          </a:p>
          <a:p>
            <a:pPr>
              <a:defRPr/>
            </a:pPr>
            <a:r>
              <a:rPr lang="en-US"/>
              <a:t>PROGRAMA P03 PROGRAMAS </a:t>
            </a:r>
            <a:r>
              <a:rPr lang="en-US" sz="1400" b="1" i="0" u="none" strike="noStrike" kern="1200" cap="all" spc="50" baseline="0">
                <a:solidFill>
                  <a:sysClr val="windowText" lastClr="000000">
                    <a:lumMod val="65000"/>
                    <a:lumOff val="35000"/>
                  </a:sysClr>
                </a:solidFill>
                <a:latin typeface="+mn-lt"/>
                <a:ea typeface="+mn-ea"/>
                <a:cs typeface="+mn-cs"/>
              </a:rPr>
              <a:t>DE</a:t>
            </a:r>
            <a:r>
              <a:rPr lang="en-US"/>
              <a:t> DESARROLLO LOCAL</a:t>
            </a:r>
            <a:endParaRPr lang="es-CL"/>
          </a:p>
          <a:p>
            <a:pPr>
              <a:defRPr/>
            </a:pPr>
            <a:endParaRPr lang="en-US"/>
          </a:p>
        </c:rich>
      </c:tx>
      <c:layout>
        <c:manualLayout>
          <c:xMode val="edge"/>
          <c:yMode val="edge"/>
          <c:x val="0.35033028468977312"/>
          <c:y val="6.631832919426664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s-CL"/>
        </a:p>
      </c:txPr>
    </c:title>
    <c:autoTitleDeleted val="0"/>
    <c:pivotFmts>
      <c:pivotFmt>
        <c:idx val="0"/>
      </c:pivotFmt>
      <c:pivotFmt>
        <c:idx val="1"/>
        <c:spPr>
          <a:solidFill>
            <a:schemeClr val="accent1"/>
          </a:solidFill>
          <a:ln>
            <a:noFill/>
          </a:ln>
          <a:effectLst/>
          <a:scene3d>
            <a:camera prst="orthographicFront"/>
            <a:lightRig rig="brightRoom" dir="t"/>
          </a:scene3d>
          <a:sp3d prstMaterial="flat">
            <a:bevelT w="50800" h="101600" prst="angle"/>
            <a:contourClr>
              <a:srgbClr val="000000"/>
            </a:contourClr>
          </a:sp3d>
        </c:spPr>
        <c:marker>
          <c:spPr>
            <a:solidFill>
              <a:schemeClr val="accent1"/>
            </a:solidFill>
            <a:ln w="9525">
              <a:solidFill>
                <a:schemeClr val="lt1"/>
              </a:solidFill>
            </a:ln>
            <a:effectLst/>
          </c:spPr>
        </c:marker>
        <c:dLbl>
          <c:idx val="0"/>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3"/>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4"/>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5"/>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6"/>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7"/>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8"/>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9"/>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0"/>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11"/>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12"/>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3"/>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14"/>
        <c:spPr>
          <a:solidFill>
            <a:srgbClr val="FFCC66"/>
          </a:solidFill>
          <a:ln>
            <a:noFill/>
          </a:ln>
          <a:effectLst/>
          <a:scene3d>
            <a:camera prst="orthographicFront"/>
            <a:lightRig rig="brightRoom" dir="t"/>
          </a:scene3d>
          <a:sp3d prstMaterial="flat">
            <a:bevelT w="50800" h="101600" prst="angle"/>
            <a:contourClr>
              <a:srgbClr val="000000"/>
            </a:contourClr>
          </a:sp3d>
        </c:spPr>
      </c:pivotFmt>
      <c:pivotFmt>
        <c:idx val="15"/>
        <c:spPr>
          <a:solidFill>
            <a:srgbClr val="00B050"/>
          </a:solidFill>
          <a:ln>
            <a:noFill/>
          </a:ln>
          <a:effectLst/>
          <a:scene3d>
            <a:camera prst="orthographicFront"/>
            <a:lightRig rig="brightRoom" dir="t"/>
          </a:scene3d>
          <a:sp3d prstMaterial="flat">
            <a:bevelT w="50800" h="101600" prst="angle"/>
            <a:contourClr>
              <a:srgbClr val="000000"/>
            </a:contourClr>
          </a:sp3d>
        </c:spPr>
        <c:dLbl>
          <c:idx val="0"/>
          <c:layout>
            <c:manualLayout>
              <c:x val="7.1189640700932755E-2"/>
              <c:y val="1.428571696395143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8918326174320611"/>
          <c:y val="0.24466993498731446"/>
          <c:w val="0.22984695701538335"/>
          <c:h val="0.72372086245833611"/>
        </c:manualLayout>
      </c:layout>
      <c:pieChart>
        <c:varyColors val="1"/>
        <c:ser>
          <c:idx val="0"/>
          <c:order val="0"/>
          <c:tx>
            <c:strRef>
              <c:f>GRAFICOS!$C$376</c:f>
              <c:strCache>
                <c:ptCount val="1"/>
                <c:pt idx="0">
                  <c:v>Total</c:v>
                </c:pt>
              </c:strCache>
            </c:strRef>
          </c:tx>
          <c:dPt>
            <c:idx val="0"/>
            <c:bubble3D val="0"/>
            <c:spPr>
              <a:solidFill>
                <a:srgbClr val="EB3C46"/>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C-63B8-4C64-9A6E-DC09D2B7EDF4}"/>
              </c:ext>
            </c:extLst>
          </c:dPt>
          <c:dPt>
            <c:idx val="1"/>
            <c:bubble3D val="0"/>
            <c:spPr>
              <a:solidFill>
                <a:srgbClr val="FFCC66"/>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10-63B8-4C64-9A6E-DC09D2B7EDF4}"/>
              </c:ext>
            </c:extLst>
          </c:dPt>
          <c:dPt>
            <c:idx val="2"/>
            <c:bubble3D val="0"/>
            <c:spPr>
              <a:solidFill>
                <a:srgbClr val="00B050"/>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15-63B8-4C64-9A6E-DC09D2B7EDF4}"/>
              </c:ext>
            </c:extLst>
          </c:dPt>
          <c:dLbls>
            <c:dLbl>
              <c:idx val="2"/>
              <c:layout>
                <c:manualLayout>
                  <c:x val="7.1189640700932755E-2"/>
                  <c:y val="1.4285716963951436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GRAFICOS!$B$377:$B$379</c:f>
              <c:strCache>
                <c:ptCount val="3"/>
                <c:pt idx="0">
                  <c:v>Ejecución.</c:v>
                </c:pt>
                <c:pt idx="1">
                  <c:v>Saldo por ejecutar.</c:v>
                </c:pt>
                <c:pt idx="2">
                  <c:v>Saldo disponible.</c:v>
                </c:pt>
              </c:strCache>
            </c:strRef>
          </c:cat>
          <c:val>
            <c:numRef>
              <c:f>GRAFICOS!$C$377:$C$379</c:f>
              <c:numCache>
                <c:formatCode>General</c:formatCode>
                <c:ptCount val="3"/>
                <c:pt idx="0">
                  <c:v>225251512.493</c:v>
                </c:pt>
                <c:pt idx="1">
                  <c:v>28668161.657999992</c:v>
                </c:pt>
                <c:pt idx="2">
                  <c:v>117558551.84900001</c:v>
                </c:pt>
              </c:numCache>
            </c:numRef>
          </c:val>
          <c:extLst xmlns:c16r2="http://schemas.microsoft.com/office/drawing/2015/06/chart">
            <c:ext xmlns:c16="http://schemas.microsoft.com/office/drawing/2014/chart" uri="{C3380CC4-5D6E-409C-BE32-E72D297353CC}">
              <c16:uniqueId val="{00000006-63B8-4C64-9A6E-DC09D2B7EDF4}"/>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35500834469613268"/>
          <c:y val="0.20469391409893659"/>
          <c:w val="0.20328646153156041"/>
          <c:h val="4.01788601760142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 de septiembre 2023.xlsx]GRAFICOS!TablaDinámica26</c:name>
    <c:fmtId val="0"/>
  </c:pivotSource>
  <c:chart>
    <c:title>
      <c:tx>
        <c:rich>
          <a:bodyPr rot="0" spcFirstLastPara="1" vertOverflow="ellipsis" vert="horz" wrap="square" anchor="ctr" anchorCtr="1"/>
          <a:lstStyle/>
          <a:p>
            <a:pPr algn="ctr" rtl="0">
              <a:defRPr sz="1400" b="1" i="0" u="none" strike="noStrike" kern="1200" cap="all" spc="50" baseline="0">
                <a:solidFill>
                  <a:sysClr val="windowText" lastClr="000000">
                    <a:lumMod val="65000"/>
                    <a:lumOff val="35000"/>
                  </a:sysClr>
                </a:solidFill>
                <a:latin typeface="+mn-lt"/>
                <a:ea typeface="+mn-ea"/>
                <a:cs typeface="+mn-cs"/>
              </a:defRPr>
            </a:pPr>
            <a:r>
              <a:rPr lang="en-US" sz="1400" b="1" i="0" u="none" strike="noStrike" kern="1200" cap="all" spc="50" baseline="0">
                <a:solidFill>
                  <a:sysClr val="windowText" lastClr="000000">
                    <a:lumMod val="65000"/>
                    <a:lumOff val="35000"/>
                  </a:sysClr>
                </a:solidFill>
                <a:latin typeface="+mn-lt"/>
                <a:ea typeface="+mn-ea"/>
                <a:cs typeface="+mn-cs"/>
              </a:rPr>
              <a:t>SITUACIóN PRESUPUESTARIA al MES de SEPTIEMBRE </a:t>
            </a:r>
            <a:r>
              <a:rPr lang="en-US" sz="1400" b="1" i="0" u="none" strike="noStrike" cap="all" baseline="0">
                <a:effectLst/>
              </a:rPr>
              <a:t>de 2023</a:t>
            </a:r>
            <a:endParaRPr lang="es-CL" sz="1400" b="1" i="0" u="none" strike="noStrike" kern="1200" cap="all" spc="50" baseline="0">
              <a:solidFill>
                <a:sysClr val="windowText" lastClr="000000">
                  <a:lumMod val="65000"/>
                  <a:lumOff val="35000"/>
                </a:sysClr>
              </a:solidFill>
              <a:latin typeface="+mn-lt"/>
              <a:ea typeface="+mn-ea"/>
              <a:cs typeface="+mn-cs"/>
            </a:endParaRPr>
          </a:p>
          <a:p>
            <a:pPr algn="ctr" rtl="0">
              <a:defRPr>
                <a:solidFill>
                  <a:sysClr val="windowText" lastClr="000000">
                    <a:lumMod val="65000"/>
                    <a:lumOff val="35000"/>
                  </a:sysClr>
                </a:solidFill>
              </a:defRPr>
            </a:pPr>
            <a:r>
              <a:rPr lang="en-US" sz="1400" b="1" i="0" u="none" strike="noStrike" kern="1200" cap="all" spc="50" baseline="0">
                <a:solidFill>
                  <a:sysClr val="windowText" lastClr="000000">
                    <a:lumMod val="65000"/>
                    <a:lumOff val="35000"/>
                  </a:sysClr>
                </a:solidFill>
                <a:latin typeface="+mn-lt"/>
                <a:ea typeface="+mn-ea"/>
                <a:cs typeface="+mn-cs"/>
              </a:rPr>
              <a:t>PROGRAMA p05 TRANSFERENCIAS A GOBIERNOS REGIONALES</a:t>
            </a:r>
            <a:endParaRPr lang="es-CL" sz="1400" b="1" i="0" u="none" strike="noStrike" kern="1200" cap="all" spc="50" baseline="0">
              <a:solidFill>
                <a:sysClr val="windowText" lastClr="000000">
                  <a:lumMod val="65000"/>
                  <a:lumOff val="35000"/>
                </a:sysClr>
              </a:solidFill>
              <a:latin typeface="+mn-lt"/>
              <a:ea typeface="+mn-ea"/>
              <a:cs typeface="+mn-cs"/>
            </a:endParaRPr>
          </a:p>
        </c:rich>
      </c:tx>
      <c:layout>
        <c:manualLayout>
          <c:xMode val="edge"/>
          <c:yMode val="edge"/>
          <c:x val="0.3519874039689041"/>
          <c:y val="4.7394797030433644E-2"/>
        </c:manualLayout>
      </c:layout>
      <c:overlay val="0"/>
      <c:spPr>
        <a:noFill/>
        <a:ln>
          <a:noFill/>
        </a:ln>
        <a:effectLst/>
      </c:spPr>
      <c:txPr>
        <a:bodyPr rot="0" spcFirstLastPara="1" vertOverflow="ellipsis" vert="horz" wrap="square" anchor="ctr" anchorCtr="1"/>
        <a:lstStyle/>
        <a:p>
          <a:pPr algn="ctr" rtl="0">
            <a:defRPr sz="1400" b="1" i="0" u="none" strike="noStrike" kern="1200" cap="all" spc="50" baseline="0">
              <a:solidFill>
                <a:sysClr val="windowText" lastClr="000000">
                  <a:lumMod val="65000"/>
                  <a:lumOff val="35000"/>
                </a:sysClr>
              </a:solidFill>
              <a:latin typeface="+mn-lt"/>
              <a:ea typeface="+mn-ea"/>
              <a:cs typeface="+mn-cs"/>
            </a:defRPr>
          </a:pPr>
          <a:endParaRPr lang="es-CL"/>
        </a:p>
      </c:txPr>
    </c:title>
    <c:autoTitleDeleted val="0"/>
    <c:pivotFmts>
      <c:pivotFmt>
        <c:idx val="0"/>
      </c:pivotFmt>
      <c:pivotFmt>
        <c:idx val="1"/>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2"/>
        <c:spPr>
          <a:solidFill>
            <a:srgbClr val="FF0000"/>
          </a:solidFill>
          <a:ln>
            <a:noFill/>
          </a:ln>
          <a:effectLst/>
          <a:scene3d>
            <a:camera prst="orthographicFront"/>
            <a:lightRig rig="brightRoom" dir="t"/>
          </a:scene3d>
          <a:sp3d prstMaterial="flat">
            <a:bevelT w="50800" h="101600" prst="angle"/>
            <a:contourClr>
              <a:srgbClr val="000000"/>
            </a:contourClr>
          </a:sp3d>
        </c:spPr>
      </c:pivotFmt>
      <c:pivotFmt>
        <c:idx val="3"/>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4"/>
        <c:spPr>
          <a:solidFill>
            <a:srgbClr val="FF0000"/>
          </a:solidFill>
          <a:ln>
            <a:noFill/>
          </a:ln>
          <a:effectLst/>
          <a:scene3d>
            <a:camera prst="orthographicFront"/>
            <a:lightRig rig="brightRoom" dir="t"/>
          </a:scene3d>
          <a:sp3d prstMaterial="flat">
            <a:bevelT w="50800" h="101600" prst="angle"/>
            <a:contourClr>
              <a:srgbClr val="000000"/>
            </a:contourClr>
          </a:sp3d>
        </c:spPr>
        <c:dLbl>
          <c:idx val="0"/>
          <c:layout>
            <c:manualLayout>
              <c:x val="-5.9474789033052778E-3"/>
              <c:y val="0.1342263397833486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5"/>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6"/>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dLblPos val="inEnd"/>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7"/>
        <c:spPr>
          <a:solidFill>
            <a:srgbClr val="EB3C46"/>
          </a:solidFill>
          <a:ln>
            <a:noFill/>
          </a:ln>
          <a:effectLst/>
          <a:scene3d>
            <a:camera prst="orthographicFront"/>
            <a:lightRig rig="brightRoom" dir="t"/>
          </a:scene3d>
          <a:sp3d prstMaterial="flat">
            <a:bevelT w="50800" h="101600" prst="angle"/>
            <a:contourClr>
              <a:srgbClr val="000000"/>
            </a:contourClr>
          </a:sp3d>
        </c:spPr>
      </c:pivotFmt>
      <c:pivotFmt>
        <c:idx val="8"/>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9"/>
        <c:spPr>
          <a:solidFill>
            <a:srgbClr val="FF0000"/>
          </a:solidFill>
          <a:ln>
            <a:noFill/>
          </a:ln>
          <a:effectLst/>
          <a:scene3d>
            <a:camera prst="orthographicFront"/>
            <a:lightRig rig="brightRoom" dir="t"/>
          </a:scene3d>
          <a:sp3d prstMaterial="flat">
            <a:bevelT w="50800" h="101600" prst="angle"/>
            <a:contourClr>
              <a:srgbClr val="000000"/>
            </a:contourClr>
          </a:sp3d>
        </c:spPr>
        <c:dLbl>
          <c:idx val="0"/>
          <c:layout>
            <c:manualLayout>
              <c:x val="-5.9474789033052778E-3"/>
              <c:y val="0.1342263397833486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0"/>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pivotFmt>
      <c:pivotFmt>
        <c:idx val="11"/>
        <c:spPr>
          <a:solidFill>
            <a:schemeClr val="accent1"/>
          </a:solidFill>
          <a:ln>
            <a:noFill/>
          </a:ln>
          <a:effectLst/>
          <a:scene3d>
            <a:camera prst="orthographicFront"/>
            <a:lightRig rig="brightRoom" dir="t"/>
          </a:scene3d>
          <a:sp3d prstMaterial="flat">
            <a:bevelT w="50800" h="101600" prst="angle"/>
            <a:contourClr>
              <a:srgbClr val="000000"/>
            </a:contourClr>
          </a:sp3d>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2"/>
        <c:spPr>
          <a:solidFill>
            <a:srgbClr val="EB3C46"/>
          </a:solidFill>
          <a:ln>
            <a:noFill/>
          </a:ln>
          <a:effectLst/>
          <a:scene3d>
            <a:camera prst="orthographicFront"/>
            <a:lightRig rig="brightRoom" dir="t"/>
          </a:scene3d>
          <a:sp3d prstMaterial="flat">
            <a:bevelT w="50800" h="101600" prst="angle"/>
            <a:contourClr>
              <a:srgbClr val="000000"/>
            </a:contourClr>
          </a:sp3d>
        </c:spPr>
        <c:dLbl>
          <c:idx val="0"/>
          <c:layout>
            <c:manualLayout>
              <c:x val="-3.7966747667016611E-2"/>
              <c:y val="8.786904887282330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3"/>
        <c:spPr>
          <a:solidFill>
            <a:srgbClr val="FFCC66"/>
          </a:solidFill>
          <a:ln>
            <a:noFill/>
          </a:ln>
          <a:effectLst/>
          <a:scene3d>
            <a:camera prst="orthographicFront"/>
            <a:lightRig rig="brightRoom" dir="t"/>
          </a:scene3d>
          <a:sp3d prstMaterial="flat">
            <a:bevelT w="50800" h="101600" prst="angle"/>
            <a:contourClr>
              <a:srgbClr val="000000"/>
            </a:contourClr>
          </a:sp3d>
        </c:spPr>
        <c:dLbl>
          <c:idx val="0"/>
          <c:layout>
            <c:manualLayout>
              <c:x val="-5.1868010684456699E-2"/>
              <c:y val="-2.609204266590575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
        <c:idx val="14"/>
        <c:spPr>
          <a:solidFill>
            <a:srgbClr val="009A46"/>
          </a:solidFill>
          <a:ln>
            <a:noFill/>
          </a:ln>
          <a:effectLst/>
          <a:scene3d>
            <a:camera prst="orthographicFront"/>
            <a:lightRig rig="brightRoom" dir="t"/>
          </a:scene3d>
          <a:sp3d prstMaterial="flat">
            <a:bevelT w="50800" h="101600" prst="angle"/>
            <a:contourClr>
              <a:srgbClr val="000000"/>
            </a:contourClr>
          </a:sp3d>
        </c:spPr>
        <c:dLbl>
          <c:idx val="0"/>
          <c:layout>
            <c:manualLayout>
              <c:x val="6.2960085970479265E-2"/>
              <c:y val="-0.1198501703004860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9280781443877211"/>
          <c:y val="0.29413364558549354"/>
          <c:w val="0.23518957275050373"/>
          <c:h val="0.70451157563904676"/>
        </c:manualLayout>
      </c:layout>
      <c:pieChart>
        <c:varyColors val="1"/>
        <c:ser>
          <c:idx val="0"/>
          <c:order val="0"/>
          <c:tx>
            <c:strRef>
              <c:f>GRAFICOS!$C$410</c:f>
              <c:strCache>
                <c:ptCount val="1"/>
                <c:pt idx="0">
                  <c:v>Total</c:v>
                </c:pt>
              </c:strCache>
            </c:strRef>
          </c:tx>
          <c:dPt>
            <c:idx val="0"/>
            <c:bubble3D val="0"/>
            <c:spPr>
              <a:solidFill>
                <a:srgbClr val="EB3C46"/>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0C-0B73-4BF4-8E7B-632EAC46ABE4}"/>
              </c:ext>
            </c:extLst>
          </c:dPt>
          <c:dPt>
            <c:idx val="1"/>
            <c:bubble3D val="0"/>
            <c:spPr>
              <a:solidFill>
                <a:srgbClr val="FFCC66"/>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11-0B73-4BF4-8E7B-632EAC46ABE4}"/>
              </c:ext>
            </c:extLst>
          </c:dPt>
          <c:dPt>
            <c:idx val="2"/>
            <c:bubble3D val="0"/>
            <c:spPr>
              <a:solidFill>
                <a:srgbClr val="009A46"/>
              </a:solidFill>
              <a:ln>
                <a:noFill/>
              </a:ln>
              <a:effectLst/>
              <a:scene3d>
                <a:camera prst="orthographicFront"/>
                <a:lightRig rig="brightRoom" dir="t"/>
              </a:scene3d>
              <a:sp3d prstMaterial="flat">
                <a:bevelT w="50800" h="101600" prst="angle"/>
                <a:contourClr>
                  <a:srgbClr val="000000"/>
                </a:contourClr>
              </a:sp3d>
            </c:spPr>
            <c:extLst xmlns:c16r2="http://schemas.microsoft.com/office/drawing/2015/06/chart">
              <c:ext xmlns:c16="http://schemas.microsoft.com/office/drawing/2014/chart" uri="{C3380CC4-5D6E-409C-BE32-E72D297353CC}">
                <c16:uniqueId val="{00000016-0B73-4BF4-8E7B-632EAC46ABE4}"/>
              </c:ext>
            </c:extLst>
          </c:dPt>
          <c:dLbls>
            <c:dLbl>
              <c:idx val="0"/>
              <c:layout>
                <c:manualLayout>
                  <c:x val="-3.7966747667016611E-2"/>
                  <c:y val="8.7869048872823305E-2"/>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dLbl>
              <c:idx val="1"/>
              <c:layout>
                <c:manualLayout>
                  <c:x val="-5.1868010684456699E-2"/>
                  <c:y val="-2.6092042665905753E-2"/>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dLbl>
              <c:idx val="2"/>
              <c:layout>
                <c:manualLayout>
                  <c:x val="6.2960085970479265E-2"/>
                  <c:y val="-0.11985017030048609"/>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GRAFICOS!$B$411:$B$413</c:f>
              <c:strCache>
                <c:ptCount val="3"/>
                <c:pt idx="0">
                  <c:v>Ejecución.</c:v>
                </c:pt>
                <c:pt idx="1">
                  <c:v>Saldo por ejecutar.</c:v>
                </c:pt>
                <c:pt idx="2">
                  <c:v>Saldo disponible M$.</c:v>
                </c:pt>
              </c:strCache>
            </c:strRef>
          </c:cat>
          <c:val>
            <c:numRef>
              <c:f>GRAFICOS!$C$411:$C$413</c:f>
              <c:numCache>
                <c:formatCode>_(* #,##0_);_(* \(#,##0\);_(* "-"_);_(@_)</c:formatCode>
                <c:ptCount val="3"/>
                <c:pt idx="0">
                  <c:v>11523725</c:v>
                </c:pt>
                <c:pt idx="1">
                  <c:v>0</c:v>
                </c:pt>
                <c:pt idx="2">
                  <c:v>23399674</c:v>
                </c:pt>
              </c:numCache>
            </c:numRef>
          </c:val>
          <c:extLst xmlns:c16r2="http://schemas.microsoft.com/office/drawing/2015/06/chart">
            <c:ext xmlns:c16="http://schemas.microsoft.com/office/drawing/2014/chart" uri="{C3380CC4-5D6E-409C-BE32-E72D297353CC}">
              <c16:uniqueId val="{00000006-0B73-4BF4-8E7B-632EAC46ABE4}"/>
            </c:ext>
          </c:extLst>
        </c:ser>
        <c:dLbls>
          <c:showLegendKey val="0"/>
          <c:showVal val="0"/>
          <c:showCatName val="0"/>
          <c:showSerName val="0"/>
          <c:showPercent val="1"/>
          <c:showBubbleSize val="0"/>
          <c:showLeaderLines val="1"/>
        </c:dLbls>
        <c:firstSliceAng val="0"/>
      </c:pieChart>
      <c:spPr>
        <a:noFill/>
        <a:ln>
          <a:noFill/>
        </a:ln>
        <a:effectLst/>
      </c:spPr>
    </c:plotArea>
    <c:legend>
      <c:legendPos val="t"/>
      <c:layout>
        <c:manualLayout>
          <c:xMode val="edge"/>
          <c:yMode val="edge"/>
          <c:x val="0.3518302623188122"/>
          <c:y val="0.17013080843941489"/>
          <c:w val="0.2206083935377437"/>
          <c:h val="7.52770426338197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 de septiembre 2023.xlsx]GRAFICOS!TablaDinámica7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600" b="1" i="0" u="none" strike="noStrike" kern="1200" cap="all" spc="50" baseline="0">
                <a:solidFill>
                  <a:sysClr val="windowText" lastClr="000000">
                    <a:lumMod val="65000"/>
                    <a:lumOff val="35000"/>
                  </a:sysClr>
                </a:solidFill>
                <a:latin typeface="+mn-lt"/>
                <a:ea typeface="+mn-ea"/>
                <a:cs typeface="+mn-cs"/>
              </a:rPr>
              <a:t>Comparativo</a:t>
            </a:r>
            <a:r>
              <a:rPr lang="es-CL" sz="1600" b="1" i="0" u="none" strike="noStrike" kern="1200" cap="all" spc="120" normalizeH="0" baseline="0">
                <a:solidFill>
                  <a:sysClr val="windowText" lastClr="000000">
                    <a:lumMod val="65000"/>
                    <a:lumOff val="35000"/>
                  </a:sysClr>
                </a:solidFill>
                <a:latin typeface="+mn-lt"/>
                <a:ea typeface="+mn-ea"/>
                <a:cs typeface="+mn-cs"/>
              </a:rPr>
              <a:t> porcentual de ejecución por subtítulo presupuestario</a:t>
            </a:r>
          </a:p>
          <a:p>
            <a:pPr>
              <a:defRPr/>
            </a:pPr>
            <a:r>
              <a:rPr lang="es-CL" sz="1600" b="1" i="0" u="none" strike="noStrike" kern="1200" cap="all" spc="120" normalizeH="0" baseline="0">
                <a:solidFill>
                  <a:sysClr val="windowText" lastClr="000000">
                    <a:lumMod val="65000"/>
                    <a:lumOff val="35000"/>
                  </a:sysClr>
                </a:solidFill>
                <a:latin typeface="+mn-lt"/>
                <a:ea typeface="+mn-ea"/>
                <a:cs typeface="+mn-cs"/>
              </a:rPr>
              <a:t>año 2022 vs año 2023</a:t>
            </a:r>
          </a:p>
          <a:p>
            <a:pPr>
              <a:defRPr/>
            </a:pPr>
            <a:r>
              <a:rPr lang="es-CL" sz="1600" b="1" i="0" u="none" strike="noStrike" kern="1200" cap="all" spc="120" normalizeH="0" baseline="0">
                <a:solidFill>
                  <a:sysClr val="windowText" lastClr="000000">
                    <a:lumMod val="65000"/>
                    <a:lumOff val="35000"/>
                  </a:sysClr>
                </a:solidFill>
                <a:latin typeface="+mn-lt"/>
                <a:ea typeface="+mn-ea"/>
                <a:cs typeface="+mn-cs"/>
              </a:rPr>
              <a:t>A SEPTIEMBRE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rgbClr val="002060"/>
          </a:solidFill>
          <a:ln>
            <a:noFill/>
          </a:ln>
          <a:effectLst/>
        </c:spPr>
      </c:pivotFmt>
      <c:pivotFmt>
        <c:idx val="6"/>
        <c:spPr>
          <a:solidFill>
            <a:srgbClr val="FFC000"/>
          </a:solidFill>
          <a:ln>
            <a:noFill/>
          </a:ln>
          <a:effectLst/>
        </c:spPr>
      </c:pivotFmt>
      <c:pivotFmt>
        <c:idx val="7"/>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spPr>
          <a:solidFill>
            <a:srgbClr val="FFCC66"/>
          </a:solidFill>
          <a:ln>
            <a:solidFill>
              <a:srgbClr val="FFCC6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5"/>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6"/>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solidFill>
            <a:srgbClr val="FFCC66"/>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29"/>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0"/>
        <c:spPr>
          <a:solidFill>
            <a:srgbClr val="002060"/>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plotArea>
      <c:layout/>
      <c:barChart>
        <c:barDir val="col"/>
        <c:grouping val="clustered"/>
        <c:varyColors val="0"/>
        <c:ser>
          <c:idx val="0"/>
          <c:order val="0"/>
          <c:tx>
            <c:strRef>
              <c:f>GRAFICOS!$C$136</c:f>
              <c:strCache>
                <c:ptCount val="1"/>
                <c:pt idx="0">
                  <c:v>% de Ejecución  2023 M$.</c:v>
                </c:pt>
              </c:strCache>
            </c:strRef>
          </c:tx>
          <c:spPr>
            <a:solidFill>
              <a:srgbClr val="00206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GRAFICOS!$B$137:$B$146</c:f>
              <c:strCache>
                <c:ptCount val="9"/>
                <c:pt idx="0">
                  <c:v>ADQUISICIÓN DE ACTIVOS NO FINANCIEROS</c:v>
                </c:pt>
                <c:pt idx="1">
                  <c:v>BIENES Y SERVICIOS DE CONSUMO</c:v>
                </c:pt>
                <c:pt idx="2">
                  <c:v>GASTOS EN PERSONAL</c:v>
                </c:pt>
                <c:pt idx="3">
                  <c:v>INGRESOS AL FISCO</c:v>
                </c:pt>
                <c:pt idx="4">
                  <c:v>PRESTACIONES DE SEGURIDAD SOCIAL</c:v>
                </c:pt>
                <c:pt idx="5">
                  <c:v>PRESTAMOS </c:v>
                </c:pt>
                <c:pt idx="6">
                  <c:v>SERVICIO DE LA DEUDA</c:v>
                </c:pt>
                <c:pt idx="7">
                  <c:v>TRANSFERENCIAS CORRIENTES </c:v>
                </c:pt>
                <c:pt idx="8">
                  <c:v>TRANSFERENCIAS DE CAPITAL </c:v>
                </c:pt>
              </c:strCache>
            </c:strRef>
          </c:cat>
          <c:val>
            <c:numRef>
              <c:f>GRAFICOS!$C$137:$C$146</c:f>
              <c:numCache>
                <c:formatCode>0%</c:formatCode>
                <c:ptCount val="9"/>
                <c:pt idx="0">
                  <c:v>0.50024330500284508</c:v>
                </c:pt>
                <c:pt idx="1">
                  <c:v>0.54638967688555651</c:v>
                </c:pt>
                <c:pt idx="2">
                  <c:v>0.78247542578207174</c:v>
                </c:pt>
                <c:pt idx="3">
                  <c:v>20.422634949171972</c:v>
                </c:pt>
                <c:pt idx="4">
                  <c:v>1</c:v>
                </c:pt>
                <c:pt idx="5">
                  <c:v>0.44594902746767556</c:v>
                </c:pt>
                <c:pt idx="6">
                  <c:v>0.93216151896058963</c:v>
                </c:pt>
                <c:pt idx="7">
                  <c:v>0.92205032687608934</c:v>
                </c:pt>
                <c:pt idx="8">
                  <c:v>0.47973499762870625</c:v>
                </c:pt>
              </c:numCache>
            </c:numRef>
          </c:val>
          <c:extLst xmlns:c16r2="http://schemas.microsoft.com/office/drawing/2015/06/chart">
            <c:ext xmlns:c16="http://schemas.microsoft.com/office/drawing/2014/chart" uri="{C3380CC4-5D6E-409C-BE32-E72D297353CC}">
              <c16:uniqueId val="{00000000-1082-4451-90DD-B8B6A36C795D}"/>
            </c:ext>
          </c:extLst>
        </c:ser>
        <c:ser>
          <c:idx val="1"/>
          <c:order val="1"/>
          <c:tx>
            <c:strRef>
              <c:f>GRAFICOS!$D$136</c:f>
              <c:strCache>
                <c:ptCount val="1"/>
                <c:pt idx="0">
                  <c:v>% Ejecución 2022 M$.</c:v>
                </c:pt>
              </c:strCache>
            </c:strRef>
          </c:tx>
          <c:spPr>
            <a:solidFill>
              <a:srgbClr val="FFCC6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GRAFICOS!$B$137:$B$146</c:f>
              <c:strCache>
                <c:ptCount val="9"/>
                <c:pt idx="0">
                  <c:v>ADQUISICIÓN DE ACTIVOS NO FINANCIEROS</c:v>
                </c:pt>
                <c:pt idx="1">
                  <c:v>BIENES Y SERVICIOS DE CONSUMO</c:v>
                </c:pt>
                <c:pt idx="2">
                  <c:v>GASTOS EN PERSONAL</c:v>
                </c:pt>
                <c:pt idx="3">
                  <c:v>INGRESOS AL FISCO</c:v>
                </c:pt>
                <c:pt idx="4">
                  <c:v>PRESTACIONES DE SEGURIDAD SOCIAL</c:v>
                </c:pt>
                <c:pt idx="5">
                  <c:v>PRESTAMOS </c:v>
                </c:pt>
                <c:pt idx="6">
                  <c:v>SERVICIO DE LA DEUDA</c:v>
                </c:pt>
                <c:pt idx="7">
                  <c:v>TRANSFERENCIAS CORRIENTES </c:v>
                </c:pt>
                <c:pt idx="8">
                  <c:v>TRANSFERENCIAS DE CAPITAL </c:v>
                </c:pt>
              </c:strCache>
            </c:strRef>
          </c:cat>
          <c:val>
            <c:numRef>
              <c:f>GRAFICOS!$D$137:$D$146</c:f>
              <c:numCache>
                <c:formatCode>0%</c:formatCode>
                <c:ptCount val="9"/>
                <c:pt idx="0">
                  <c:v>0.62568058970992002</c:v>
                </c:pt>
                <c:pt idx="1">
                  <c:v>0.76593461203540514</c:v>
                </c:pt>
                <c:pt idx="2">
                  <c:v>0.76502473282195826</c:v>
                </c:pt>
                <c:pt idx="3">
                  <c:v>7.462810025326335</c:v>
                </c:pt>
                <c:pt idx="4">
                  <c:v>1</c:v>
                </c:pt>
                <c:pt idx="5">
                  <c:v>0</c:v>
                </c:pt>
                <c:pt idx="6">
                  <c:v>0.63649674388422983</c:v>
                </c:pt>
                <c:pt idx="7">
                  <c:v>0.90370117225047286</c:v>
                </c:pt>
                <c:pt idx="8">
                  <c:v>0.42228389553700285</c:v>
                </c:pt>
              </c:numCache>
            </c:numRef>
          </c:val>
          <c:extLst xmlns:c16r2="http://schemas.microsoft.com/office/drawing/2015/06/chart">
            <c:ext xmlns:c16="http://schemas.microsoft.com/office/drawing/2014/chart" uri="{C3380CC4-5D6E-409C-BE32-E72D297353CC}">
              <c16:uniqueId val="{00000000-2DAE-4D17-8168-0D2160B9B357}"/>
            </c:ext>
          </c:extLst>
        </c:ser>
        <c:dLbls>
          <c:showLegendKey val="0"/>
          <c:showVal val="1"/>
          <c:showCatName val="0"/>
          <c:showSerName val="0"/>
          <c:showPercent val="0"/>
          <c:showBubbleSize val="0"/>
        </c:dLbls>
        <c:gapWidth val="150"/>
        <c:overlap val="-25"/>
        <c:axId val="997311520"/>
        <c:axId val="997309888"/>
      </c:barChart>
      <c:catAx>
        <c:axId val="99731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997309888"/>
        <c:crosses val="autoZero"/>
        <c:auto val="1"/>
        <c:lblAlgn val="ctr"/>
        <c:lblOffset val="100"/>
        <c:noMultiLvlLbl val="0"/>
      </c:catAx>
      <c:valAx>
        <c:axId val="997309888"/>
        <c:scaling>
          <c:orientation val="minMax"/>
        </c:scaling>
        <c:delete val="1"/>
        <c:axPos val="l"/>
        <c:numFmt formatCode="0%" sourceLinked="1"/>
        <c:majorTickMark val="none"/>
        <c:minorTickMark val="none"/>
        <c:tickLblPos val="nextTo"/>
        <c:crossAx val="997311520"/>
        <c:crosses val="autoZero"/>
        <c:crossBetween val="between"/>
      </c:valAx>
      <c:spPr>
        <a:noFill/>
        <a:ln w="25400">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orientation="portrait"/>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 de septiembre 2023.xlsx]GRAFICOS!TablaDinámica10</c:name>
    <c:fmtId val="0"/>
  </c:pivotSource>
  <c:chart>
    <c:title>
      <c:tx>
        <c:rich>
          <a:bodyPr rot="0" spcFirstLastPara="1" vertOverflow="ellipsis" vert="horz" wrap="square" anchor="ctr" anchorCtr="1"/>
          <a:lstStyle/>
          <a:p>
            <a:pPr algn="ctr" rtl="0">
              <a:defRPr sz="1400" b="1" i="0" u="none" strike="noStrike" kern="1200" cap="all" spc="50" baseline="0">
                <a:solidFill>
                  <a:sysClr val="windowText" lastClr="000000">
                    <a:lumMod val="65000"/>
                    <a:lumOff val="35000"/>
                  </a:sysClr>
                </a:solidFill>
                <a:latin typeface="+mn-lt"/>
                <a:ea typeface="+mn-ea"/>
                <a:cs typeface="+mn-cs"/>
              </a:defRPr>
            </a:pPr>
            <a:r>
              <a:rPr lang="es-CL" sz="1400" b="1" i="0" u="none" strike="noStrike" kern="1200" cap="all" spc="50" baseline="0">
                <a:solidFill>
                  <a:sysClr val="windowText" lastClr="000000">
                    <a:lumMod val="65000"/>
                    <a:lumOff val="35000"/>
                  </a:sysClr>
                </a:solidFill>
                <a:latin typeface="+mn-lt"/>
                <a:ea typeface="+mn-ea"/>
                <a:cs typeface="+mn-cs"/>
              </a:rPr>
              <a:t>COMPARATIVO PORCENTUAL DE EJECUCIÓN POR PROGRAMA PRESUPUESTARIA </a:t>
            </a:r>
          </a:p>
          <a:p>
            <a:pPr algn="ctr" rtl="0">
              <a:defRPr b="1" cap="all" spc="50">
                <a:solidFill>
                  <a:sysClr val="windowText" lastClr="000000">
                    <a:lumMod val="65000"/>
                    <a:lumOff val="35000"/>
                  </a:sysClr>
                </a:solidFill>
              </a:defRPr>
            </a:pPr>
            <a:r>
              <a:rPr lang="es-CL" sz="1400" b="1" i="0" u="none" strike="noStrike" kern="1200" cap="all" spc="50" baseline="0">
                <a:solidFill>
                  <a:sysClr val="windowText" lastClr="000000">
                    <a:lumMod val="65000"/>
                    <a:lumOff val="35000"/>
                  </a:sysClr>
                </a:solidFill>
                <a:latin typeface="+mn-lt"/>
                <a:ea typeface="+mn-ea"/>
                <a:cs typeface="+mn-cs"/>
              </a:rPr>
              <a:t>AÑO 2022 VS 2023 </a:t>
            </a:r>
          </a:p>
          <a:p>
            <a:pPr algn="ctr" rtl="0">
              <a:defRPr b="1" cap="all" spc="50">
                <a:solidFill>
                  <a:sysClr val="windowText" lastClr="000000">
                    <a:lumMod val="65000"/>
                    <a:lumOff val="35000"/>
                  </a:sysClr>
                </a:solidFill>
              </a:defRPr>
            </a:pPr>
            <a:r>
              <a:rPr lang="es-CL" sz="1400" b="1" i="0" u="none" strike="noStrike" kern="1200" cap="all" spc="50" baseline="0">
                <a:solidFill>
                  <a:sysClr val="windowText" lastClr="000000">
                    <a:lumMod val="65000"/>
                    <a:lumOff val="35000"/>
                  </a:sysClr>
                </a:solidFill>
                <a:latin typeface="+mn-lt"/>
                <a:ea typeface="+mn-ea"/>
                <a:cs typeface="+mn-cs"/>
              </a:rPr>
              <a:t>A SEPTIEMBRE</a:t>
            </a:r>
          </a:p>
        </c:rich>
      </c:tx>
      <c:layout>
        <c:manualLayout>
          <c:xMode val="edge"/>
          <c:yMode val="edge"/>
          <c:x val="0.27196686881008747"/>
          <c:y val="6.7529210097678122E-2"/>
        </c:manualLayout>
      </c:layout>
      <c:overlay val="0"/>
      <c:spPr>
        <a:noFill/>
        <a:ln>
          <a:noFill/>
        </a:ln>
        <a:effectLst/>
      </c:spPr>
      <c:txPr>
        <a:bodyPr rot="0" spcFirstLastPara="1" vertOverflow="ellipsis" vert="horz" wrap="square" anchor="ctr" anchorCtr="1"/>
        <a:lstStyle/>
        <a:p>
          <a:pPr algn="ctr" rtl="0">
            <a:defRPr sz="1400" b="1" i="0" u="none" strike="noStrike" kern="1200" cap="all" spc="50" baseline="0">
              <a:solidFill>
                <a:sysClr val="windowText" lastClr="000000">
                  <a:lumMod val="65000"/>
                  <a:lumOff val="35000"/>
                </a:sys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00206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rgbClr val="FFCC66"/>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rgbClr val="002060"/>
          </a:solidFill>
          <a:ln>
            <a:noFill/>
          </a:ln>
          <a:effectLst/>
        </c:spPr>
      </c:pivotFmt>
    </c:pivotFmts>
    <c:plotArea>
      <c:layout/>
      <c:barChart>
        <c:barDir val="col"/>
        <c:grouping val="clustered"/>
        <c:varyColors val="0"/>
        <c:ser>
          <c:idx val="0"/>
          <c:order val="0"/>
          <c:tx>
            <c:strRef>
              <c:f>GRAFICOS!$C$287</c:f>
              <c:strCache>
                <c:ptCount val="1"/>
                <c:pt idx="0">
                  <c:v> % de Ejecución 2023 M$.</c:v>
                </c:pt>
              </c:strCache>
            </c:strRef>
          </c:tx>
          <c:spPr>
            <a:solidFill>
              <a:srgbClr val="00206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GRAFICOS!$B$288:$B$292</c:f>
              <c:strCache>
                <c:ptCount val="4"/>
                <c:pt idx="0">
                  <c:v>PROGRAMA 01 - SUBSECRETARIA </c:v>
                </c:pt>
                <c:pt idx="1">
                  <c:v>PROGRAMA 02 - SUBNACIONAL</c:v>
                </c:pt>
                <c:pt idx="2">
                  <c:v>PROGRAMA 03 - DESARROLLO LOCAL</c:v>
                </c:pt>
                <c:pt idx="3">
                  <c:v>PROGRAMA 05 - TRANSFERENCIA GORES</c:v>
                </c:pt>
              </c:strCache>
            </c:strRef>
          </c:cat>
          <c:val>
            <c:numRef>
              <c:f>GRAFICOS!$C$288:$C$292</c:f>
              <c:numCache>
                <c:formatCode>0%</c:formatCode>
                <c:ptCount val="4"/>
                <c:pt idx="0">
                  <c:v>0.81954736795355865</c:v>
                </c:pt>
                <c:pt idx="1">
                  <c:v>0.41226564294907331</c:v>
                </c:pt>
                <c:pt idx="2">
                  <c:v>0.60636531760814427</c:v>
                </c:pt>
                <c:pt idx="3">
                  <c:v>0.32997146125438709</c:v>
                </c:pt>
              </c:numCache>
            </c:numRef>
          </c:val>
          <c:extLst xmlns:c16r2="http://schemas.microsoft.com/office/drawing/2015/06/chart">
            <c:ext xmlns:c16="http://schemas.microsoft.com/office/drawing/2014/chart" uri="{C3380CC4-5D6E-409C-BE32-E72D297353CC}">
              <c16:uniqueId val="{00000000-2A1C-4C50-AA25-BD8D73175819}"/>
            </c:ext>
          </c:extLst>
        </c:ser>
        <c:ser>
          <c:idx val="1"/>
          <c:order val="1"/>
          <c:tx>
            <c:strRef>
              <c:f>GRAFICOS!$D$287</c:f>
              <c:strCache>
                <c:ptCount val="1"/>
                <c:pt idx="0">
                  <c:v>% Ejecución 2022 M$.</c:v>
                </c:pt>
              </c:strCache>
            </c:strRef>
          </c:tx>
          <c:spPr>
            <a:solidFill>
              <a:srgbClr val="FFCC6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GRAFICOS!$B$288:$B$292</c:f>
              <c:strCache>
                <c:ptCount val="4"/>
                <c:pt idx="0">
                  <c:v>PROGRAMA 01 - SUBSECRETARIA </c:v>
                </c:pt>
                <c:pt idx="1">
                  <c:v>PROGRAMA 02 - SUBNACIONAL</c:v>
                </c:pt>
                <c:pt idx="2">
                  <c:v>PROGRAMA 03 - DESARROLLO LOCAL</c:v>
                </c:pt>
                <c:pt idx="3">
                  <c:v>PROGRAMA 05 - TRANSFERENCIA GORES</c:v>
                </c:pt>
              </c:strCache>
            </c:strRef>
          </c:cat>
          <c:val>
            <c:numRef>
              <c:f>GRAFICOS!$D$288:$D$292</c:f>
              <c:numCache>
                <c:formatCode>0%</c:formatCode>
                <c:ptCount val="4"/>
                <c:pt idx="0">
                  <c:v>0.70002092991079556</c:v>
                </c:pt>
                <c:pt idx="1">
                  <c:v>0.38504349079937861</c:v>
                </c:pt>
                <c:pt idx="2">
                  <c:v>0.64755503275697235</c:v>
                </c:pt>
                <c:pt idx="3">
                  <c:v>2.1772148765050525E-2</c:v>
                </c:pt>
              </c:numCache>
            </c:numRef>
          </c:val>
          <c:extLst xmlns:c16r2="http://schemas.microsoft.com/office/drawing/2015/06/chart">
            <c:ext xmlns:c16="http://schemas.microsoft.com/office/drawing/2014/chart" uri="{C3380CC4-5D6E-409C-BE32-E72D297353CC}">
              <c16:uniqueId val="{00000001-2A1C-4C50-AA25-BD8D73175819}"/>
            </c:ext>
          </c:extLst>
        </c:ser>
        <c:dLbls>
          <c:showLegendKey val="0"/>
          <c:showVal val="1"/>
          <c:showCatName val="0"/>
          <c:showSerName val="0"/>
          <c:showPercent val="0"/>
          <c:showBubbleSize val="0"/>
        </c:dLbls>
        <c:gapWidth val="150"/>
        <c:overlap val="-25"/>
        <c:axId val="997314240"/>
        <c:axId val="997313696"/>
      </c:barChart>
      <c:catAx>
        <c:axId val="99731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997313696"/>
        <c:crosses val="autoZero"/>
        <c:auto val="1"/>
        <c:lblAlgn val="ctr"/>
        <c:lblOffset val="100"/>
        <c:noMultiLvlLbl val="0"/>
      </c:catAx>
      <c:valAx>
        <c:axId val="997313696"/>
        <c:scaling>
          <c:orientation val="minMax"/>
        </c:scaling>
        <c:delete val="1"/>
        <c:axPos val="l"/>
        <c:numFmt formatCode="0%" sourceLinked="1"/>
        <c:majorTickMark val="none"/>
        <c:minorTickMark val="none"/>
        <c:tickLblPos val="nextTo"/>
        <c:crossAx val="9973142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 de septiembre 2023.xlsx]GRAFICOS!TablaDinámica8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600" b="1" i="0" u="none" strike="noStrike" kern="1200" cap="all" spc="120" normalizeH="0" baseline="0">
                <a:solidFill>
                  <a:sysClr val="windowText" lastClr="000000">
                    <a:lumMod val="65000"/>
                    <a:lumOff val="35000"/>
                  </a:sysClr>
                </a:solidFill>
                <a:latin typeface="+mn-lt"/>
                <a:ea typeface="+mn-ea"/>
                <a:cs typeface="+mn-cs"/>
              </a:rPr>
              <a:t>COMPARATIVO: PRESUPUESTO INICIAL VS PRESUPUESTO VIGENTE AÑO 2023 </a:t>
            </a:r>
          </a:p>
          <a:p>
            <a:pPr>
              <a:defRPr/>
            </a:pPr>
            <a:r>
              <a:rPr lang="es-CL" sz="1600" b="1" i="0" u="none" strike="noStrike" kern="1200" cap="all" spc="120" normalizeH="0" baseline="0">
                <a:solidFill>
                  <a:sysClr val="windowText" lastClr="000000">
                    <a:lumMod val="65000"/>
                    <a:lumOff val="35000"/>
                  </a:sysClr>
                </a:solidFill>
                <a:latin typeface="+mn-lt"/>
                <a:ea typeface="+mn-ea"/>
                <a:cs typeface="+mn-cs"/>
              </a:rPr>
              <a:t>MES DE SEPTIEMBRE POR SUBTÍTULO PRESUPUESTARIO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tx1">
              <a:lumMod val="65000"/>
              <a:lumOff val="35000"/>
            </a:schemeClr>
          </a:solidFill>
          <a:ln>
            <a:noFill/>
          </a:ln>
          <a:effectLst/>
        </c:spPr>
      </c:pivotFmt>
      <c:pivotFmt>
        <c:idx val="7"/>
        <c:spPr>
          <a:solidFill>
            <a:srgbClr val="009A46"/>
          </a:solidFill>
          <a:ln>
            <a:noFill/>
          </a:ln>
          <a:effectLst/>
        </c:spPr>
      </c:pivotFmt>
      <c:pivotFmt>
        <c:idx val="8"/>
        <c:spPr>
          <a:solidFill>
            <a:schemeClr val="tx1">
              <a:lumMod val="65000"/>
              <a:lumOff val="35000"/>
            </a:schemeClr>
          </a:solidFill>
          <a:ln>
            <a:noFill/>
          </a:ln>
          <a:effectLst/>
        </c:spPr>
        <c:marker>
          <c:symbol val="none"/>
        </c:marker>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rgbClr val="009A46"/>
          </a:solidFill>
          <a:ln>
            <a:noFill/>
          </a:ln>
          <a:effectLst/>
        </c:spPr>
        <c:marker>
          <c:symbol val="none"/>
        </c:marker>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002060"/>
          </a:solidFill>
          <a:ln>
            <a:noFill/>
          </a:ln>
          <a:effectLst/>
        </c:spPr>
        <c:marker>
          <c:symbol val="none"/>
        </c:marker>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rgbClr val="FFC000"/>
          </a:solidFill>
          <a:ln>
            <a:noFill/>
          </a:ln>
          <a:effectLst/>
        </c:spPr>
        <c:marker>
          <c:symbol val="none"/>
        </c:marker>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tx1">
              <a:lumMod val="65000"/>
              <a:lumOff val="35000"/>
            </a:schemeClr>
          </a:solidFill>
          <a:ln>
            <a:noFill/>
          </a:ln>
          <a:effectLst/>
        </c:spPr>
        <c:marker>
          <c:symbol val="none"/>
        </c:marker>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rgbClr val="009A46"/>
          </a:solidFill>
          <a:ln>
            <a:noFill/>
          </a:ln>
          <a:effectLst/>
        </c:spPr>
        <c:marker>
          <c:symbol val="none"/>
        </c:marker>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009A46"/>
          </a:solidFill>
          <a:ln>
            <a:noFill/>
          </a:ln>
          <a:effectLst/>
        </c:spPr>
        <c:marker>
          <c:symbol val="none"/>
        </c:marker>
        <c:dLbl>
          <c:idx val="0"/>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5"/>
        <c:spPr>
          <a:solidFill>
            <a:srgbClr val="FFCC66"/>
          </a:solidFill>
          <a:ln>
            <a:noFill/>
          </a:ln>
          <a:effectLst/>
        </c:spPr>
        <c:marker>
          <c:symbol val="none"/>
        </c:marker>
        <c:dLbl>
          <c:idx val="0"/>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6"/>
        <c:spPr>
          <a:solidFill>
            <a:srgbClr val="FFCC66"/>
          </a:solidFill>
          <a:ln>
            <a:noFill/>
          </a:ln>
          <a:effectLst/>
        </c:spPr>
        <c:dLbl>
          <c:idx val="0"/>
          <c:layout>
            <c:manualLayout>
              <c:x val="2.5172625740733012E-3"/>
              <c:y val="5.124555543068377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7"/>
        <c:spPr>
          <a:solidFill>
            <a:srgbClr val="FFCC66"/>
          </a:solidFill>
          <a:ln>
            <a:noFill/>
          </a:ln>
          <a:effectLst/>
        </c:spPr>
        <c:dLbl>
          <c:idx val="0"/>
          <c:layout>
            <c:manualLayout>
              <c:x val="1.0858291414423392E-2"/>
              <c:y val="-3.7959670689395441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8"/>
        <c:spPr>
          <a:solidFill>
            <a:srgbClr val="009A46"/>
          </a:solidFill>
          <a:ln>
            <a:noFill/>
          </a:ln>
          <a:effectLst/>
        </c:spPr>
        <c:dLbl>
          <c:idx val="0"/>
          <c:layout>
            <c:manualLayout>
              <c:x val="-8.390875246911414E-3"/>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9"/>
        <c:spPr>
          <a:solidFill>
            <a:srgbClr val="FFCC66"/>
          </a:solidFill>
          <a:ln>
            <a:noFill/>
          </a:ln>
          <a:effectLst/>
        </c:spPr>
        <c:dLbl>
          <c:idx val="0"/>
          <c:layout>
            <c:manualLayout>
              <c:x val="6.712700197529009E-3"/>
              <c:y val="-1.897983534469772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20"/>
        <c:spPr>
          <a:solidFill>
            <a:srgbClr val="FFCC66"/>
          </a:solidFill>
          <a:ln>
            <a:noFill/>
          </a:ln>
          <a:effectLst/>
        </c:spPr>
        <c:dLbl>
          <c:idx val="0"/>
          <c:layout>
            <c:manualLayout>
              <c:x val="8.390875246911414E-3"/>
              <c:y val="-3.7959670689395441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21"/>
        <c:spPr>
          <a:solidFill>
            <a:srgbClr val="FFCC66"/>
          </a:solidFill>
          <a:ln>
            <a:noFill/>
          </a:ln>
          <a:effectLst/>
        </c:spPr>
        <c:dLbl>
          <c:idx val="0"/>
          <c:layout>
            <c:manualLayout>
              <c:x val="1.5942662969131625E-2"/>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22"/>
        <c:spPr>
          <a:solidFill>
            <a:srgbClr val="FFCC66"/>
          </a:solidFill>
          <a:ln>
            <a:noFill/>
          </a:ln>
          <a:effectLst/>
        </c:spPr>
        <c:dLbl>
          <c:idx val="0"/>
          <c:layout>
            <c:manualLayout>
              <c:x val="3.9135751939237849E-3"/>
              <c:y val="-1.3918385133072236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plotArea>
      <c:layout/>
      <c:barChart>
        <c:barDir val="col"/>
        <c:grouping val="clustered"/>
        <c:varyColors val="0"/>
        <c:ser>
          <c:idx val="0"/>
          <c:order val="0"/>
          <c:tx>
            <c:strRef>
              <c:f>GRAFICOS!$C$3</c:f>
              <c:strCache>
                <c:ptCount val="1"/>
                <c:pt idx="0">
                  <c:v> Presupuesto Inicial 2023 M$.</c:v>
                </c:pt>
              </c:strCache>
            </c:strRef>
          </c:tx>
          <c:spPr>
            <a:solidFill>
              <a:srgbClr val="009A46"/>
            </a:solidFill>
            <a:ln>
              <a:noFill/>
            </a:ln>
            <a:effectLst/>
          </c:spPr>
          <c:invertIfNegative val="0"/>
          <c:dPt>
            <c:idx val="8"/>
            <c:invertIfNegative val="0"/>
            <c:bubble3D val="0"/>
            <c:spPr>
              <a:solidFill>
                <a:srgbClr val="009A46"/>
              </a:solidFill>
              <a:ln>
                <a:noFill/>
              </a:ln>
              <a:effectLst/>
            </c:spPr>
            <c:extLst xmlns:c16r2="http://schemas.microsoft.com/office/drawing/2015/06/chart">
              <c:ext xmlns:c16="http://schemas.microsoft.com/office/drawing/2014/chart" uri="{C3380CC4-5D6E-409C-BE32-E72D297353CC}">
                <c16:uniqueId val="{00000002-1DF6-4114-A9E8-E736DF150187}"/>
              </c:ext>
            </c:extLst>
          </c:dPt>
          <c:dLbls>
            <c:dLbl>
              <c:idx val="8"/>
              <c:layout>
                <c:manualLayout>
                  <c:x val="-8.390875246911414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GRAFICOS!$B$4:$B$15</c:f>
              <c:strCache>
                <c:ptCount val="11"/>
                <c:pt idx="0">
                  <c:v>ADQUISICIÓN DE ACTIVOS FINANCIEROS </c:v>
                </c:pt>
                <c:pt idx="1">
                  <c:v>ADQUISICIÓN DE ACTIVOS NO FINANCIEROS</c:v>
                </c:pt>
                <c:pt idx="2">
                  <c:v>BIENES Y SERVICIOS DE CONSUMO</c:v>
                </c:pt>
                <c:pt idx="3">
                  <c:v>GASTOS EN PERSONAL</c:v>
                </c:pt>
                <c:pt idx="4">
                  <c:v>INGRESOS AL FISCO</c:v>
                </c:pt>
                <c:pt idx="5">
                  <c:v>PRESTACIONES DE SEGURIDAD SOCIAL</c:v>
                </c:pt>
                <c:pt idx="6">
                  <c:v>PRESTAMOS </c:v>
                </c:pt>
                <c:pt idx="7">
                  <c:v>SALDO FINAL DE CAJA</c:v>
                </c:pt>
                <c:pt idx="8">
                  <c:v>SERVICIO DE LA DEUDA</c:v>
                </c:pt>
                <c:pt idx="9">
                  <c:v>TRANSFERENCIAS CORRIENTES </c:v>
                </c:pt>
                <c:pt idx="10">
                  <c:v>TRANSFERENCIAS DE CAPITAL </c:v>
                </c:pt>
              </c:strCache>
            </c:strRef>
          </c:cat>
          <c:val>
            <c:numRef>
              <c:f>GRAFICOS!$C$4:$C$15</c:f>
              <c:numCache>
                <c:formatCode>General</c:formatCode>
                <c:ptCount val="11"/>
                <c:pt idx="0">
                  <c:v>0</c:v>
                </c:pt>
                <c:pt idx="1">
                  <c:v>332151</c:v>
                </c:pt>
                <c:pt idx="2">
                  <c:v>2322767.9980000001</c:v>
                </c:pt>
                <c:pt idx="3">
                  <c:v>17419021</c:v>
                </c:pt>
                <c:pt idx="4">
                  <c:v>165399</c:v>
                </c:pt>
                <c:pt idx="5">
                  <c:v>10</c:v>
                </c:pt>
                <c:pt idx="6">
                  <c:v>5667935</c:v>
                </c:pt>
                <c:pt idx="7">
                  <c:v>0</c:v>
                </c:pt>
                <c:pt idx="8">
                  <c:v>17962498</c:v>
                </c:pt>
                <c:pt idx="9">
                  <c:v>85436322</c:v>
                </c:pt>
                <c:pt idx="10">
                  <c:v>301825406</c:v>
                </c:pt>
              </c:numCache>
            </c:numRef>
          </c:val>
          <c:extLst xmlns:c16r2="http://schemas.microsoft.com/office/drawing/2015/06/chart">
            <c:ext xmlns:c16="http://schemas.microsoft.com/office/drawing/2014/chart" uri="{C3380CC4-5D6E-409C-BE32-E72D297353CC}">
              <c16:uniqueId val="{00000000-153C-454B-B08B-270717E332D8}"/>
            </c:ext>
          </c:extLst>
        </c:ser>
        <c:ser>
          <c:idx val="1"/>
          <c:order val="1"/>
          <c:tx>
            <c:strRef>
              <c:f>GRAFICOS!$D$3</c:f>
              <c:strCache>
                <c:ptCount val="1"/>
                <c:pt idx="0">
                  <c:v>Presupuesto Vigente 2023 M$</c:v>
                </c:pt>
              </c:strCache>
            </c:strRef>
          </c:tx>
          <c:spPr>
            <a:solidFill>
              <a:srgbClr val="FFCC66"/>
            </a:solidFill>
            <a:ln>
              <a:noFill/>
            </a:ln>
            <a:effectLst/>
          </c:spPr>
          <c:invertIfNegative val="0"/>
          <c:dPt>
            <c:idx val="2"/>
            <c:invertIfNegative val="0"/>
            <c:bubble3D val="0"/>
            <c:spPr>
              <a:solidFill>
                <a:srgbClr val="FFCC66"/>
              </a:solidFill>
              <a:ln>
                <a:noFill/>
              </a:ln>
              <a:effectLst/>
            </c:spPr>
            <c:extLst xmlns:c16r2="http://schemas.microsoft.com/office/drawing/2015/06/chart">
              <c:ext xmlns:c16="http://schemas.microsoft.com/office/drawing/2014/chart" uri="{C3380CC4-5D6E-409C-BE32-E72D297353CC}">
                <c16:uniqueId val="{00000000-39F5-4B9C-80E6-CD15DA3EA92C}"/>
              </c:ext>
            </c:extLst>
          </c:dPt>
          <c:dPt>
            <c:idx val="3"/>
            <c:invertIfNegative val="0"/>
            <c:bubble3D val="0"/>
            <c:spPr>
              <a:solidFill>
                <a:srgbClr val="FFCC66"/>
              </a:solidFill>
              <a:ln>
                <a:noFill/>
              </a:ln>
              <a:effectLst/>
            </c:spPr>
            <c:extLst xmlns:c16r2="http://schemas.microsoft.com/office/drawing/2015/06/chart">
              <c:ext xmlns:c16="http://schemas.microsoft.com/office/drawing/2014/chart" uri="{C3380CC4-5D6E-409C-BE32-E72D297353CC}">
                <c16:uniqueId val="{00000005-1DF6-4114-A9E8-E736DF150187}"/>
              </c:ext>
            </c:extLst>
          </c:dPt>
          <c:dPt>
            <c:idx val="6"/>
            <c:invertIfNegative val="0"/>
            <c:bubble3D val="0"/>
            <c:spPr>
              <a:solidFill>
                <a:srgbClr val="FFCC66"/>
              </a:solidFill>
              <a:ln>
                <a:noFill/>
              </a:ln>
              <a:effectLst/>
            </c:spPr>
            <c:extLst xmlns:c16r2="http://schemas.microsoft.com/office/drawing/2015/06/chart">
              <c:ext xmlns:c16="http://schemas.microsoft.com/office/drawing/2014/chart" uri="{C3380CC4-5D6E-409C-BE32-E72D297353CC}">
                <c16:uniqueId val="{00000004-1DF6-4114-A9E8-E736DF150187}"/>
              </c:ext>
            </c:extLst>
          </c:dPt>
          <c:dPt>
            <c:idx val="8"/>
            <c:invertIfNegative val="0"/>
            <c:bubble3D val="0"/>
            <c:spPr>
              <a:solidFill>
                <a:srgbClr val="FFCC66"/>
              </a:solidFill>
              <a:ln>
                <a:noFill/>
              </a:ln>
              <a:effectLst/>
            </c:spPr>
            <c:extLst xmlns:c16r2="http://schemas.microsoft.com/office/drawing/2015/06/chart">
              <c:ext xmlns:c16="http://schemas.microsoft.com/office/drawing/2014/chart" uri="{C3380CC4-5D6E-409C-BE32-E72D297353CC}">
                <c16:uniqueId val="{00000003-1DF6-4114-A9E8-E736DF150187}"/>
              </c:ext>
            </c:extLst>
          </c:dPt>
          <c:dPt>
            <c:idx val="9"/>
            <c:invertIfNegative val="0"/>
            <c:bubble3D val="0"/>
            <c:spPr>
              <a:solidFill>
                <a:srgbClr val="FFCC66"/>
              </a:solidFill>
              <a:ln>
                <a:noFill/>
              </a:ln>
              <a:effectLst/>
            </c:spPr>
            <c:extLst xmlns:c16r2="http://schemas.microsoft.com/office/drawing/2015/06/chart">
              <c:ext xmlns:c16="http://schemas.microsoft.com/office/drawing/2014/chart" uri="{C3380CC4-5D6E-409C-BE32-E72D297353CC}">
                <c16:uniqueId val="{00000001-1DF6-4114-A9E8-E736DF150187}"/>
              </c:ext>
            </c:extLst>
          </c:dPt>
          <c:dPt>
            <c:idx val="10"/>
            <c:invertIfNegative val="0"/>
            <c:bubble3D val="0"/>
            <c:spPr>
              <a:solidFill>
                <a:srgbClr val="FFCC66"/>
              </a:solidFill>
              <a:ln>
                <a:noFill/>
              </a:ln>
              <a:effectLst/>
            </c:spPr>
            <c:extLst xmlns:c16r2="http://schemas.microsoft.com/office/drawing/2015/06/chart">
              <c:ext xmlns:c16="http://schemas.microsoft.com/office/drawing/2014/chart" uri="{C3380CC4-5D6E-409C-BE32-E72D297353CC}">
                <c16:uniqueId val="{00000000-1DF6-4114-A9E8-E736DF150187}"/>
              </c:ext>
            </c:extLst>
          </c:dPt>
          <c:dLbls>
            <c:dLbl>
              <c:idx val="2"/>
              <c:layout>
                <c:manualLayout>
                  <c:x val="3.9135751939237849E-3"/>
                  <c:y val="-1.3918385133072236E-1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3"/>
              <c:layout>
                <c:manualLayout>
                  <c:x val="1.5942662969131625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6"/>
              <c:layout>
                <c:manualLayout>
                  <c:x val="8.390875246911414E-3"/>
                  <c:y val="-3.795967068939544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8"/>
              <c:layout>
                <c:manualLayout>
                  <c:x val="6.712700197529009E-3"/>
                  <c:y val="-1.897983534469772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9"/>
              <c:layout>
                <c:manualLayout>
                  <c:x val="1.0858291414423392E-2"/>
                  <c:y val="-3.795967068939544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10"/>
              <c:layout>
                <c:manualLayout>
                  <c:x val="2.5172625740733012E-3"/>
                  <c:y val="5.124555543068377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GRAFICOS!$B$4:$B$15</c:f>
              <c:strCache>
                <c:ptCount val="11"/>
                <c:pt idx="0">
                  <c:v>ADQUISICIÓN DE ACTIVOS FINANCIEROS </c:v>
                </c:pt>
                <c:pt idx="1">
                  <c:v>ADQUISICIÓN DE ACTIVOS NO FINANCIEROS</c:v>
                </c:pt>
                <c:pt idx="2">
                  <c:v>BIENES Y SERVICIOS DE CONSUMO</c:v>
                </c:pt>
                <c:pt idx="3">
                  <c:v>GASTOS EN PERSONAL</c:v>
                </c:pt>
                <c:pt idx="4">
                  <c:v>INGRESOS AL FISCO</c:v>
                </c:pt>
                <c:pt idx="5">
                  <c:v>PRESTACIONES DE SEGURIDAD SOCIAL</c:v>
                </c:pt>
                <c:pt idx="6">
                  <c:v>PRESTAMOS </c:v>
                </c:pt>
                <c:pt idx="7">
                  <c:v>SALDO FINAL DE CAJA</c:v>
                </c:pt>
                <c:pt idx="8">
                  <c:v>SERVICIO DE LA DEUDA</c:v>
                </c:pt>
                <c:pt idx="9">
                  <c:v>TRANSFERENCIAS CORRIENTES </c:v>
                </c:pt>
                <c:pt idx="10">
                  <c:v>TRANSFERENCIAS DE CAPITAL </c:v>
                </c:pt>
              </c:strCache>
            </c:strRef>
          </c:cat>
          <c:val>
            <c:numRef>
              <c:f>GRAFICOS!$D$4:$D$15</c:f>
              <c:numCache>
                <c:formatCode>General</c:formatCode>
                <c:ptCount val="11"/>
                <c:pt idx="0">
                  <c:v>0</c:v>
                </c:pt>
                <c:pt idx="1">
                  <c:v>332151</c:v>
                </c:pt>
                <c:pt idx="2">
                  <c:v>4638697</c:v>
                </c:pt>
                <c:pt idx="3">
                  <c:v>17374205</c:v>
                </c:pt>
                <c:pt idx="4">
                  <c:v>165755</c:v>
                </c:pt>
                <c:pt idx="5">
                  <c:v>183168</c:v>
                </c:pt>
                <c:pt idx="6">
                  <c:v>5667935</c:v>
                </c:pt>
                <c:pt idx="7">
                  <c:v>0</c:v>
                </c:pt>
                <c:pt idx="8">
                  <c:v>19134769</c:v>
                </c:pt>
                <c:pt idx="9">
                  <c:v>85818758</c:v>
                </c:pt>
                <c:pt idx="10">
                  <c:v>322962944</c:v>
                </c:pt>
              </c:numCache>
            </c:numRef>
          </c:val>
          <c:extLst xmlns:c16r2="http://schemas.microsoft.com/office/drawing/2015/06/chart">
            <c:ext xmlns:c16="http://schemas.microsoft.com/office/drawing/2014/chart" uri="{C3380CC4-5D6E-409C-BE32-E72D297353CC}">
              <c16:uniqueId val="{00000001-153C-454B-B08B-270717E332D8}"/>
            </c:ext>
          </c:extLst>
        </c:ser>
        <c:dLbls>
          <c:showLegendKey val="0"/>
          <c:showVal val="1"/>
          <c:showCatName val="0"/>
          <c:showSerName val="0"/>
          <c:showPercent val="0"/>
          <c:showBubbleSize val="0"/>
        </c:dLbls>
        <c:gapWidth val="150"/>
        <c:overlap val="-25"/>
        <c:axId val="997315328"/>
        <c:axId val="997310432"/>
      </c:barChart>
      <c:catAx>
        <c:axId val="9973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997310432"/>
        <c:crosses val="autoZero"/>
        <c:auto val="1"/>
        <c:lblAlgn val="ctr"/>
        <c:lblOffset val="100"/>
        <c:noMultiLvlLbl val="0"/>
      </c:catAx>
      <c:valAx>
        <c:axId val="997310432"/>
        <c:scaling>
          <c:orientation val="minMax"/>
        </c:scaling>
        <c:delete val="1"/>
        <c:axPos val="l"/>
        <c:numFmt formatCode="General" sourceLinked="1"/>
        <c:majorTickMark val="none"/>
        <c:minorTickMark val="none"/>
        <c:tickLblPos val="nextTo"/>
        <c:crossAx val="99731532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317</xdr:row>
      <xdr:rowOff>14289</xdr:rowOff>
    </xdr:from>
    <xdr:to>
      <xdr:col>15</xdr:col>
      <xdr:colOff>190500</xdr:colOff>
      <xdr:row>345</xdr:row>
      <xdr:rowOff>16670</xdr:rowOff>
    </xdr:to>
    <xdr:graphicFrame macro="">
      <xdr:nvGraphicFramePr>
        <xdr:cNvPr id="6" name="Gráfico 5">
          <a:extLst>
            <a:ext uri="{FF2B5EF4-FFF2-40B4-BE49-F238E27FC236}">
              <a16:creationId xmlns:a16="http://schemas.microsoft.com/office/drawing/2014/main" xmlns=""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71437</xdr:colOff>
      <xdr:row>345</xdr:row>
      <xdr:rowOff>45244</xdr:rowOff>
    </xdr:from>
    <xdr:to>
      <xdr:col>15</xdr:col>
      <xdr:colOff>190500</xdr:colOff>
      <xdr:row>373</xdr:row>
      <xdr:rowOff>59531</xdr:rowOff>
    </xdr:to>
    <xdr:graphicFrame macro="">
      <xdr:nvGraphicFramePr>
        <xdr:cNvPr id="7" name="Gráfico 6">
          <a:extLst>
            <a:ext uri="{FF2B5EF4-FFF2-40B4-BE49-F238E27FC236}">
              <a16:creationId xmlns:a16="http://schemas.microsoft.com/office/drawing/2014/main" xmlns=""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35719</xdr:colOff>
      <xdr:row>373</xdr:row>
      <xdr:rowOff>59531</xdr:rowOff>
    </xdr:from>
    <xdr:to>
      <xdr:col>15</xdr:col>
      <xdr:colOff>261939</xdr:colOff>
      <xdr:row>401</xdr:row>
      <xdr:rowOff>59530</xdr:rowOff>
    </xdr:to>
    <xdr:graphicFrame macro="">
      <xdr:nvGraphicFramePr>
        <xdr:cNvPr id="8" name="Gráfico 7">
          <a:extLst>
            <a:ext uri="{FF2B5EF4-FFF2-40B4-BE49-F238E27FC236}">
              <a16:creationId xmlns:a16="http://schemas.microsoft.com/office/drawing/2014/main" xmlns=""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74083</xdr:colOff>
      <xdr:row>401</xdr:row>
      <xdr:rowOff>103188</xdr:rowOff>
    </xdr:from>
    <xdr:to>
      <xdr:col>15</xdr:col>
      <xdr:colOff>85989</xdr:colOff>
      <xdr:row>429</xdr:row>
      <xdr:rowOff>67470</xdr:rowOff>
    </xdr:to>
    <xdr:graphicFrame macro="">
      <xdr:nvGraphicFramePr>
        <xdr:cNvPr id="9" name="Gráfico 8">
          <a:extLst>
            <a:ext uri="{FF2B5EF4-FFF2-40B4-BE49-F238E27FC236}">
              <a16:creationId xmlns:a16="http://schemas.microsoft.com/office/drawing/2014/main" xmlns=""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142875</xdr:colOff>
      <xdr:row>35</xdr:row>
      <xdr:rowOff>59531</xdr:rowOff>
    </xdr:from>
    <xdr:to>
      <xdr:col>15</xdr:col>
      <xdr:colOff>309562</xdr:colOff>
      <xdr:row>165</xdr:row>
      <xdr:rowOff>142875</xdr:rowOff>
    </xdr:to>
    <xdr:graphicFrame macro="">
      <xdr:nvGraphicFramePr>
        <xdr:cNvPr id="15" name="Gráfico 14">
          <a:extLst>
            <a:ext uri="{FF2B5EF4-FFF2-40B4-BE49-F238E27FC236}">
              <a16:creationId xmlns:a16="http://schemas.microsoft.com/office/drawing/2014/main" xmlns=""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166</xdr:row>
      <xdr:rowOff>107155</xdr:rowOff>
    </xdr:from>
    <xdr:to>
      <xdr:col>15</xdr:col>
      <xdr:colOff>202406</xdr:colOff>
      <xdr:row>316</xdr:row>
      <xdr:rowOff>71437</xdr:rowOff>
    </xdr:to>
    <xdr:graphicFrame macro="">
      <xdr:nvGraphicFramePr>
        <xdr:cNvPr id="5" name="Gráfico 4">
          <a:extLst>
            <a:ext uri="{FF2B5EF4-FFF2-40B4-BE49-F238E27FC236}">
              <a16:creationId xmlns:a16="http://schemas.microsoft.com/office/drawing/2014/main" xmlns=""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1</xdr:rowOff>
    </xdr:from>
    <xdr:to>
      <xdr:col>15</xdr:col>
      <xdr:colOff>202406</xdr:colOff>
      <xdr:row>35</xdr:row>
      <xdr:rowOff>23813</xdr:rowOff>
    </xdr:to>
    <xdr:graphicFrame macro="">
      <xdr:nvGraphicFramePr>
        <xdr:cNvPr id="13" name="Gráfico 12">
          <a:extLst>
            <a:ext uri="{FF2B5EF4-FFF2-40B4-BE49-F238E27FC236}">
              <a16:creationId xmlns:a16="http://schemas.microsoft.com/office/drawing/2014/main" xmlns=""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0112011\escritorio\Respaldo%20pc%20seba\Respaldo%20pc%20seba\PRESUPUESTO%20SUBDERE\PRESUPUESTO%202014\Presupues%20Para%20Trabajar%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Presupuesto%202014\Presupuesto%202014\Presupues%20y%20Compromisos%2031.1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od 1"/>
      <sheetName val="Hoja3"/>
      <sheetName val="Hoja2"/>
      <sheetName val="Clasificador Presupuestario"/>
    </sheetNames>
    <sheetDataSet>
      <sheetData sheetId="0" refreshError="1"/>
      <sheetData sheetId="1" refreshError="1"/>
      <sheetData sheetId="2" refreshError="1"/>
      <sheetData sheetId="3" refreshError="1"/>
      <sheetData sheetId="4">
        <row r="1">
          <cell r="A1" t="str">
            <v>Id</v>
          </cell>
          <cell r="B1" t="str">
            <v>Código</v>
          </cell>
          <cell r="C1" t="str">
            <v>Nombre</v>
          </cell>
        </row>
        <row r="2">
          <cell r="A2">
            <v>201944379</v>
          </cell>
          <cell r="B2">
            <v>1</v>
          </cell>
          <cell r="C2" t="str">
            <v>IMPUESTOS</v>
          </cell>
        </row>
        <row r="3">
          <cell r="A3">
            <v>201944380</v>
          </cell>
          <cell r="B3">
            <v>101</v>
          </cell>
          <cell r="C3" t="str">
            <v>Impuestos a la Renta</v>
          </cell>
        </row>
        <row r="4">
          <cell r="A4">
            <v>201944381</v>
          </cell>
          <cell r="B4">
            <v>101001</v>
          </cell>
          <cell r="C4" t="str">
            <v>Primera Categoria</v>
          </cell>
        </row>
        <row r="5">
          <cell r="A5">
            <v>201944382</v>
          </cell>
          <cell r="B5">
            <v>101002</v>
          </cell>
          <cell r="C5" t="str">
            <v>Segunda Categoria, Sueldos, Salarios y Pensiones</v>
          </cell>
        </row>
        <row r="6">
          <cell r="A6">
            <v>201944383</v>
          </cell>
          <cell r="B6">
            <v>101003</v>
          </cell>
          <cell r="C6" t="str">
            <v>Global Complementario</v>
          </cell>
        </row>
        <row r="7">
          <cell r="A7">
            <v>201944384</v>
          </cell>
          <cell r="B7">
            <v>101004</v>
          </cell>
          <cell r="C7" t="str">
            <v>Adicional</v>
          </cell>
        </row>
        <row r="8">
          <cell r="A8">
            <v>201944385</v>
          </cell>
          <cell r="B8">
            <v>101005</v>
          </cell>
          <cell r="C8" t="str">
            <v>Tasa 40% DL N 2.398 de 1978</v>
          </cell>
        </row>
        <row r="9">
          <cell r="A9">
            <v>201944386</v>
          </cell>
          <cell r="B9">
            <v>101006</v>
          </cell>
          <cell r="C9" t="str">
            <v>Articulo 21 Ley Impuesto a la Renta</v>
          </cell>
        </row>
        <row r="10">
          <cell r="A10">
            <v>201944387</v>
          </cell>
          <cell r="B10">
            <v>101007</v>
          </cell>
          <cell r="C10" t="str">
            <v>Termino de Giro</v>
          </cell>
        </row>
        <row r="11">
          <cell r="A11">
            <v>201944388</v>
          </cell>
          <cell r="B11">
            <v>102</v>
          </cell>
          <cell r="C11" t="str">
            <v>Impuesto al Valor Agregado</v>
          </cell>
        </row>
        <row r="12">
          <cell r="A12">
            <v>201944389</v>
          </cell>
          <cell r="B12">
            <v>102001</v>
          </cell>
          <cell r="C12" t="str">
            <v>Tasa General Debitos</v>
          </cell>
        </row>
        <row r="13">
          <cell r="A13">
            <v>201944390</v>
          </cell>
          <cell r="B13">
            <v>102002</v>
          </cell>
          <cell r="C13" t="str">
            <v>Tasa General Creditos</v>
          </cell>
        </row>
        <row r="14">
          <cell r="A14">
            <v>201944391</v>
          </cell>
          <cell r="B14">
            <v>102101</v>
          </cell>
          <cell r="C14" t="str">
            <v>Tasas Especiales Debitos</v>
          </cell>
        </row>
        <row r="15">
          <cell r="A15">
            <v>201944392</v>
          </cell>
          <cell r="B15">
            <v>102102</v>
          </cell>
          <cell r="C15" t="str">
            <v>Tasas Especiales Creditos</v>
          </cell>
        </row>
        <row r="16">
          <cell r="A16">
            <v>201944393</v>
          </cell>
          <cell r="B16">
            <v>102201</v>
          </cell>
          <cell r="C16" t="str">
            <v>Tasa General de Importaciones</v>
          </cell>
        </row>
        <row r="17">
          <cell r="A17">
            <v>201944394</v>
          </cell>
          <cell r="B17">
            <v>103</v>
          </cell>
          <cell r="C17" t="str">
            <v>Impuestos a Productos Especificos</v>
          </cell>
        </row>
        <row r="18">
          <cell r="A18">
            <v>201944395</v>
          </cell>
          <cell r="B18">
            <v>103001</v>
          </cell>
          <cell r="C18" t="str">
            <v>Tabacos, Cigarros y Cigarrillos</v>
          </cell>
        </row>
        <row r="19">
          <cell r="A19">
            <v>201944396</v>
          </cell>
          <cell r="B19">
            <v>103002</v>
          </cell>
          <cell r="C19" t="str">
            <v>Derechos de Explotacion ENAP</v>
          </cell>
        </row>
        <row r="20">
          <cell r="A20">
            <v>201944397</v>
          </cell>
          <cell r="B20">
            <v>103003</v>
          </cell>
          <cell r="C20" t="str">
            <v>Gasolinas, Petroleo Diesel y Otros</v>
          </cell>
        </row>
        <row r="21">
          <cell r="A21">
            <v>201944398</v>
          </cell>
          <cell r="B21">
            <v>104</v>
          </cell>
          <cell r="C21" t="str">
            <v>Impuestos a los Actos Juridicos</v>
          </cell>
        </row>
        <row r="22">
          <cell r="A22">
            <v>201944399</v>
          </cell>
          <cell r="B22">
            <v>105</v>
          </cell>
          <cell r="C22" t="str">
            <v>Impuestos al Comercio Exterior</v>
          </cell>
        </row>
        <row r="23">
          <cell r="A23">
            <v>201944400</v>
          </cell>
          <cell r="B23">
            <v>105001</v>
          </cell>
          <cell r="C23" t="str">
            <v>Derechos Especificos de Internacion</v>
          </cell>
        </row>
        <row r="24">
          <cell r="A24">
            <v>201944401</v>
          </cell>
          <cell r="B24">
            <v>105002</v>
          </cell>
          <cell r="C24" t="str">
            <v>Derechos Ad-Valorem</v>
          </cell>
        </row>
        <row r="25">
          <cell r="A25">
            <v>201944402</v>
          </cell>
          <cell r="B25">
            <v>105003</v>
          </cell>
          <cell r="C25" t="str">
            <v>Otros</v>
          </cell>
        </row>
        <row r="26">
          <cell r="A26">
            <v>201944403</v>
          </cell>
          <cell r="B26">
            <v>105004</v>
          </cell>
          <cell r="C26" t="str">
            <v>Sistemas de Pago</v>
          </cell>
        </row>
        <row r="27">
          <cell r="A27">
            <v>201944404</v>
          </cell>
          <cell r="B27">
            <v>106</v>
          </cell>
          <cell r="C27" t="str">
            <v>Impuestos Varios</v>
          </cell>
        </row>
        <row r="28">
          <cell r="A28">
            <v>201944405</v>
          </cell>
          <cell r="B28">
            <v>106001</v>
          </cell>
          <cell r="C28" t="str">
            <v>Herencias y Donaciones</v>
          </cell>
        </row>
        <row r="29">
          <cell r="A29">
            <v>201944406</v>
          </cell>
          <cell r="B29">
            <v>106002</v>
          </cell>
          <cell r="C29" t="str">
            <v>Patentes Mineras</v>
          </cell>
        </row>
        <row r="30">
          <cell r="A30">
            <v>201944407</v>
          </cell>
          <cell r="B30">
            <v>106004</v>
          </cell>
          <cell r="C30" t="str">
            <v>Juegos de Azar</v>
          </cell>
        </row>
        <row r="31">
          <cell r="A31">
            <v>201944408</v>
          </cell>
          <cell r="B31">
            <v>106006</v>
          </cell>
          <cell r="C31" t="str">
            <v>Otros</v>
          </cell>
        </row>
        <row r="32">
          <cell r="A32">
            <v>201944409</v>
          </cell>
          <cell r="B32">
            <v>107</v>
          </cell>
          <cell r="C32" t="str">
            <v>Otros Ingresos Tributarios</v>
          </cell>
        </row>
        <row r="33">
          <cell r="A33">
            <v>201944410</v>
          </cell>
          <cell r="B33">
            <v>107001</v>
          </cell>
          <cell r="C33" t="str">
            <v>Reajuste de Impuestos de Declaracion Anual</v>
          </cell>
        </row>
        <row r="34">
          <cell r="A34">
            <v>201944411</v>
          </cell>
          <cell r="B34">
            <v>107002</v>
          </cell>
          <cell r="C34" t="str">
            <v>Multas e Intereses por Impuestos</v>
          </cell>
        </row>
        <row r="35">
          <cell r="A35">
            <v>201944412</v>
          </cell>
          <cell r="B35">
            <v>109</v>
          </cell>
          <cell r="C35" t="str">
            <v>Sistema de Pago de Impuestos</v>
          </cell>
        </row>
        <row r="36">
          <cell r="A36">
            <v>201944413</v>
          </cell>
          <cell r="B36">
            <v>109001</v>
          </cell>
          <cell r="C36" t="str">
            <v>Pagos Provisionales del Ano</v>
          </cell>
        </row>
        <row r="37">
          <cell r="A37">
            <v>201944414</v>
          </cell>
          <cell r="B37">
            <v>109002</v>
          </cell>
          <cell r="C37" t="str">
            <v>Creditos para Declaracion Anual de Renta</v>
          </cell>
        </row>
        <row r="38">
          <cell r="A38">
            <v>201944415</v>
          </cell>
          <cell r="B38">
            <v>109003</v>
          </cell>
          <cell r="C38" t="str">
            <v>Devoluciones Determinadas Declaracion Anual de Renta</v>
          </cell>
        </row>
        <row r="39">
          <cell r="A39">
            <v>201944416</v>
          </cell>
          <cell r="B39">
            <v>109004</v>
          </cell>
          <cell r="C39" t="str">
            <v>Devoluciones de Renta</v>
          </cell>
        </row>
        <row r="40">
          <cell r="A40">
            <v>201944417</v>
          </cell>
          <cell r="B40">
            <v>109005</v>
          </cell>
          <cell r="C40" t="str">
            <v>Reintegro de Devoluciones de Renta</v>
          </cell>
        </row>
        <row r="41">
          <cell r="A41">
            <v>201944418</v>
          </cell>
          <cell r="B41">
            <v>109101</v>
          </cell>
          <cell r="C41" t="str">
            <v>IVA Remanente Credito del Periodo</v>
          </cell>
        </row>
        <row r="42">
          <cell r="A42">
            <v>201944419</v>
          </cell>
          <cell r="B42">
            <v>109102</v>
          </cell>
          <cell r="C42" t="str">
            <v>IVA Remanente Credito Periodos Anteriores</v>
          </cell>
        </row>
        <row r="43">
          <cell r="A43">
            <v>201944420</v>
          </cell>
          <cell r="B43">
            <v>109103</v>
          </cell>
          <cell r="C43" t="str">
            <v>Devoluciones de IVA</v>
          </cell>
        </row>
        <row r="44">
          <cell r="A44">
            <v>201944421</v>
          </cell>
          <cell r="B44">
            <v>109104</v>
          </cell>
          <cell r="C44" t="str">
            <v>Reintegro de Devoluciones de IVA</v>
          </cell>
        </row>
        <row r="45">
          <cell r="A45">
            <v>201944422</v>
          </cell>
          <cell r="B45">
            <v>109201</v>
          </cell>
          <cell r="C45" t="str">
            <v>Devoluciones de Aduanas</v>
          </cell>
        </row>
        <row r="46">
          <cell r="A46">
            <v>201944423</v>
          </cell>
          <cell r="B46">
            <v>109202</v>
          </cell>
          <cell r="C46" t="str">
            <v>Devoluciones de Otros Impuestos</v>
          </cell>
        </row>
        <row r="47">
          <cell r="A47">
            <v>201944424</v>
          </cell>
          <cell r="B47">
            <v>109301</v>
          </cell>
          <cell r="C47" t="str">
            <v>Fluctuacion Deudores del Periodo</v>
          </cell>
        </row>
        <row r="48">
          <cell r="A48">
            <v>201944425</v>
          </cell>
          <cell r="B48">
            <v>109302</v>
          </cell>
          <cell r="C48" t="str">
            <v>Fluctuacion Deudores de Periodos Anteriores</v>
          </cell>
        </row>
        <row r="49">
          <cell r="A49">
            <v>201944426</v>
          </cell>
          <cell r="B49">
            <v>109303</v>
          </cell>
          <cell r="C49" t="str">
            <v>Reajuste por Pago Fuera de Plazo</v>
          </cell>
        </row>
        <row r="50">
          <cell r="A50">
            <v>201944427</v>
          </cell>
          <cell r="B50">
            <v>109401</v>
          </cell>
          <cell r="C50" t="str">
            <v>Diferencias de Pago</v>
          </cell>
        </row>
        <row r="51">
          <cell r="A51">
            <v>201944428</v>
          </cell>
          <cell r="B51">
            <v>109501</v>
          </cell>
          <cell r="C51" t="str">
            <v>Impuestos de Declaracion y Pago Simultaneo Mensual de Empresas Constructoras</v>
          </cell>
        </row>
        <row r="52">
          <cell r="A52">
            <v>201944429</v>
          </cell>
          <cell r="B52">
            <v>109502</v>
          </cell>
          <cell r="C52" t="str">
            <v>Recuperacion Peajes Ley N 19.764</v>
          </cell>
        </row>
        <row r="53">
          <cell r="A53">
            <v>201944430</v>
          </cell>
          <cell r="B53">
            <v>109601</v>
          </cell>
          <cell r="C53" t="str">
            <v>Aplicacion Articulo 8 Ley N 18.566</v>
          </cell>
        </row>
        <row r="54">
          <cell r="A54">
            <v>201944431</v>
          </cell>
          <cell r="B54">
            <v>109701</v>
          </cell>
          <cell r="C54" t="str">
            <v>Conversion de Pagos en Moneda Extranjera</v>
          </cell>
        </row>
        <row r="55">
          <cell r="A55">
            <v>201944432</v>
          </cell>
          <cell r="B55">
            <v>4</v>
          </cell>
          <cell r="C55" t="str">
            <v>IMPOSICIONES PREVISIONALES</v>
          </cell>
        </row>
        <row r="56">
          <cell r="A56">
            <v>201944433</v>
          </cell>
          <cell r="B56">
            <v>401</v>
          </cell>
          <cell r="C56" t="str">
            <v>Aportes del Empleador</v>
          </cell>
        </row>
        <row r="57">
          <cell r="A57">
            <v>201944434</v>
          </cell>
          <cell r="B57">
            <v>401001</v>
          </cell>
          <cell r="C57" t="str">
            <v>Cotizaciones para la Ley de Accidentes del Trabajo</v>
          </cell>
        </row>
        <row r="58">
          <cell r="A58">
            <v>201944435</v>
          </cell>
          <cell r="B58">
            <v>401999</v>
          </cell>
          <cell r="C58" t="str">
            <v>Otros</v>
          </cell>
        </row>
        <row r="59">
          <cell r="A59">
            <v>201944436</v>
          </cell>
          <cell r="B59">
            <v>402</v>
          </cell>
          <cell r="C59" t="str">
            <v>Aportes del Trabajador</v>
          </cell>
        </row>
        <row r="60">
          <cell r="A60">
            <v>201944437</v>
          </cell>
          <cell r="B60">
            <v>402001</v>
          </cell>
          <cell r="C60" t="str">
            <v>Cotizaciones para el Fondo de Pensiones</v>
          </cell>
        </row>
        <row r="61">
          <cell r="A61">
            <v>201944438</v>
          </cell>
          <cell r="B61">
            <v>402002</v>
          </cell>
          <cell r="C61" t="str">
            <v>Cotizaciones para Salud</v>
          </cell>
        </row>
        <row r="62">
          <cell r="A62">
            <v>201944439</v>
          </cell>
          <cell r="B62">
            <v>402999</v>
          </cell>
          <cell r="C62" t="str">
            <v>Otros</v>
          </cell>
        </row>
        <row r="63">
          <cell r="A63">
            <v>201944440</v>
          </cell>
          <cell r="B63">
            <v>5</v>
          </cell>
          <cell r="C63" t="str">
            <v>TRANSFERENCIAS CORRIENTES</v>
          </cell>
        </row>
        <row r="64">
          <cell r="A64">
            <v>201944541</v>
          </cell>
          <cell r="B64">
            <v>501</v>
          </cell>
          <cell r="C64" t="str">
            <v>Del Sector Privado</v>
          </cell>
        </row>
        <row r="65">
          <cell r="A65">
            <v>201944542</v>
          </cell>
          <cell r="B65">
            <v>502</v>
          </cell>
          <cell r="C65" t="str">
            <v>Del Gobierno Central</v>
          </cell>
        </row>
        <row r="66">
          <cell r="A66">
            <v>201944543</v>
          </cell>
          <cell r="B66">
            <v>503</v>
          </cell>
          <cell r="C66" t="str">
            <v>De Otras Entidades Publicas</v>
          </cell>
        </row>
        <row r="67">
          <cell r="A67">
            <v>201944544</v>
          </cell>
          <cell r="B67">
            <v>504</v>
          </cell>
          <cell r="C67" t="str">
            <v>De Empresas Publicas no Financieras</v>
          </cell>
        </row>
        <row r="68">
          <cell r="A68">
            <v>201944545</v>
          </cell>
          <cell r="B68">
            <v>505</v>
          </cell>
          <cell r="C68" t="str">
            <v>De Empresas Publicas Financieras</v>
          </cell>
        </row>
        <row r="69">
          <cell r="A69">
            <v>201944546</v>
          </cell>
          <cell r="B69">
            <v>506</v>
          </cell>
          <cell r="C69" t="str">
            <v>De Gobiernos Extranjeros</v>
          </cell>
        </row>
        <row r="70">
          <cell r="A70">
            <v>201944547</v>
          </cell>
          <cell r="B70">
            <v>507</v>
          </cell>
          <cell r="C70" t="str">
            <v>De Organismos Internacionales</v>
          </cell>
        </row>
        <row r="71">
          <cell r="A71">
            <v>201944548</v>
          </cell>
          <cell r="B71">
            <v>6</v>
          </cell>
          <cell r="C71" t="str">
            <v>RENTAS DE LA PROPIEDAD</v>
          </cell>
        </row>
        <row r="72">
          <cell r="A72">
            <v>201944549</v>
          </cell>
          <cell r="B72">
            <v>601</v>
          </cell>
          <cell r="C72" t="str">
            <v>Arriendo de Activos No Financieros</v>
          </cell>
        </row>
        <row r="73">
          <cell r="A73">
            <v>201944550</v>
          </cell>
          <cell r="B73">
            <v>602</v>
          </cell>
          <cell r="C73" t="str">
            <v>Dividendos</v>
          </cell>
        </row>
        <row r="74">
          <cell r="A74">
            <v>201944551</v>
          </cell>
          <cell r="B74">
            <v>603</v>
          </cell>
          <cell r="C74" t="str">
            <v>Intereses</v>
          </cell>
        </row>
        <row r="75">
          <cell r="A75">
            <v>201944552</v>
          </cell>
          <cell r="B75">
            <v>604</v>
          </cell>
          <cell r="C75" t="str">
            <v>Participacion de Utilidades</v>
          </cell>
        </row>
        <row r="76">
          <cell r="A76">
            <v>201944553</v>
          </cell>
          <cell r="B76">
            <v>699</v>
          </cell>
          <cell r="C76" t="str">
            <v>Otras Rentas de la Propiedad</v>
          </cell>
        </row>
        <row r="77">
          <cell r="A77">
            <v>201944554</v>
          </cell>
          <cell r="B77">
            <v>7</v>
          </cell>
          <cell r="C77" t="str">
            <v>INGRESOS DE OPERACIN</v>
          </cell>
        </row>
        <row r="78">
          <cell r="A78">
            <v>201944555</v>
          </cell>
          <cell r="B78">
            <v>701</v>
          </cell>
          <cell r="C78" t="str">
            <v>Venta de Bienes</v>
          </cell>
        </row>
        <row r="79">
          <cell r="A79">
            <v>201944556</v>
          </cell>
          <cell r="B79">
            <v>702</v>
          </cell>
          <cell r="C79" t="str">
            <v>Venta de Servicios</v>
          </cell>
        </row>
        <row r="80">
          <cell r="A80">
            <v>201944557</v>
          </cell>
          <cell r="B80">
            <v>8</v>
          </cell>
          <cell r="C80" t="str">
            <v>OTROS INGRESOS CORRIENTES</v>
          </cell>
        </row>
        <row r="81">
          <cell r="A81">
            <v>201944558</v>
          </cell>
          <cell r="B81">
            <v>801</v>
          </cell>
          <cell r="C81" t="str">
            <v>Recuperaciones y Reembolsos por Licencias Medicas</v>
          </cell>
        </row>
        <row r="82">
          <cell r="A82">
            <v>201943631</v>
          </cell>
          <cell r="B82">
            <v>801001</v>
          </cell>
          <cell r="C82" t="str">
            <v>Reembolsos Art. 4 Ley N 19.345 y Ley N 19.117 Art. nico</v>
          </cell>
        </row>
        <row r="83">
          <cell r="A83">
            <v>201943632</v>
          </cell>
          <cell r="B83">
            <v>801002</v>
          </cell>
          <cell r="C83" t="str">
            <v>Recuperaciones Art. 12 Ley N 18.196 y Ley N 19.117 Art. nico</v>
          </cell>
        </row>
        <row r="84">
          <cell r="A84">
            <v>201943633</v>
          </cell>
          <cell r="B84">
            <v>802</v>
          </cell>
          <cell r="C84" t="str">
            <v>Multas y Sanciones Pecuniarias</v>
          </cell>
        </row>
        <row r="85">
          <cell r="A85">
            <v>201943634</v>
          </cell>
          <cell r="B85">
            <v>804</v>
          </cell>
          <cell r="C85" t="str">
            <v>Fondos de Terceros</v>
          </cell>
        </row>
        <row r="86">
          <cell r="A86">
            <v>201943635</v>
          </cell>
          <cell r="B86">
            <v>899</v>
          </cell>
          <cell r="C86" t="str">
            <v>Otros</v>
          </cell>
        </row>
        <row r="87">
          <cell r="A87">
            <v>201943636</v>
          </cell>
          <cell r="B87">
            <v>899001</v>
          </cell>
          <cell r="C87" t="str">
            <v>Devoluciones y Reintegros no Provenientes de Impuestos</v>
          </cell>
        </row>
        <row r="88">
          <cell r="A88">
            <v>201943637</v>
          </cell>
          <cell r="B88">
            <v>899003</v>
          </cell>
          <cell r="C88" t="str">
            <v>Fondos en Administracion en Banco Central</v>
          </cell>
        </row>
        <row r="89">
          <cell r="A89">
            <v>201943638</v>
          </cell>
          <cell r="B89">
            <v>899004</v>
          </cell>
          <cell r="C89" t="str">
            <v>ntegros Ley N 19.030</v>
          </cell>
        </row>
        <row r="90">
          <cell r="A90">
            <v>201943639</v>
          </cell>
          <cell r="B90">
            <v>899999</v>
          </cell>
          <cell r="C90" t="str">
            <v>Otros</v>
          </cell>
        </row>
        <row r="91">
          <cell r="A91">
            <v>201943640</v>
          </cell>
          <cell r="B91">
            <v>9</v>
          </cell>
          <cell r="C91" t="str">
            <v>APORTE FISCAL</v>
          </cell>
        </row>
        <row r="92">
          <cell r="A92">
            <v>201943641</v>
          </cell>
          <cell r="B92">
            <v>901</v>
          </cell>
          <cell r="C92" t="str">
            <v>Libre</v>
          </cell>
        </row>
        <row r="93">
          <cell r="A93">
            <v>201944574</v>
          </cell>
          <cell r="B93">
            <v>901001</v>
          </cell>
          <cell r="C93" t="str">
            <v>Remuneraciones</v>
          </cell>
        </row>
        <row r="94">
          <cell r="A94">
            <v>201944575</v>
          </cell>
          <cell r="B94">
            <v>901002</v>
          </cell>
          <cell r="C94" t="str">
            <v>Resto</v>
          </cell>
        </row>
        <row r="95">
          <cell r="A95">
            <v>201943642</v>
          </cell>
          <cell r="B95">
            <v>902</v>
          </cell>
          <cell r="C95" t="str">
            <v>Servicio de la Deuda Interna</v>
          </cell>
        </row>
        <row r="96">
          <cell r="A96">
            <v>201943643</v>
          </cell>
          <cell r="B96">
            <v>902001</v>
          </cell>
          <cell r="C96" t="str">
            <v>Amortizaciones</v>
          </cell>
        </row>
        <row r="97">
          <cell r="A97">
            <v>201943644</v>
          </cell>
          <cell r="B97">
            <v>902002</v>
          </cell>
          <cell r="C97" t="str">
            <v>Intereses</v>
          </cell>
        </row>
        <row r="98">
          <cell r="A98">
            <v>201943645</v>
          </cell>
          <cell r="B98">
            <v>902003</v>
          </cell>
          <cell r="C98" t="str">
            <v>Otros Gastos Financieros</v>
          </cell>
        </row>
        <row r="99">
          <cell r="A99">
            <v>201943646</v>
          </cell>
          <cell r="B99">
            <v>903</v>
          </cell>
          <cell r="C99" t="str">
            <v>Servicio de la Deuda Externa</v>
          </cell>
        </row>
        <row r="100">
          <cell r="A100">
            <v>201943647</v>
          </cell>
          <cell r="B100">
            <v>903001</v>
          </cell>
          <cell r="C100" t="str">
            <v>Amortizaciones</v>
          </cell>
        </row>
        <row r="101">
          <cell r="A101">
            <v>201943648</v>
          </cell>
          <cell r="B101">
            <v>903002</v>
          </cell>
          <cell r="C101" t="str">
            <v>Intereses</v>
          </cell>
        </row>
        <row r="102">
          <cell r="A102">
            <v>201944567</v>
          </cell>
          <cell r="B102">
            <v>903002001</v>
          </cell>
          <cell r="C102" t="str">
            <v>Intereses Servicio a la Deuda</v>
          </cell>
        </row>
        <row r="103">
          <cell r="A103">
            <v>201944566</v>
          </cell>
          <cell r="B103">
            <v>903002002</v>
          </cell>
          <cell r="C103" t="str">
            <v>Comisiones Servicio a la Deuda</v>
          </cell>
        </row>
        <row r="104">
          <cell r="A104">
            <v>201943649</v>
          </cell>
          <cell r="B104">
            <v>903003</v>
          </cell>
          <cell r="C104" t="str">
            <v>Otros Gastos Financieros</v>
          </cell>
        </row>
        <row r="105">
          <cell r="A105">
            <v>201943650</v>
          </cell>
          <cell r="B105">
            <v>10</v>
          </cell>
          <cell r="C105" t="str">
            <v>VENTA DE ACTIVOS NO FINANCIEROS</v>
          </cell>
        </row>
        <row r="106">
          <cell r="A106">
            <v>201943651</v>
          </cell>
          <cell r="B106">
            <v>1001</v>
          </cell>
          <cell r="C106" t="str">
            <v>Terrenos</v>
          </cell>
        </row>
        <row r="107">
          <cell r="A107">
            <v>201943652</v>
          </cell>
          <cell r="B107">
            <v>1002</v>
          </cell>
          <cell r="C107" t="str">
            <v>Edificios</v>
          </cell>
        </row>
        <row r="108">
          <cell r="A108">
            <v>201943653</v>
          </cell>
          <cell r="B108">
            <v>1003</v>
          </cell>
          <cell r="C108" t="str">
            <v>Vehiculos</v>
          </cell>
        </row>
        <row r="109">
          <cell r="A109">
            <v>201943654</v>
          </cell>
          <cell r="B109">
            <v>1004</v>
          </cell>
          <cell r="C109" t="str">
            <v>Mobiliario y Otros</v>
          </cell>
        </row>
        <row r="110">
          <cell r="A110">
            <v>201943655</v>
          </cell>
          <cell r="B110">
            <v>1005</v>
          </cell>
          <cell r="C110" t="str">
            <v>Maquinas y Equipos</v>
          </cell>
        </row>
        <row r="111">
          <cell r="A111">
            <v>201943656</v>
          </cell>
          <cell r="B111">
            <v>1006</v>
          </cell>
          <cell r="C111" t="str">
            <v>Equipos Informaticos</v>
          </cell>
        </row>
        <row r="112">
          <cell r="A112">
            <v>201943657</v>
          </cell>
          <cell r="B112">
            <v>1007</v>
          </cell>
          <cell r="C112" t="str">
            <v>Programas Informaticos</v>
          </cell>
        </row>
        <row r="113">
          <cell r="A113">
            <v>201943658</v>
          </cell>
          <cell r="B113">
            <v>1099</v>
          </cell>
          <cell r="C113" t="str">
            <v>Otros Activos no Financieros</v>
          </cell>
        </row>
        <row r="114">
          <cell r="A114">
            <v>201943659</v>
          </cell>
          <cell r="B114">
            <v>11</v>
          </cell>
          <cell r="C114" t="str">
            <v>VENTA DE ACTIVOS FINANCIEROS</v>
          </cell>
        </row>
        <row r="115">
          <cell r="A115">
            <v>201943660</v>
          </cell>
          <cell r="B115">
            <v>1101</v>
          </cell>
          <cell r="C115" t="str">
            <v>Venta o Rescate de Titulos y Valores</v>
          </cell>
        </row>
        <row r="116">
          <cell r="A116">
            <v>201943661</v>
          </cell>
          <cell r="B116">
            <v>1101001</v>
          </cell>
          <cell r="C116" t="str">
            <v>Depositos a Plazo</v>
          </cell>
        </row>
        <row r="117">
          <cell r="A117">
            <v>201943662</v>
          </cell>
          <cell r="B117">
            <v>1101002</v>
          </cell>
          <cell r="C117" t="str">
            <v>Pactos de Retrocompra</v>
          </cell>
        </row>
        <row r="118">
          <cell r="A118">
            <v>201943663</v>
          </cell>
          <cell r="B118">
            <v>1101003</v>
          </cell>
          <cell r="C118" t="str">
            <v>Cuotas de Fondos Mutuos</v>
          </cell>
        </row>
        <row r="119">
          <cell r="A119">
            <v>201943664</v>
          </cell>
          <cell r="B119">
            <v>1101004</v>
          </cell>
          <cell r="C119" t="str">
            <v>Bonos o Pagares</v>
          </cell>
        </row>
        <row r="120">
          <cell r="A120">
            <v>201943665</v>
          </cell>
          <cell r="B120">
            <v>1101005</v>
          </cell>
          <cell r="C120" t="str">
            <v>Letras Hipotecarias</v>
          </cell>
        </row>
        <row r="121">
          <cell r="A121">
            <v>201943666</v>
          </cell>
          <cell r="B121">
            <v>1101999</v>
          </cell>
          <cell r="C121" t="str">
            <v>Otros</v>
          </cell>
        </row>
        <row r="122">
          <cell r="A122">
            <v>201943667</v>
          </cell>
          <cell r="B122">
            <v>1102</v>
          </cell>
          <cell r="C122" t="str">
            <v>Venta de Acciones y Participaciones de Capital</v>
          </cell>
        </row>
        <row r="123">
          <cell r="A123">
            <v>201943668</v>
          </cell>
          <cell r="B123">
            <v>1103</v>
          </cell>
          <cell r="C123" t="str">
            <v>Operaciones de Cambio</v>
          </cell>
        </row>
        <row r="124">
          <cell r="A124">
            <v>201943669</v>
          </cell>
          <cell r="B124">
            <v>1199</v>
          </cell>
          <cell r="C124" t="str">
            <v>Otros Activos Financieros</v>
          </cell>
        </row>
        <row r="125">
          <cell r="A125">
            <v>201943670</v>
          </cell>
          <cell r="B125">
            <v>12</v>
          </cell>
          <cell r="C125" t="str">
            <v>RECUPERACION DE PRESTAMOS</v>
          </cell>
        </row>
        <row r="126">
          <cell r="A126">
            <v>201943671</v>
          </cell>
          <cell r="B126">
            <v>1201</v>
          </cell>
          <cell r="C126" t="str">
            <v>De Asistencia Social</v>
          </cell>
        </row>
        <row r="127">
          <cell r="A127">
            <v>201943672</v>
          </cell>
          <cell r="B127">
            <v>1202</v>
          </cell>
          <cell r="C127" t="str">
            <v>Hipotecarios</v>
          </cell>
        </row>
        <row r="128">
          <cell r="A128">
            <v>201943673</v>
          </cell>
          <cell r="B128">
            <v>1203</v>
          </cell>
          <cell r="C128" t="str">
            <v>Pignoraticios</v>
          </cell>
        </row>
        <row r="129">
          <cell r="A129">
            <v>201943674</v>
          </cell>
          <cell r="B129">
            <v>1204</v>
          </cell>
          <cell r="C129" t="str">
            <v>De Fomento</v>
          </cell>
        </row>
        <row r="130">
          <cell r="A130">
            <v>201943675</v>
          </cell>
          <cell r="B130">
            <v>1205</v>
          </cell>
          <cell r="C130" t="str">
            <v>Medicos</v>
          </cell>
        </row>
        <row r="131">
          <cell r="A131">
            <v>201943676</v>
          </cell>
          <cell r="B131">
            <v>1206</v>
          </cell>
          <cell r="C131" t="str">
            <v>Por Anticipos a Contratistas</v>
          </cell>
        </row>
        <row r="132">
          <cell r="A132">
            <v>201943677</v>
          </cell>
          <cell r="B132">
            <v>1207</v>
          </cell>
          <cell r="C132" t="str">
            <v>Por Anticipos por Cambio de Residencia</v>
          </cell>
        </row>
        <row r="133">
          <cell r="A133">
            <v>201943678</v>
          </cell>
          <cell r="B133">
            <v>1209</v>
          </cell>
          <cell r="C133" t="str">
            <v>Por Ventas a Plazo</v>
          </cell>
        </row>
        <row r="134">
          <cell r="A134">
            <v>201943679</v>
          </cell>
          <cell r="B134">
            <v>1210</v>
          </cell>
          <cell r="C134" t="str">
            <v>Ingresos por Percibir</v>
          </cell>
        </row>
        <row r="135">
          <cell r="A135">
            <v>201943680</v>
          </cell>
          <cell r="B135">
            <v>13</v>
          </cell>
          <cell r="C135" t="str">
            <v>TRANSFERENCIAS PARA GASTOS DE CAPITAL</v>
          </cell>
        </row>
        <row r="136">
          <cell r="A136">
            <v>201943681</v>
          </cell>
          <cell r="B136">
            <v>1301</v>
          </cell>
          <cell r="C136" t="str">
            <v>Del Sector Privado</v>
          </cell>
        </row>
        <row r="137">
          <cell r="A137">
            <v>201943682</v>
          </cell>
          <cell r="B137">
            <v>1302</v>
          </cell>
          <cell r="C137" t="str">
            <v>Del Gobierno Central</v>
          </cell>
        </row>
        <row r="138">
          <cell r="A138">
            <v>201944576</v>
          </cell>
          <cell r="B138">
            <v>1302006</v>
          </cell>
          <cell r="C138" t="str">
            <v>Subsecretaria de Educacion</v>
          </cell>
        </row>
        <row r="139">
          <cell r="A139">
            <v>201946402</v>
          </cell>
          <cell r="B139">
            <v>1302080</v>
          </cell>
          <cell r="C139" t="str">
            <v>Tesoro Publico Ley N20.378 - Fondo De Apoyo Regional (FAR)</v>
          </cell>
        </row>
        <row r="140">
          <cell r="A140">
            <v>201943683</v>
          </cell>
          <cell r="B140">
            <v>1303</v>
          </cell>
          <cell r="C140" t="str">
            <v>De Otras Entidades Publicas</v>
          </cell>
        </row>
        <row r="141">
          <cell r="A141">
            <v>201943684</v>
          </cell>
          <cell r="B141">
            <v>1304</v>
          </cell>
          <cell r="C141" t="str">
            <v>De Empresas Publicas no Financieras</v>
          </cell>
        </row>
        <row r="142">
          <cell r="A142">
            <v>201943685</v>
          </cell>
          <cell r="B142">
            <v>1305</v>
          </cell>
          <cell r="C142" t="str">
            <v>De Empresas Publicas Financieras</v>
          </cell>
        </row>
        <row r="143">
          <cell r="A143">
            <v>201943686</v>
          </cell>
          <cell r="B143">
            <v>1306</v>
          </cell>
          <cell r="C143" t="str">
            <v>De Gobiernos Extranjeros</v>
          </cell>
        </row>
        <row r="144">
          <cell r="A144">
            <v>201943687</v>
          </cell>
          <cell r="B144">
            <v>1307</v>
          </cell>
          <cell r="C144" t="str">
            <v>De Organismos Internacionales</v>
          </cell>
        </row>
        <row r="145">
          <cell r="A145">
            <v>201943688</v>
          </cell>
          <cell r="B145">
            <v>14</v>
          </cell>
          <cell r="C145" t="str">
            <v>ENDEUDAMIENTO</v>
          </cell>
        </row>
        <row r="146">
          <cell r="A146">
            <v>201943689</v>
          </cell>
          <cell r="B146">
            <v>1401</v>
          </cell>
          <cell r="C146" t="str">
            <v>Endeudamiento Interno</v>
          </cell>
        </row>
        <row r="147">
          <cell r="A147">
            <v>201943690</v>
          </cell>
          <cell r="B147">
            <v>1401001</v>
          </cell>
          <cell r="C147" t="str">
            <v>Colocacion de Valores</v>
          </cell>
        </row>
        <row r="148">
          <cell r="A148">
            <v>201943691</v>
          </cell>
          <cell r="B148">
            <v>1401002</v>
          </cell>
          <cell r="C148" t="str">
            <v>Emprestitos</v>
          </cell>
        </row>
        <row r="149">
          <cell r="A149">
            <v>201943692</v>
          </cell>
          <cell r="B149">
            <v>1401003</v>
          </cell>
          <cell r="C149" t="str">
            <v>Creditos de Proveedores</v>
          </cell>
        </row>
        <row r="150">
          <cell r="A150">
            <v>201943693</v>
          </cell>
          <cell r="B150">
            <v>1402</v>
          </cell>
          <cell r="C150" t="str">
            <v>Endeudamiento Externo</v>
          </cell>
        </row>
        <row r="151">
          <cell r="A151">
            <v>201943694</v>
          </cell>
          <cell r="B151">
            <v>1402001</v>
          </cell>
          <cell r="C151" t="str">
            <v>Colocacion de Valores</v>
          </cell>
        </row>
        <row r="152">
          <cell r="A152">
            <v>201943695</v>
          </cell>
          <cell r="B152">
            <v>1402002</v>
          </cell>
          <cell r="C152" t="str">
            <v>Emprestitos</v>
          </cell>
        </row>
        <row r="153">
          <cell r="A153">
            <v>201943696</v>
          </cell>
          <cell r="B153">
            <v>1402003</v>
          </cell>
          <cell r="C153" t="str">
            <v>Creditos de Proveedores</v>
          </cell>
        </row>
        <row r="154">
          <cell r="A154">
            <v>201943697</v>
          </cell>
          <cell r="B154">
            <v>15</v>
          </cell>
          <cell r="C154" t="str">
            <v>SALDO INICIAL DE CAJA</v>
          </cell>
        </row>
        <row r="155">
          <cell r="A155">
            <v>201943698</v>
          </cell>
          <cell r="B155">
            <v>21</v>
          </cell>
          <cell r="C155" t="str">
            <v>GASTOS EN PERSONAL</v>
          </cell>
        </row>
        <row r="156">
          <cell r="A156">
            <v>201943699</v>
          </cell>
          <cell r="B156">
            <v>2101</v>
          </cell>
          <cell r="C156" t="str">
            <v>Personal de Planta</v>
          </cell>
        </row>
        <row r="157">
          <cell r="A157">
            <v>201943700</v>
          </cell>
          <cell r="B157">
            <v>2101001</v>
          </cell>
          <cell r="C157" t="str">
            <v>Sueldos y Sobresueldos</v>
          </cell>
        </row>
        <row r="158">
          <cell r="A158">
            <v>201943701</v>
          </cell>
          <cell r="B158">
            <v>2101001001</v>
          </cell>
          <cell r="C158" t="str">
            <v>Sueldos Bases</v>
          </cell>
        </row>
        <row r="159">
          <cell r="A159">
            <v>201943702</v>
          </cell>
          <cell r="B159">
            <v>2101001002</v>
          </cell>
          <cell r="C159" t="str">
            <v>Asignacion de Antigedad</v>
          </cell>
        </row>
        <row r="160">
          <cell r="A160">
            <v>201943703</v>
          </cell>
          <cell r="B160">
            <v>2101001003</v>
          </cell>
          <cell r="C160" t="str">
            <v>Asignacion Profesional</v>
          </cell>
        </row>
        <row r="161">
          <cell r="A161">
            <v>201943704</v>
          </cell>
          <cell r="B161">
            <v>2101001004</v>
          </cell>
          <cell r="C161" t="str">
            <v>Asignacion de Zona</v>
          </cell>
        </row>
        <row r="162">
          <cell r="A162">
            <v>201943705</v>
          </cell>
          <cell r="B162">
            <v>2101001005</v>
          </cell>
          <cell r="C162" t="str">
            <v>Asignacion de Rancho</v>
          </cell>
        </row>
        <row r="163">
          <cell r="A163">
            <v>201943706</v>
          </cell>
          <cell r="B163">
            <v>2101001006</v>
          </cell>
          <cell r="C163" t="str">
            <v>Asignaciones del DL N 2.411, de 1978</v>
          </cell>
        </row>
        <row r="164">
          <cell r="A164">
            <v>201943707</v>
          </cell>
          <cell r="B164">
            <v>2101001007</v>
          </cell>
          <cell r="C164" t="str">
            <v>Asignaciones del DL N 3.551, de 1981</v>
          </cell>
        </row>
        <row r="165">
          <cell r="A165">
            <v>201943708</v>
          </cell>
          <cell r="B165">
            <v>2101001008</v>
          </cell>
          <cell r="C165" t="str">
            <v>Asignacion de Nivelacion</v>
          </cell>
        </row>
        <row r="166">
          <cell r="A166">
            <v>201943709</v>
          </cell>
          <cell r="B166">
            <v>2101001009</v>
          </cell>
          <cell r="C166" t="str">
            <v>Asignaciones Especiales</v>
          </cell>
        </row>
        <row r="167">
          <cell r="A167">
            <v>201943710</v>
          </cell>
          <cell r="B167">
            <v>2101001010</v>
          </cell>
          <cell r="C167" t="str">
            <v>Asignacion de Perdida de Caja</v>
          </cell>
        </row>
        <row r="168">
          <cell r="A168">
            <v>201943711</v>
          </cell>
          <cell r="B168">
            <v>2101001011</v>
          </cell>
          <cell r="C168" t="str">
            <v>Asignacion de Movilizacion</v>
          </cell>
        </row>
        <row r="169">
          <cell r="A169">
            <v>201943712</v>
          </cell>
          <cell r="B169">
            <v>2101001012</v>
          </cell>
          <cell r="C169" t="str">
            <v>Gastos de Representacion</v>
          </cell>
        </row>
        <row r="170">
          <cell r="A170">
            <v>201943713</v>
          </cell>
          <cell r="B170">
            <v>2101001013</v>
          </cell>
          <cell r="C170" t="str">
            <v>Asignacion de Direccion Superior</v>
          </cell>
        </row>
        <row r="171">
          <cell r="A171">
            <v>201943714</v>
          </cell>
          <cell r="B171">
            <v>2101001014</v>
          </cell>
          <cell r="C171" t="str">
            <v>Asignaciones Compensatorias</v>
          </cell>
        </row>
        <row r="172">
          <cell r="A172">
            <v>201943715</v>
          </cell>
          <cell r="B172">
            <v>2101001015</v>
          </cell>
          <cell r="C172" t="str">
            <v>Asignaciones Sustitutivas</v>
          </cell>
        </row>
        <row r="173">
          <cell r="A173">
            <v>201943716</v>
          </cell>
          <cell r="B173">
            <v>2101001016</v>
          </cell>
          <cell r="C173" t="str">
            <v>Asignacion de Dedicacion Exclusiva</v>
          </cell>
        </row>
        <row r="174">
          <cell r="A174">
            <v>201943717</v>
          </cell>
          <cell r="B174">
            <v>2101001017</v>
          </cell>
          <cell r="C174" t="str">
            <v>Asignacion para Operador de Maquinaria Pesada</v>
          </cell>
        </row>
        <row r="175">
          <cell r="A175">
            <v>201943718</v>
          </cell>
          <cell r="B175">
            <v>2101001018</v>
          </cell>
          <cell r="C175" t="str">
            <v>Asignacion de Defensa Judicial Estatal</v>
          </cell>
        </row>
        <row r="176">
          <cell r="A176">
            <v>201943719</v>
          </cell>
          <cell r="B176">
            <v>2101001019</v>
          </cell>
          <cell r="C176" t="str">
            <v>Asignacion de Responsabilidad</v>
          </cell>
        </row>
        <row r="177">
          <cell r="A177">
            <v>201943720</v>
          </cell>
          <cell r="B177">
            <v>2101001020</v>
          </cell>
          <cell r="C177" t="str">
            <v>Asignacion por Turno</v>
          </cell>
        </row>
        <row r="178">
          <cell r="A178">
            <v>201943721</v>
          </cell>
          <cell r="B178">
            <v>2101001021</v>
          </cell>
          <cell r="C178" t="str">
            <v>Asignacion Articulo 1 Ley N 19.264</v>
          </cell>
        </row>
        <row r="179">
          <cell r="A179">
            <v>201943722</v>
          </cell>
          <cell r="B179">
            <v>2101001022</v>
          </cell>
          <cell r="C179" t="str">
            <v>Componente Base Asignacion de Desempeno</v>
          </cell>
        </row>
        <row r="180">
          <cell r="A180">
            <v>201943723</v>
          </cell>
          <cell r="B180">
            <v>2101001023</v>
          </cell>
          <cell r="C180" t="str">
            <v>Asignacion de Control</v>
          </cell>
        </row>
        <row r="181">
          <cell r="A181">
            <v>201943724</v>
          </cell>
          <cell r="B181">
            <v>2101001024</v>
          </cell>
          <cell r="C181" t="str">
            <v>Asignacion de Defensa Penal Publica</v>
          </cell>
        </row>
        <row r="182">
          <cell r="A182">
            <v>201943725</v>
          </cell>
          <cell r="B182">
            <v>2101001025</v>
          </cell>
          <cell r="C182" t="str">
            <v>Asignacion Articulo 1 Ley N 19. 112</v>
          </cell>
        </row>
        <row r="183">
          <cell r="A183">
            <v>201943726</v>
          </cell>
          <cell r="B183">
            <v>2101001026</v>
          </cell>
          <cell r="C183" t="str">
            <v>Asignacion Articulo 1 Ley N 19.432</v>
          </cell>
        </row>
        <row r="184">
          <cell r="A184">
            <v>201943727</v>
          </cell>
          <cell r="B184">
            <v>2101001027</v>
          </cell>
          <cell r="C184" t="str">
            <v>Asignacion de Estimulo Personal Medico Diurno</v>
          </cell>
        </row>
        <row r="185">
          <cell r="A185">
            <v>201943728</v>
          </cell>
          <cell r="B185">
            <v>2101001028</v>
          </cell>
          <cell r="C185" t="str">
            <v>Asignacion de Estimulo Personal Medico y Profesores</v>
          </cell>
        </row>
        <row r="186">
          <cell r="A186">
            <v>201943729</v>
          </cell>
          <cell r="B186">
            <v>2101001029</v>
          </cell>
          <cell r="C186" t="str">
            <v>Aplicacion Articulo 7 Ley N 19.112</v>
          </cell>
        </row>
        <row r="187">
          <cell r="A187">
            <v>201943730</v>
          </cell>
          <cell r="B187">
            <v>2101001030</v>
          </cell>
          <cell r="C187" t="str">
            <v>Asignacion de Estimulo por Falencia</v>
          </cell>
        </row>
        <row r="188">
          <cell r="A188">
            <v>201943731</v>
          </cell>
          <cell r="B188">
            <v>2101001031</v>
          </cell>
          <cell r="C188" t="str">
            <v>Asignacion de Experiencia Calificada</v>
          </cell>
        </row>
        <row r="189">
          <cell r="A189">
            <v>201943732</v>
          </cell>
          <cell r="B189">
            <v>2101001032</v>
          </cell>
          <cell r="C189" t="str">
            <v>Asignacion de Reforzamiento Profesional Diurno</v>
          </cell>
        </row>
        <row r="190">
          <cell r="A190">
            <v>201943733</v>
          </cell>
          <cell r="B190">
            <v>2101001033</v>
          </cell>
          <cell r="C190" t="str">
            <v>Asignacion Judicial</v>
          </cell>
        </row>
        <row r="191">
          <cell r="A191">
            <v>201943734</v>
          </cell>
          <cell r="B191">
            <v>2101001034</v>
          </cell>
          <cell r="C191" t="str">
            <v>Asignacion de Casa</v>
          </cell>
        </row>
        <row r="192">
          <cell r="A192">
            <v>201943735</v>
          </cell>
          <cell r="B192">
            <v>2101001035</v>
          </cell>
          <cell r="C192" t="str">
            <v>Asignacion Legislativa</v>
          </cell>
        </row>
        <row r="193">
          <cell r="A193">
            <v>201943736</v>
          </cell>
          <cell r="B193">
            <v>2101001036</v>
          </cell>
          <cell r="C193" t="str">
            <v>Asignacion Articulo 11 Ley N 19.041</v>
          </cell>
        </row>
        <row r="194">
          <cell r="A194">
            <v>201943737</v>
          </cell>
          <cell r="B194">
            <v>2101001037</v>
          </cell>
          <cell r="C194" t="str">
            <v>Asignacion nica</v>
          </cell>
        </row>
        <row r="195">
          <cell r="A195">
            <v>201943738</v>
          </cell>
          <cell r="B195">
            <v>2101001038</v>
          </cell>
          <cell r="C195" t="str">
            <v>Asignacion Zonas Extremas</v>
          </cell>
        </row>
        <row r="196">
          <cell r="A196">
            <v>201943739</v>
          </cell>
          <cell r="B196">
            <v>2101001039</v>
          </cell>
          <cell r="C196" t="str">
            <v>Asignacion de Responsabilidad Superior</v>
          </cell>
        </row>
        <row r="197">
          <cell r="A197">
            <v>201943740</v>
          </cell>
          <cell r="B197">
            <v>2101001040</v>
          </cell>
          <cell r="C197" t="str">
            <v>Asignacion Familiar en el Exterior</v>
          </cell>
        </row>
        <row r="198">
          <cell r="A198">
            <v>201943741</v>
          </cell>
          <cell r="B198">
            <v>2101001041</v>
          </cell>
          <cell r="C198" t="str">
            <v>Asignaciones Exclusivas de las Fuerzas Armadas y de Orden</v>
          </cell>
        </row>
        <row r="199">
          <cell r="A199">
            <v>201943742</v>
          </cell>
          <cell r="B199">
            <v>2101001042</v>
          </cell>
          <cell r="C199" t="str">
            <v>Asignaciones por Desempeno en el Exterior</v>
          </cell>
        </row>
        <row r="200">
          <cell r="A200">
            <v>201943743</v>
          </cell>
          <cell r="B200">
            <v>2101001043</v>
          </cell>
          <cell r="C200" t="str">
            <v>Asignacion Inherente al Cargo Ley N 18.695</v>
          </cell>
        </row>
        <row r="201">
          <cell r="A201">
            <v>201943744</v>
          </cell>
          <cell r="B201">
            <v>2101001999</v>
          </cell>
          <cell r="C201" t="str">
            <v>Otras Asignaciones</v>
          </cell>
        </row>
        <row r="202">
          <cell r="A202">
            <v>201943745</v>
          </cell>
          <cell r="B202">
            <v>2101002</v>
          </cell>
          <cell r="C202" t="str">
            <v>Aportes del Empleador</v>
          </cell>
        </row>
        <row r="203">
          <cell r="A203">
            <v>201943746</v>
          </cell>
          <cell r="B203">
            <v>2101002001</v>
          </cell>
          <cell r="C203" t="str">
            <v>A Servicios de Bienestar</v>
          </cell>
        </row>
        <row r="204">
          <cell r="A204">
            <v>201943747</v>
          </cell>
          <cell r="B204">
            <v>2101002002</v>
          </cell>
          <cell r="C204" t="str">
            <v>Otras Cotizaciones Previsionales</v>
          </cell>
        </row>
        <row r="205">
          <cell r="A205">
            <v>201943748</v>
          </cell>
          <cell r="B205">
            <v>2101002003</v>
          </cell>
          <cell r="C205" t="str">
            <v>Cotizacion Adicional, Articulo 8 Ley N 18.566</v>
          </cell>
        </row>
        <row r="206">
          <cell r="A206">
            <v>201943749</v>
          </cell>
          <cell r="B206">
            <v>2101003</v>
          </cell>
          <cell r="C206" t="str">
            <v>Asignaciones por Desempeno</v>
          </cell>
        </row>
        <row r="207">
          <cell r="A207">
            <v>201943750</v>
          </cell>
          <cell r="B207">
            <v>2101003001</v>
          </cell>
          <cell r="C207" t="str">
            <v>Desempeno Institucional</v>
          </cell>
        </row>
        <row r="208">
          <cell r="A208">
            <v>201943751</v>
          </cell>
          <cell r="B208">
            <v>2101003002</v>
          </cell>
          <cell r="C208" t="str">
            <v>Desempeno Colectivo</v>
          </cell>
        </row>
        <row r="209">
          <cell r="A209">
            <v>201943752</v>
          </cell>
          <cell r="B209">
            <v>2101003003</v>
          </cell>
          <cell r="C209" t="str">
            <v>Desempeno Individual</v>
          </cell>
        </row>
        <row r="210">
          <cell r="A210">
            <v>201947065</v>
          </cell>
          <cell r="B210">
            <v>2101003004</v>
          </cell>
          <cell r="C210" t="str">
            <v>Asignacion por Produccion</v>
          </cell>
        </row>
        <row r="211">
          <cell r="A211">
            <v>201947066</v>
          </cell>
          <cell r="B211">
            <v>2101003005</v>
          </cell>
          <cell r="C211" t="str">
            <v>Asignacion Mejoramiento de Trato a los Usuarios</v>
          </cell>
        </row>
        <row r="212">
          <cell r="A212">
            <v>201943753</v>
          </cell>
          <cell r="B212">
            <v>2101004</v>
          </cell>
          <cell r="C212" t="str">
            <v>Remuneraciones Variables</v>
          </cell>
        </row>
        <row r="213">
          <cell r="A213">
            <v>201943754</v>
          </cell>
          <cell r="B213">
            <v>2101004001</v>
          </cell>
          <cell r="C213" t="str">
            <v>Asignacion Articulo 12 Ley N 19.041</v>
          </cell>
        </row>
        <row r="214">
          <cell r="A214">
            <v>201943755</v>
          </cell>
          <cell r="B214">
            <v>2101004002</v>
          </cell>
          <cell r="C214" t="str">
            <v>Asignacion de Estimulo Jornadas Prioritarias</v>
          </cell>
        </row>
        <row r="215">
          <cell r="A215">
            <v>201943756</v>
          </cell>
          <cell r="B215">
            <v>2101004003</v>
          </cell>
          <cell r="C215" t="str">
            <v>Asignacion Articulo 3 Ley N 19.264</v>
          </cell>
        </row>
        <row r="216">
          <cell r="A216">
            <v>201943757</v>
          </cell>
          <cell r="B216">
            <v>2101004004</v>
          </cell>
          <cell r="C216" t="str">
            <v>Asignacion por Desempeno de Funciones Criticas</v>
          </cell>
        </row>
        <row r="217">
          <cell r="A217">
            <v>201943758</v>
          </cell>
          <cell r="B217">
            <v>2101004005</v>
          </cell>
          <cell r="C217" t="str">
            <v>Trabajos Extraordinarios</v>
          </cell>
        </row>
        <row r="218">
          <cell r="A218">
            <v>201943759</v>
          </cell>
          <cell r="B218">
            <v>2101004006</v>
          </cell>
          <cell r="C218" t="str">
            <v>Comisiones de Servicios en el Pais</v>
          </cell>
        </row>
        <row r="219">
          <cell r="A219">
            <v>201943760</v>
          </cell>
          <cell r="B219">
            <v>2101004007</v>
          </cell>
          <cell r="C219" t="str">
            <v>Comisiones de Servicios en el Exterior</v>
          </cell>
        </row>
        <row r="220">
          <cell r="A220">
            <v>201943761</v>
          </cell>
          <cell r="B220">
            <v>2101005</v>
          </cell>
          <cell r="C220" t="str">
            <v>Aguinaldos y Bonos</v>
          </cell>
        </row>
        <row r="221">
          <cell r="A221">
            <v>201943762</v>
          </cell>
          <cell r="B221">
            <v>2101005001</v>
          </cell>
          <cell r="C221" t="str">
            <v>Aguinaldos</v>
          </cell>
        </row>
        <row r="222">
          <cell r="A222">
            <v>201943763</v>
          </cell>
          <cell r="B222">
            <v>2101005002</v>
          </cell>
          <cell r="C222" t="str">
            <v>Bono de Escolaridad</v>
          </cell>
        </row>
        <row r="223">
          <cell r="A223">
            <v>201943764</v>
          </cell>
          <cell r="B223">
            <v>2101005003</v>
          </cell>
          <cell r="C223" t="str">
            <v>Bonos Especiales</v>
          </cell>
        </row>
        <row r="224">
          <cell r="A224">
            <v>201943765</v>
          </cell>
          <cell r="B224">
            <v>2101005004</v>
          </cell>
          <cell r="C224" t="str">
            <v>Bonificacion Adicional al Bono de Escolaridad</v>
          </cell>
        </row>
        <row r="225">
          <cell r="A225">
            <v>201943766</v>
          </cell>
          <cell r="B225">
            <v>2102</v>
          </cell>
          <cell r="C225" t="str">
            <v>Personal a Contrata</v>
          </cell>
        </row>
        <row r="226">
          <cell r="A226">
            <v>201943767</v>
          </cell>
          <cell r="B226">
            <v>2102001</v>
          </cell>
          <cell r="C226" t="str">
            <v>Sueldos y Sobresueldos</v>
          </cell>
        </row>
        <row r="227">
          <cell r="A227">
            <v>201943768</v>
          </cell>
          <cell r="B227">
            <v>2102001001</v>
          </cell>
          <cell r="C227" t="str">
            <v>Sueldos Bases</v>
          </cell>
        </row>
        <row r="228">
          <cell r="A228">
            <v>201943769</v>
          </cell>
          <cell r="B228">
            <v>2102001002</v>
          </cell>
          <cell r="C228" t="str">
            <v>Asignacion de Antigedad</v>
          </cell>
        </row>
        <row r="229">
          <cell r="A229">
            <v>201943770</v>
          </cell>
          <cell r="B229">
            <v>2102001003</v>
          </cell>
          <cell r="C229" t="str">
            <v>Asignacion Profesional</v>
          </cell>
        </row>
        <row r="230">
          <cell r="A230">
            <v>201943771</v>
          </cell>
          <cell r="B230">
            <v>2102001004</v>
          </cell>
          <cell r="C230" t="str">
            <v>Asignacion de Zona</v>
          </cell>
        </row>
        <row r="231">
          <cell r="A231">
            <v>201943772</v>
          </cell>
          <cell r="B231">
            <v>2102001005</v>
          </cell>
          <cell r="C231" t="str">
            <v>Asignacion de Rancho</v>
          </cell>
        </row>
        <row r="232">
          <cell r="A232">
            <v>201943773</v>
          </cell>
          <cell r="B232">
            <v>2102001006</v>
          </cell>
          <cell r="C232" t="str">
            <v>Asignaciones del DL N 2.411, de 1978</v>
          </cell>
        </row>
        <row r="233">
          <cell r="A233">
            <v>201943774</v>
          </cell>
          <cell r="B233">
            <v>2102001007</v>
          </cell>
          <cell r="C233" t="str">
            <v>Asignaciones del DL N 3.551, de 1981</v>
          </cell>
        </row>
        <row r="234">
          <cell r="A234">
            <v>201943775</v>
          </cell>
          <cell r="B234">
            <v>2102001008</v>
          </cell>
          <cell r="C234" t="str">
            <v>Asignacion de Nivelacion</v>
          </cell>
        </row>
        <row r="235">
          <cell r="A235">
            <v>201943776</v>
          </cell>
          <cell r="B235">
            <v>2102001009</v>
          </cell>
          <cell r="C235" t="str">
            <v>Asignaciones Especiales</v>
          </cell>
        </row>
        <row r="236">
          <cell r="A236">
            <v>201943777</v>
          </cell>
          <cell r="B236">
            <v>2102001010</v>
          </cell>
          <cell r="C236" t="str">
            <v>Asignacion de Perdida de Caja</v>
          </cell>
        </row>
        <row r="237">
          <cell r="A237">
            <v>201943778</v>
          </cell>
          <cell r="B237">
            <v>2102001011</v>
          </cell>
          <cell r="C237" t="str">
            <v>Asignacion de Movilizacion</v>
          </cell>
        </row>
        <row r="238">
          <cell r="A238">
            <v>201943779</v>
          </cell>
          <cell r="B238">
            <v>2102001012</v>
          </cell>
          <cell r="C238" t="str">
            <v>Gastos de Representacion</v>
          </cell>
        </row>
        <row r="239">
          <cell r="A239">
            <v>201943780</v>
          </cell>
          <cell r="B239">
            <v>2102001013</v>
          </cell>
          <cell r="C239" t="str">
            <v>Asignaciones Compensatorias</v>
          </cell>
        </row>
        <row r="240">
          <cell r="A240">
            <v>201943781</v>
          </cell>
          <cell r="B240">
            <v>2102001014</v>
          </cell>
          <cell r="C240" t="str">
            <v>Asignaciones Sustitutivas</v>
          </cell>
        </row>
        <row r="241">
          <cell r="A241">
            <v>201943782</v>
          </cell>
          <cell r="B241">
            <v>2102001015</v>
          </cell>
          <cell r="C241" t="str">
            <v>Asignacion de Dedicacion Exclusiva</v>
          </cell>
        </row>
        <row r="242">
          <cell r="A242">
            <v>201943783</v>
          </cell>
          <cell r="B242">
            <v>2102001016</v>
          </cell>
          <cell r="C242" t="str">
            <v>Asignacion para Operador de Maquinaria Pesada</v>
          </cell>
        </row>
        <row r="243">
          <cell r="A243">
            <v>201943784</v>
          </cell>
          <cell r="B243">
            <v>2102001017</v>
          </cell>
          <cell r="C243" t="str">
            <v>Asignacion de Defensa Judicial Estatal</v>
          </cell>
        </row>
        <row r="244">
          <cell r="A244">
            <v>201943785</v>
          </cell>
          <cell r="B244">
            <v>2102001018</v>
          </cell>
          <cell r="C244" t="str">
            <v>Asignacion de Responsabilidad</v>
          </cell>
        </row>
        <row r="245">
          <cell r="A245">
            <v>201943786</v>
          </cell>
          <cell r="B245">
            <v>2102001019</v>
          </cell>
          <cell r="C245" t="str">
            <v>Asignacion por Turno</v>
          </cell>
        </row>
        <row r="246">
          <cell r="A246">
            <v>201943787</v>
          </cell>
          <cell r="B246">
            <v>2102001020</v>
          </cell>
          <cell r="C246" t="str">
            <v>Asignacion Articulo 1 Ley N 19.264</v>
          </cell>
        </row>
        <row r="247">
          <cell r="A247">
            <v>201943788</v>
          </cell>
          <cell r="B247">
            <v>2102001021</v>
          </cell>
          <cell r="C247" t="str">
            <v>Componente Base Asignacion de Desempeno</v>
          </cell>
        </row>
        <row r="248">
          <cell r="A248">
            <v>201943789</v>
          </cell>
          <cell r="B248">
            <v>2102001022</v>
          </cell>
          <cell r="C248" t="str">
            <v>Asignacion de Control</v>
          </cell>
        </row>
        <row r="249">
          <cell r="A249">
            <v>201943790</v>
          </cell>
          <cell r="B249">
            <v>2102001023</v>
          </cell>
          <cell r="C249" t="str">
            <v>Asignacion de Defensa Penal Publica</v>
          </cell>
        </row>
        <row r="250">
          <cell r="A250">
            <v>201943791</v>
          </cell>
          <cell r="B250">
            <v>2102001024</v>
          </cell>
          <cell r="C250" t="str">
            <v>Asignacion Articulo 1 Ley N 19. 112</v>
          </cell>
        </row>
        <row r="251">
          <cell r="A251">
            <v>201943792</v>
          </cell>
          <cell r="B251">
            <v>2102001025</v>
          </cell>
          <cell r="C251" t="str">
            <v>Asignacion Articulo 1 Ley N 19.432</v>
          </cell>
        </row>
        <row r="252">
          <cell r="A252">
            <v>201943793</v>
          </cell>
          <cell r="B252">
            <v>2102001026</v>
          </cell>
          <cell r="C252" t="str">
            <v>Asignacion de Estimulo Personal Medico Diurno</v>
          </cell>
        </row>
        <row r="253">
          <cell r="A253">
            <v>201943794</v>
          </cell>
          <cell r="B253">
            <v>2102001027</v>
          </cell>
          <cell r="C253" t="str">
            <v>Asignacion de Estimulo Personal Medico y Profesores</v>
          </cell>
        </row>
        <row r="254">
          <cell r="A254">
            <v>201943795</v>
          </cell>
          <cell r="B254">
            <v>2102001028</v>
          </cell>
          <cell r="C254" t="str">
            <v>Aplicacion Articulo 7 Ley N 19.112</v>
          </cell>
        </row>
        <row r="255">
          <cell r="A255">
            <v>201943796</v>
          </cell>
          <cell r="B255">
            <v>2102001029</v>
          </cell>
          <cell r="C255" t="str">
            <v>Asignacion de Estimulo por Falencia</v>
          </cell>
        </row>
        <row r="256">
          <cell r="A256">
            <v>201943797</v>
          </cell>
          <cell r="B256">
            <v>2102001030</v>
          </cell>
          <cell r="C256" t="str">
            <v>Asignacion de Experiencia Calificada</v>
          </cell>
        </row>
        <row r="257">
          <cell r="A257">
            <v>201943798</v>
          </cell>
          <cell r="B257">
            <v>2102001031</v>
          </cell>
          <cell r="C257" t="str">
            <v>Asignacion de Reforzamiento Profesional Diurno</v>
          </cell>
        </row>
        <row r="258">
          <cell r="A258">
            <v>201943799</v>
          </cell>
          <cell r="B258">
            <v>2102001032</v>
          </cell>
          <cell r="C258" t="str">
            <v>Asignacion Judicial</v>
          </cell>
        </row>
        <row r="259">
          <cell r="A259">
            <v>201943800</v>
          </cell>
          <cell r="B259">
            <v>2102001033</v>
          </cell>
          <cell r="C259" t="str">
            <v>Asignacion de Casa</v>
          </cell>
        </row>
        <row r="260">
          <cell r="A260">
            <v>201943801</v>
          </cell>
          <cell r="B260">
            <v>2102001034</v>
          </cell>
          <cell r="C260" t="str">
            <v>Asignacion Legislativa</v>
          </cell>
        </row>
        <row r="261">
          <cell r="A261">
            <v>201943802</v>
          </cell>
          <cell r="B261">
            <v>2102001035</v>
          </cell>
          <cell r="C261" t="str">
            <v>Asignacion Articulo 11 Ley N 19.041</v>
          </cell>
        </row>
        <row r="262">
          <cell r="A262">
            <v>201943803</v>
          </cell>
          <cell r="B262">
            <v>2102001036</v>
          </cell>
          <cell r="C262" t="str">
            <v>Asignacion nica</v>
          </cell>
        </row>
        <row r="263">
          <cell r="A263">
            <v>201943804</v>
          </cell>
          <cell r="B263">
            <v>2102001037</v>
          </cell>
          <cell r="C263" t="str">
            <v>Asignacion Zonas Extremas</v>
          </cell>
        </row>
        <row r="264">
          <cell r="A264">
            <v>201943805</v>
          </cell>
          <cell r="B264">
            <v>2102001038</v>
          </cell>
          <cell r="C264" t="str">
            <v>Asignacion de Responsabilidad Superior</v>
          </cell>
        </row>
        <row r="265">
          <cell r="A265">
            <v>201943806</v>
          </cell>
          <cell r="B265">
            <v>2102001039</v>
          </cell>
          <cell r="C265" t="str">
            <v>Asignacion Familiar en el Exterior</v>
          </cell>
        </row>
        <row r="266">
          <cell r="A266">
            <v>201943807</v>
          </cell>
          <cell r="B266">
            <v>2102001040</v>
          </cell>
          <cell r="C266" t="str">
            <v>Asignaciones Exclusivas de las Fuerzas Armadas y de Orden</v>
          </cell>
        </row>
        <row r="267">
          <cell r="A267">
            <v>201943808</v>
          </cell>
          <cell r="B267">
            <v>2102001041</v>
          </cell>
          <cell r="C267" t="str">
            <v>Asignaciones por Desempeno en el Exterior</v>
          </cell>
        </row>
        <row r="268">
          <cell r="A268">
            <v>201943809</v>
          </cell>
          <cell r="B268">
            <v>2102001999</v>
          </cell>
          <cell r="C268" t="str">
            <v>Otras Asignaciones</v>
          </cell>
        </row>
        <row r="269">
          <cell r="A269">
            <v>201943810</v>
          </cell>
          <cell r="B269">
            <v>2102002</v>
          </cell>
          <cell r="C269" t="str">
            <v>Aportes del Empleador</v>
          </cell>
        </row>
        <row r="270">
          <cell r="A270">
            <v>201943811</v>
          </cell>
          <cell r="B270">
            <v>2102002001</v>
          </cell>
          <cell r="C270" t="str">
            <v>A Servicios de Bienestar</v>
          </cell>
        </row>
        <row r="271">
          <cell r="A271">
            <v>201943812</v>
          </cell>
          <cell r="B271">
            <v>2102002002</v>
          </cell>
          <cell r="C271" t="str">
            <v>Otras Cotizaciones Previsionales</v>
          </cell>
        </row>
        <row r="272">
          <cell r="A272">
            <v>201943813</v>
          </cell>
          <cell r="B272">
            <v>2102002003</v>
          </cell>
          <cell r="C272" t="str">
            <v>Cotizacion Adicional, Articulo 8 Ley N 18.566</v>
          </cell>
        </row>
        <row r="273">
          <cell r="A273">
            <v>201943814</v>
          </cell>
          <cell r="B273">
            <v>2102003</v>
          </cell>
          <cell r="C273" t="str">
            <v>Asignaciones por Desempeno</v>
          </cell>
        </row>
        <row r="274">
          <cell r="A274">
            <v>201943815</v>
          </cell>
          <cell r="B274">
            <v>2102003001</v>
          </cell>
          <cell r="C274" t="str">
            <v>Desempeno Institucional</v>
          </cell>
        </row>
        <row r="275">
          <cell r="A275">
            <v>201943816</v>
          </cell>
          <cell r="B275">
            <v>2102003002</v>
          </cell>
          <cell r="C275" t="str">
            <v>Desempeno Colectivo</v>
          </cell>
        </row>
        <row r="276">
          <cell r="A276">
            <v>201943817</v>
          </cell>
          <cell r="B276">
            <v>2102003003</v>
          </cell>
          <cell r="C276" t="str">
            <v>Desempeno Individual</v>
          </cell>
        </row>
        <row r="277">
          <cell r="A277">
            <v>201947067</v>
          </cell>
          <cell r="B277">
            <v>2102003004</v>
          </cell>
          <cell r="C277" t="str">
            <v>Asignacion por Produccion</v>
          </cell>
        </row>
        <row r="278">
          <cell r="A278">
            <v>201947068</v>
          </cell>
          <cell r="B278">
            <v>2102003005</v>
          </cell>
          <cell r="C278" t="str">
            <v>Asignacion Mejoramiento de Trato a los Usuarios</v>
          </cell>
        </row>
        <row r="279">
          <cell r="A279">
            <v>201943818</v>
          </cell>
          <cell r="B279">
            <v>2102004</v>
          </cell>
          <cell r="C279" t="str">
            <v>Remuneraciones Variables</v>
          </cell>
        </row>
        <row r="280">
          <cell r="A280">
            <v>201943819</v>
          </cell>
          <cell r="B280">
            <v>2102004001</v>
          </cell>
          <cell r="C280" t="str">
            <v>Asignacion Articulo 12 Ley N 19.041</v>
          </cell>
        </row>
        <row r="281">
          <cell r="A281">
            <v>201943820</v>
          </cell>
          <cell r="B281">
            <v>2102004002</v>
          </cell>
          <cell r="C281" t="str">
            <v>Asignacion de Estimulo Jornadas Prioritarias</v>
          </cell>
        </row>
        <row r="282">
          <cell r="A282">
            <v>201943821</v>
          </cell>
          <cell r="B282">
            <v>2102004003</v>
          </cell>
          <cell r="C282" t="str">
            <v>Asignacion Articulo 3 Ley N 19.264</v>
          </cell>
        </row>
        <row r="283">
          <cell r="A283">
            <v>201943822</v>
          </cell>
          <cell r="B283">
            <v>2102004004</v>
          </cell>
          <cell r="C283" t="str">
            <v>Asignacion por Desempeno de Funciones Criticas</v>
          </cell>
        </row>
        <row r="284">
          <cell r="A284">
            <v>201943823</v>
          </cell>
          <cell r="B284">
            <v>2102004005</v>
          </cell>
          <cell r="C284" t="str">
            <v>Trabajos Extraordinarios</v>
          </cell>
        </row>
        <row r="285">
          <cell r="A285">
            <v>201943824</v>
          </cell>
          <cell r="B285">
            <v>2102004006</v>
          </cell>
          <cell r="C285" t="str">
            <v>Comisiones de Servicios en el Pais</v>
          </cell>
        </row>
        <row r="286">
          <cell r="A286">
            <v>201943825</v>
          </cell>
          <cell r="B286">
            <v>2102004007</v>
          </cell>
          <cell r="C286" t="str">
            <v>Comisiones de Servicios en el Exterior</v>
          </cell>
        </row>
        <row r="287">
          <cell r="A287">
            <v>201943826</v>
          </cell>
          <cell r="B287">
            <v>2102005</v>
          </cell>
          <cell r="C287" t="str">
            <v>Aguinaldos y Bonos</v>
          </cell>
        </row>
        <row r="288">
          <cell r="A288">
            <v>201943827</v>
          </cell>
          <cell r="B288">
            <v>2102005001</v>
          </cell>
          <cell r="C288" t="str">
            <v>Aguinaldos</v>
          </cell>
        </row>
        <row r="289">
          <cell r="A289">
            <v>201943828</v>
          </cell>
          <cell r="B289">
            <v>2102005002</v>
          </cell>
          <cell r="C289" t="str">
            <v>Bono de Escolaridad</v>
          </cell>
        </row>
        <row r="290">
          <cell r="A290">
            <v>201943829</v>
          </cell>
          <cell r="B290">
            <v>2102005003</v>
          </cell>
          <cell r="C290" t="str">
            <v>Bonos Especiales</v>
          </cell>
        </row>
        <row r="291">
          <cell r="A291">
            <v>201943830</v>
          </cell>
          <cell r="B291">
            <v>2102005004</v>
          </cell>
          <cell r="C291" t="str">
            <v>Bonificacion Adicional al Bono de Escolaridad</v>
          </cell>
        </row>
        <row r="292">
          <cell r="A292">
            <v>201943831</v>
          </cell>
          <cell r="B292">
            <v>2103</v>
          </cell>
          <cell r="C292" t="str">
            <v>Otras Remuneraciones</v>
          </cell>
        </row>
        <row r="293">
          <cell r="A293">
            <v>201943832</v>
          </cell>
          <cell r="B293">
            <v>2103001</v>
          </cell>
          <cell r="C293" t="str">
            <v>Honorarios a Suma Alzada - Personas Naturales</v>
          </cell>
        </row>
        <row r="294">
          <cell r="A294">
            <v>201944570</v>
          </cell>
          <cell r="B294">
            <v>2103001001</v>
          </cell>
          <cell r="C294" t="str">
            <v>Honorarios a Suma Alzada-Honorarios</v>
          </cell>
        </row>
        <row r="295">
          <cell r="A295">
            <v>201944569</v>
          </cell>
          <cell r="B295">
            <v>2103001002</v>
          </cell>
          <cell r="C295" t="str">
            <v>Honorarios a Suma Alzada-Viaticos</v>
          </cell>
        </row>
        <row r="296">
          <cell r="A296">
            <v>201944561</v>
          </cell>
          <cell r="B296">
            <v>2103001111</v>
          </cell>
          <cell r="C296" t="str">
            <v>Honorarios AGES</v>
          </cell>
        </row>
        <row r="297">
          <cell r="A297">
            <v>201943833</v>
          </cell>
          <cell r="B297">
            <v>2103002</v>
          </cell>
          <cell r="C297" t="str">
            <v>Honorarios Asimilados a Grados</v>
          </cell>
        </row>
        <row r="298">
          <cell r="A298">
            <v>201943834</v>
          </cell>
          <cell r="B298">
            <v>2103003</v>
          </cell>
          <cell r="C298" t="str">
            <v>Jornales</v>
          </cell>
        </row>
        <row r="299">
          <cell r="A299">
            <v>201943835</v>
          </cell>
          <cell r="B299">
            <v>2103004</v>
          </cell>
          <cell r="C299" t="str">
            <v>Remuneraciones Reguladas por el Codigo del Trabajo</v>
          </cell>
        </row>
        <row r="300">
          <cell r="A300">
            <v>201943836</v>
          </cell>
          <cell r="B300">
            <v>2103005</v>
          </cell>
          <cell r="C300" t="str">
            <v>Suplencias y Reemplazos</v>
          </cell>
        </row>
        <row r="301">
          <cell r="A301">
            <v>201943837</v>
          </cell>
          <cell r="B301">
            <v>2103006</v>
          </cell>
          <cell r="C301" t="str">
            <v>Personal a Trato y/o Temporal</v>
          </cell>
        </row>
        <row r="302">
          <cell r="A302">
            <v>201943838</v>
          </cell>
          <cell r="B302">
            <v>2103007</v>
          </cell>
          <cell r="C302" t="str">
            <v>Alumnos en Practica</v>
          </cell>
        </row>
        <row r="303">
          <cell r="A303">
            <v>201943839</v>
          </cell>
          <cell r="B303">
            <v>2103999</v>
          </cell>
          <cell r="C303" t="str">
            <v>Otras</v>
          </cell>
        </row>
        <row r="304">
          <cell r="A304">
            <v>201943840</v>
          </cell>
          <cell r="B304">
            <v>2104</v>
          </cell>
          <cell r="C304" t="str">
            <v>Otros Gastos en Personal</v>
          </cell>
        </row>
        <row r="305">
          <cell r="A305">
            <v>201943841</v>
          </cell>
          <cell r="B305">
            <v>2104001</v>
          </cell>
          <cell r="C305" t="str">
            <v>Asignacion de Traslado</v>
          </cell>
        </row>
        <row r="306">
          <cell r="A306">
            <v>201943842</v>
          </cell>
          <cell r="B306">
            <v>2104002</v>
          </cell>
          <cell r="C306" t="str">
            <v>Dieta Parlamentaria</v>
          </cell>
        </row>
        <row r="307">
          <cell r="A307">
            <v>201943843</v>
          </cell>
          <cell r="B307">
            <v>2104003</v>
          </cell>
          <cell r="C307" t="str">
            <v>Dietas a Juntas, Consejos y Comisiones</v>
          </cell>
        </row>
        <row r="308">
          <cell r="A308">
            <v>201943844</v>
          </cell>
          <cell r="B308">
            <v>22</v>
          </cell>
          <cell r="C308" t="str">
            <v>BIENES Y SERVICIOS DE CONSUMO</v>
          </cell>
        </row>
        <row r="309">
          <cell r="A309">
            <v>201943845</v>
          </cell>
          <cell r="B309">
            <v>2201</v>
          </cell>
          <cell r="C309" t="str">
            <v>Alimentos y Bebidas</v>
          </cell>
        </row>
        <row r="310">
          <cell r="A310">
            <v>201943846</v>
          </cell>
          <cell r="B310">
            <v>2201001</v>
          </cell>
          <cell r="C310" t="str">
            <v>Para Personas</v>
          </cell>
        </row>
        <row r="311">
          <cell r="A311">
            <v>201943847</v>
          </cell>
          <cell r="B311">
            <v>2201002</v>
          </cell>
          <cell r="C311" t="str">
            <v>Para Animales</v>
          </cell>
        </row>
        <row r="312">
          <cell r="A312">
            <v>201943848</v>
          </cell>
          <cell r="B312">
            <v>2202</v>
          </cell>
          <cell r="C312" t="str">
            <v>Textiles, Vestuario y Calzado</v>
          </cell>
        </row>
        <row r="313">
          <cell r="A313">
            <v>201943849</v>
          </cell>
          <cell r="B313">
            <v>2202001</v>
          </cell>
          <cell r="C313" t="str">
            <v>Textiles y Acabados Textiles</v>
          </cell>
        </row>
        <row r="314">
          <cell r="A314">
            <v>201943850</v>
          </cell>
          <cell r="B314">
            <v>2202002</v>
          </cell>
          <cell r="C314" t="str">
            <v>Vestuario, Accesorios y Prendas Diversas</v>
          </cell>
        </row>
        <row r="315">
          <cell r="A315">
            <v>201943851</v>
          </cell>
          <cell r="B315">
            <v>2202003</v>
          </cell>
          <cell r="C315" t="str">
            <v>Calzado</v>
          </cell>
        </row>
        <row r="316">
          <cell r="A316">
            <v>201943852</v>
          </cell>
          <cell r="B316">
            <v>2203</v>
          </cell>
          <cell r="C316" t="str">
            <v>Combustibles y Lubricantes</v>
          </cell>
        </row>
        <row r="317">
          <cell r="A317">
            <v>201943853</v>
          </cell>
          <cell r="B317">
            <v>2203001</v>
          </cell>
          <cell r="C317" t="str">
            <v>Para Vehiculos</v>
          </cell>
        </row>
        <row r="318">
          <cell r="A318">
            <v>201943854</v>
          </cell>
          <cell r="B318">
            <v>2203002</v>
          </cell>
          <cell r="C318" t="str">
            <v>Para Maquinarias, Equipos de Produccion, Traccion y Elevacion</v>
          </cell>
        </row>
        <row r="319">
          <cell r="A319">
            <v>201943855</v>
          </cell>
          <cell r="B319">
            <v>2203003</v>
          </cell>
          <cell r="C319" t="str">
            <v>Para Calefaccion</v>
          </cell>
        </row>
        <row r="320">
          <cell r="A320">
            <v>201943856</v>
          </cell>
          <cell r="B320">
            <v>2203999</v>
          </cell>
          <cell r="C320" t="str">
            <v>Para Otros</v>
          </cell>
        </row>
        <row r="321">
          <cell r="A321">
            <v>201943952</v>
          </cell>
          <cell r="B321">
            <v>2204</v>
          </cell>
          <cell r="C321" t="str">
            <v>Materiales de Uso o Consumo</v>
          </cell>
        </row>
        <row r="322">
          <cell r="A322">
            <v>201943953</v>
          </cell>
          <cell r="B322">
            <v>2204001</v>
          </cell>
          <cell r="C322" t="str">
            <v>Materiales de Oficina</v>
          </cell>
        </row>
        <row r="323">
          <cell r="A323">
            <v>201943954</v>
          </cell>
          <cell r="B323">
            <v>2204002</v>
          </cell>
          <cell r="C323" t="str">
            <v>Textos y Otros Materiales de Ensenanza</v>
          </cell>
        </row>
        <row r="324">
          <cell r="A324">
            <v>201943955</v>
          </cell>
          <cell r="B324">
            <v>2204003</v>
          </cell>
          <cell r="C324" t="str">
            <v>Productos Quimicos</v>
          </cell>
        </row>
        <row r="325">
          <cell r="A325">
            <v>201943956</v>
          </cell>
          <cell r="B325">
            <v>2204004</v>
          </cell>
          <cell r="C325" t="str">
            <v>Productos Farmaceuticos</v>
          </cell>
        </row>
        <row r="326">
          <cell r="A326">
            <v>201943957</v>
          </cell>
          <cell r="B326">
            <v>2204005</v>
          </cell>
          <cell r="C326" t="str">
            <v>Materiales y tiles Quirurgicos</v>
          </cell>
        </row>
        <row r="327">
          <cell r="A327">
            <v>201943958</v>
          </cell>
          <cell r="B327">
            <v>2204006</v>
          </cell>
          <cell r="C327" t="str">
            <v>Fertilizantes, Insecticidas, Fungicidas y Otros</v>
          </cell>
        </row>
        <row r="328">
          <cell r="A328">
            <v>201943959</v>
          </cell>
          <cell r="B328">
            <v>2204007</v>
          </cell>
          <cell r="C328" t="str">
            <v>Materiales y tiles de Aseo</v>
          </cell>
        </row>
        <row r="329">
          <cell r="A329">
            <v>201943960</v>
          </cell>
          <cell r="B329">
            <v>2204008</v>
          </cell>
          <cell r="C329" t="str">
            <v>Menaje para Oficina, Casino y Otros</v>
          </cell>
        </row>
        <row r="330">
          <cell r="A330">
            <v>201943961</v>
          </cell>
          <cell r="B330">
            <v>2204009</v>
          </cell>
          <cell r="C330" t="str">
            <v>Insumos, Repuestos y Accesorios Computacionales</v>
          </cell>
        </row>
        <row r="331">
          <cell r="A331">
            <v>201943962</v>
          </cell>
          <cell r="B331">
            <v>2204010</v>
          </cell>
          <cell r="C331" t="str">
            <v>Materiales para Mantenimiento y Reparaciones de Inmuebles</v>
          </cell>
        </row>
        <row r="332">
          <cell r="A332">
            <v>201943963</v>
          </cell>
          <cell r="B332">
            <v>2204011</v>
          </cell>
          <cell r="C332" t="str">
            <v>Repuestos y Accesorios para Mantenimiento y Reparaciones de Vehiculos</v>
          </cell>
        </row>
        <row r="333">
          <cell r="A333">
            <v>201943964</v>
          </cell>
          <cell r="B333">
            <v>2204012</v>
          </cell>
          <cell r="C333" t="str">
            <v>Otros Materiales, Repuestos y tiles Diversos para Mantenimiento y Reparaciones</v>
          </cell>
        </row>
        <row r="334">
          <cell r="A334">
            <v>201943965</v>
          </cell>
          <cell r="B334">
            <v>2204013</v>
          </cell>
          <cell r="C334" t="str">
            <v>Equipos Menores</v>
          </cell>
        </row>
        <row r="335">
          <cell r="A335">
            <v>201943966</v>
          </cell>
          <cell r="B335">
            <v>2204014</v>
          </cell>
          <cell r="C335" t="str">
            <v>Productos Elaborados de Cuero, Caucho y Plasticos</v>
          </cell>
        </row>
        <row r="336">
          <cell r="A336">
            <v>201943967</v>
          </cell>
          <cell r="B336">
            <v>2204015</v>
          </cell>
          <cell r="C336" t="str">
            <v>Productos Agropecuarios y Forestales</v>
          </cell>
        </row>
        <row r="337">
          <cell r="A337">
            <v>201943968</v>
          </cell>
          <cell r="B337">
            <v>2204016</v>
          </cell>
          <cell r="C337" t="str">
            <v>Materias Primas y Semielaboradas</v>
          </cell>
        </row>
        <row r="338">
          <cell r="A338">
            <v>201943969</v>
          </cell>
          <cell r="B338">
            <v>2204999</v>
          </cell>
          <cell r="C338" t="str">
            <v>Otros</v>
          </cell>
        </row>
        <row r="339">
          <cell r="A339">
            <v>201943970</v>
          </cell>
          <cell r="B339">
            <v>2205</v>
          </cell>
          <cell r="C339" t="str">
            <v>Servicios Basicos</v>
          </cell>
        </row>
        <row r="340">
          <cell r="A340">
            <v>201943971</v>
          </cell>
          <cell r="B340">
            <v>2205001</v>
          </cell>
          <cell r="C340" t="str">
            <v>Electricidad</v>
          </cell>
        </row>
        <row r="341">
          <cell r="A341">
            <v>201943972</v>
          </cell>
          <cell r="B341">
            <v>2205002</v>
          </cell>
          <cell r="C341" t="str">
            <v>Agua</v>
          </cell>
        </row>
        <row r="342">
          <cell r="A342">
            <v>201943973</v>
          </cell>
          <cell r="B342">
            <v>2205003</v>
          </cell>
          <cell r="C342" t="str">
            <v>Gas</v>
          </cell>
        </row>
        <row r="343">
          <cell r="A343">
            <v>201943974</v>
          </cell>
          <cell r="B343">
            <v>2205004</v>
          </cell>
          <cell r="C343" t="str">
            <v>Correo</v>
          </cell>
        </row>
        <row r="344">
          <cell r="A344">
            <v>201943975</v>
          </cell>
          <cell r="B344">
            <v>2205005</v>
          </cell>
          <cell r="C344" t="str">
            <v>Telefonia Fija</v>
          </cell>
        </row>
        <row r="345">
          <cell r="A345">
            <v>201943976</v>
          </cell>
          <cell r="B345">
            <v>2205006</v>
          </cell>
          <cell r="C345" t="str">
            <v>Telefonia Celular</v>
          </cell>
        </row>
        <row r="346">
          <cell r="A346">
            <v>201943977</v>
          </cell>
          <cell r="B346">
            <v>2205007</v>
          </cell>
          <cell r="C346" t="str">
            <v>Acceso a Internet</v>
          </cell>
        </row>
        <row r="347">
          <cell r="A347">
            <v>201943978</v>
          </cell>
          <cell r="B347">
            <v>2205008</v>
          </cell>
          <cell r="C347" t="str">
            <v>Enlaces de Telecomunicaciones</v>
          </cell>
        </row>
        <row r="348">
          <cell r="A348">
            <v>201943979</v>
          </cell>
          <cell r="B348">
            <v>2205999</v>
          </cell>
          <cell r="C348" t="str">
            <v>Otros</v>
          </cell>
        </row>
        <row r="349">
          <cell r="A349">
            <v>201943980</v>
          </cell>
          <cell r="B349">
            <v>2206</v>
          </cell>
          <cell r="C349" t="str">
            <v>Mantenimiento y Reparaciones</v>
          </cell>
        </row>
        <row r="350">
          <cell r="A350">
            <v>201943981</v>
          </cell>
          <cell r="B350">
            <v>2206001</v>
          </cell>
          <cell r="C350" t="str">
            <v>Mantenimiento y Reparacion de Edificaciones</v>
          </cell>
        </row>
        <row r="351">
          <cell r="A351">
            <v>201943982</v>
          </cell>
          <cell r="B351">
            <v>2206002</v>
          </cell>
          <cell r="C351" t="str">
            <v>Mantenimiento y Reparacion de Vehiculos</v>
          </cell>
        </row>
        <row r="352">
          <cell r="A352">
            <v>201943983</v>
          </cell>
          <cell r="B352">
            <v>2206003</v>
          </cell>
          <cell r="C352" t="str">
            <v>Mantenimiento y Reparacion de Mobiliarios y Otros</v>
          </cell>
        </row>
        <row r="353">
          <cell r="A353">
            <v>201943984</v>
          </cell>
          <cell r="B353">
            <v>2206004</v>
          </cell>
          <cell r="C353" t="str">
            <v>Mantenimiento y Reparacion de Maquinas y Equipos de Oficina</v>
          </cell>
        </row>
        <row r="354">
          <cell r="A354">
            <v>201943985</v>
          </cell>
          <cell r="B354">
            <v>2206005</v>
          </cell>
          <cell r="C354" t="str">
            <v>Mantenimiento y Reparaciones de Maquinarias y Equipos de Produccion</v>
          </cell>
        </row>
        <row r="355">
          <cell r="A355">
            <v>201943986</v>
          </cell>
          <cell r="B355">
            <v>2206006</v>
          </cell>
          <cell r="C355" t="str">
            <v>Mantenimiento y Reparacion de Otras Maquinarias y Equipos</v>
          </cell>
        </row>
        <row r="356">
          <cell r="A356">
            <v>201943987</v>
          </cell>
          <cell r="B356">
            <v>2206007</v>
          </cell>
          <cell r="C356" t="str">
            <v>Mantenimiento y Reparacion de Equipos Informaticos</v>
          </cell>
        </row>
        <row r="357">
          <cell r="A357">
            <v>201943988</v>
          </cell>
          <cell r="B357">
            <v>2206999</v>
          </cell>
          <cell r="C357" t="str">
            <v>Otros</v>
          </cell>
        </row>
        <row r="358">
          <cell r="A358">
            <v>201943989</v>
          </cell>
          <cell r="B358">
            <v>2207</v>
          </cell>
          <cell r="C358" t="str">
            <v>Publicidad y Difusion</v>
          </cell>
        </row>
        <row r="359">
          <cell r="A359">
            <v>201943990</v>
          </cell>
          <cell r="B359">
            <v>2207001</v>
          </cell>
          <cell r="C359" t="str">
            <v>Servicios de Publicidad</v>
          </cell>
        </row>
        <row r="360">
          <cell r="A360">
            <v>201943991</v>
          </cell>
          <cell r="B360">
            <v>2207002</v>
          </cell>
          <cell r="C360" t="str">
            <v>Servicios de Impresion</v>
          </cell>
        </row>
        <row r="361">
          <cell r="A361">
            <v>201943992</v>
          </cell>
          <cell r="B361">
            <v>2207003</v>
          </cell>
          <cell r="C361" t="str">
            <v>Servicios de Encuadernacion y Empaste</v>
          </cell>
        </row>
        <row r="362">
          <cell r="A362">
            <v>201943993</v>
          </cell>
          <cell r="B362">
            <v>2207999</v>
          </cell>
          <cell r="C362" t="str">
            <v>Otros</v>
          </cell>
        </row>
        <row r="363">
          <cell r="A363">
            <v>201943994</v>
          </cell>
          <cell r="B363">
            <v>2208</v>
          </cell>
          <cell r="C363" t="str">
            <v>Servicios Generales</v>
          </cell>
        </row>
        <row r="364">
          <cell r="A364">
            <v>201943995</v>
          </cell>
          <cell r="B364">
            <v>2208001</v>
          </cell>
          <cell r="C364" t="str">
            <v>Servicios de Aseo</v>
          </cell>
        </row>
        <row r="365">
          <cell r="A365">
            <v>201943996</v>
          </cell>
          <cell r="B365">
            <v>2208002</v>
          </cell>
          <cell r="C365" t="str">
            <v>Servicios de Vigilancia</v>
          </cell>
        </row>
        <row r="366">
          <cell r="A366">
            <v>201943997</v>
          </cell>
          <cell r="B366">
            <v>2208003</v>
          </cell>
          <cell r="C366" t="str">
            <v>Servicios de Mantencion de Jardines</v>
          </cell>
        </row>
        <row r="367">
          <cell r="A367">
            <v>201943998</v>
          </cell>
          <cell r="B367">
            <v>2208007</v>
          </cell>
          <cell r="C367" t="str">
            <v>Pasajes, Fletes y Bodegajes</v>
          </cell>
        </row>
        <row r="368">
          <cell r="A368">
            <v>201943999</v>
          </cell>
          <cell r="B368">
            <v>2208008</v>
          </cell>
          <cell r="C368" t="str">
            <v>Salas Cunas y/o Jardines Infantiles</v>
          </cell>
        </row>
        <row r="369">
          <cell r="A369">
            <v>201944000</v>
          </cell>
          <cell r="B369">
            <v>2208009</v>
          </cell>
          <cell r="C369" t="str">
            <v>Servicios de Pago y Cobranza</v>
          </cell>
        </row>
        <row r="370">
          <cell r="A370">
            <v>201944001</v>
          </cell>
          <cell r="B370">
            <v>2208010</v>
          </cell>
          <cell r="C370" t="str">
            <v>Servicios de Suscripcion y Similares</v>
          </cell>
        </row>
        <row r="371">
          <cell r="A371">
            <v>201944002</v>
          </cell>
          <cell r="B371">
            <v>2208011</v>
          </cell>
          <cell r="C371" t="str">
            <v>Servicios de Produccion y Desarrollo de Eventos</v>
          </cell>
        </row>
        <row r="372">
          <cell r="A372">
            <v>201944003</v>
          </cell>
          <cell r="B372">
            <v>2208999</v>
          </cell>
          <cell r="C372" t="str">
            <v>Otros</v>
          </cell>
        </row>
        <row r="373">
          <cell r="A373">
            <v>201944004</v>
          </cell>
          <cell r="B373">
            <v>2209</v>
          </cell>
          <cell r="C373" t="str">
            <v>Arriendos</v>
          </cell>
        </row>
        <row r="374">
          <cell r="A374">
            <v>201944005</v>
          </cell>
          <cell r="B374">
            <v>2209001</v>
          </cell>
          <cell r="C374" t="str">
            <v>Arriendo de Terrenos</v>
          </cell>
        </row>
        <row r="375">
          <cell r="A375">
            <v>201944006</v>
          </cell>
          <cell r="B375">
            <v>2209002</v>
          </cell>
          <cell r="C375" t="str">
            <v>Arriendo de Edificios</v>
          </cell>
        </row>
        <row r="376">
          <cell r="A376">
            <v>201944007</v>
          </cell>
          <cell r="B376">
            <v>2209003</v>
          </cell>
          <cell r="C376" t="str">
            <v>Arriendo de Vehiculos</v>
          </cell>
        </row>
        <row r="377">
          <cell r="A377">
            <v>201944008</v>
          </cell>
          <cell r="B377">
            <v>2209004</v>
          </cell>
          <cell r="C377" t="str">
            <v>Arriendo de Mobiliario y Otros</v>
          </cell>
        </row>
        <row r="378">
          <cell r="A378">
            <v>201944009</v>
          </cell>
          <cell r="B378">
            <v>2209005</v>
          </cell>
          <cell r="C378" t="str">
            <v>Arriendo de Maquinas y Equipos</v>
          </cell>
        </row>
        <row r="379">
          <cell r="A379">
            <v>201944010</v>
          </cell>
          <cell r="B379">
            <v>2209006</v>
          </cell>
          <cell r="C379" t="str">
            <v>Arriendo de Equipos Informaticos</v>
          </cell>
        </row>
        <row r="380">
          <cell r="A380">
            <v>201944011</v>
          </cell>
          <cell r="B380">
            <v>2209999</v>
          </cell>
          <cell r="C380" t="str">
            <v>Otros</v>
          </cell>
        </row>
        <row r="381">
          <cell r="A381">
            <v>201944012</v>
          </cell>
          <cell r="B381">
            <v>2210</v>
          </cell>
          <cell r="C381" t="str">
            <v>Servicios Financieros y de Seguros</v>
          </cell>
        </row>
        <row r="382">
          <cell r="A382">
            <v>201944013</v>
          </cell>
          <cell r="B382">
            <v>2210001</v>
          </cell>
          <cell r="C382" t="str">
            <v>Gastos Financieros por Compra y Venta de Titulos y Valores</v>
          </cell>
        </row>
        <row r="383">
          <cell r="A383">
            <v>201944014</v>
          </cell>
          <cell r="B383">
            <v>2210002</v>
          </cell>
          <cell r="C383" t="str">
            <v>Primas y Gastos de Seguros</v>
          </cell>
        </row>
        <row r="384">
          <cell r="A384">
            <v>201944015</v>
          </cell>
          <cell r="B384">
            <v>2210003</v>
          </cell>
          <cell r="C384" t="str">
            <v>Servicios de Giros y Remesas</v>
          </cell>
        </row>
        <row r="385">
          <cell r="A385">
            <v>201944016</v>
          </cell>
          <cell r="B385">
            <v>2210004</v>
          </cell>
          <cell r="C385" t="str">
            <v>Gastos Bancarios</v>
          </cell>
        </row>
        <row r="386">
          <cell r="A386">
            <v>201944017</v>
          </cell>
          <cell r="B386">
            <v>2210999</v>
          </cell>
          <cell r="C386" t="str">
            <v>Otros</v>
          </cell>
        </row>
        <row r="387">
          <cell r="A387">
            <v>201944018</v>
          </cell>
          <cell r="B387">
            <v>2211</v>
          </cell>
          <cell r="C387" t="str">
            <v>Servicios Tecnicos y Profesionales</v>
          </cell>
        </row>
        <row r="388">
          <cell r="A388">
            <v>201944019</v>
          </cell>
          <cell r="B388">
            <v>2211001</v>
          </cell>
          <cell r="C388" t="str">
            <v>Estudios e Investigaciones</v>
          </cell>
        </row>
        <row r="389">
          <cell r="A389">
            <v>201944020</v>
          </cell>
          <cell r="B389">
            <v>2211002</v>
          </cell>
          <cell r="C389" t="str">
            <v>Cursos de Capacitacion</v>
          </cell>
        </row>
        <row r="390">
          <cell r="A390">
            <v>201944021</v>
          </cell>
          <cell r="B390">
            <v>2211003</v>
          </cell>
          <cell r="C390" t="str">
            <v>Servicios Informaticos</v>
          </cell>
        </row>
        <row r="391">
          <cell r="A391">
            <v>201944022</v>
          </cell>
          <cell r="B391">
            <v>2211999</v>
          </cell>
          <cell r="C391" t="str">
            <v>Otros</v>
          </cell>
        </row>
        <row r="392">
          <cell r="A392">
            <v>201944023</v>
          </cell>
          <cell r="B392">
            <v>2212</v>
          </cell>
          <cell r="C392" t="str">
            <v>Otros Gastos en Bienes y Servicios de Consumo</v>
          </cell>
        </row>
        <row r="393">
          <cell r="A393">
            <v>201944024</v>
          </cell>
          <cell r="B393">
            <v>2212001</v>
          </cell>
          <cell r="C393" t="str">
            <v>Gastos Reservados</v>
          </cell>
        </row>
        <row r="394">
          <cell r="A394">
            <v>201944025</v>
          </cell>
          <cell r="B394">
            <v>2212002</v>
          </cell>
          <cell r="C394" t="str">
            <v>Gastos Menores</v>
          </cell>
        </row>
        <row r="395">
          <cell r="A395">
            <v>201944026</v>
          </cell>
          <cell r="B395">
            <v>2212003</v>
          </cell>
          <cell r="C395" t="str">
            <v>Gastos de Representacion, Protocolo y Ceremonial</v>
          </cell>
        </row>
        <row r="396">
          <cell r="A396">
            <v>201944027</v>
          </cell>
          <cell r="B396">
            <v>2212004</v>
          </cell>
          <cell r="C396" t="str">
            <v>Intereses, Multas y Recargos</v>
          </cell>
        </row>
        <row r="397">
          <cell r="A397">
            <v>201944028</v>
          </cell>
          <cell r="B397">
            <v>2212005</v>
          </cell>
          <cell r="C397" t="str">
            <v>Derechos y Tasas</v>
          </cell>
        </row>
        <row r="398">
          <cell r="A398">
            <v>201944029</v>
          </cell>
          <cell r="B398">
            <v>2212006</v>
          </cell>
          <cell r="C398" t="str">
            <v>Contribuciones</v>
          </cell>
        </row>
        <row r="399">
          <cell r="A399">
            <v>201944030</v>
          </cell>
          <cell r="B399">
            <v>2212999</v>
          </cell>
          <cell r="C399" t="str">
            <v>Otros</v>
          </cell>
        </row>
        <row r="400">
          <cell r="A400">
            <v>201944031</v>
          </cell>
          <cell r="B400">
            <v>2215</v>
          </cell>
          <cell r="C400" t="str">
            <v>Material Policial y Militar</v>
          </cell>
        </row>
        <row r="401">
          <cell r="A401">
            <v>201944032</v>
          </cell>
          <cell r="B401">
            <v>23</v>
          </cell>
          <cell r="C401" t="str">
            <v>PRESTACIONES DE SEGURIDAD SOCIAL</v>
          </cell>
        </row>
        <row r="402">
          <cell r="A402">
            <v>201944033</v>
          </cell>
          <cell r="B402">
            <v>2301</v>
          </cell>
          <cell r="C402" t="str">
            <v>Prestaciones Previsionales</v>
          </cell>
        </row>
        <row r="403">
          <cell r="A403">
            <v>201944034</v>
          </cell>
          <cell r="B403">
            <v>2301001</v>
          </cell>
          <cell r="C403" t="str">
            <v>Jubilaciones, Pensiones y Montepios</v>
          </cell>
        </row>
        <row r="404">
          <cell r="A404">
            <v>201944035</v>
          </cell>
          <cell r="B404">
            <v>2301002</v>
          </cell>
          <cell r="C404" t="str">
            <v>Bonificaciones</v>
          </cell>
        </row>
        <row r="405">
          <cell r="A405">
            <v>201944036</v>
          </cell>
          <cell r="B405">
            <v>2301003</v>
          </cell>
          <cell r="C405" t="str">
            <v>Bono de Reconocimiento</v>
          </cell>
        </row>
        <row r="406">
          <cell r="A406">
            <v>201944037</v>
          </cell>
          <cell r="B406">
            <v>2301004</v>
          </cell>
          <cell r="C406" t="str">
            <v>Desahucios e Indemnizaciones</v>
          </cell>
        </row>
        <row r="407">
          <cell r="A407">
            <v>201944038</v>
          </cell>
          <cell r="B407">
            <v>2301005</v>
          </cell>
          <cell r="C407" t="str">
            <v>Fondo de Seguro Social de los Empleados Publicos</v>
          </cell>
        </row>
        <row r="408">
          <cell r="A408">
            <v>201944039</v>
          </cell>
          <cell r="B408">
            <v>2301006</v>
          </cell>
          <cell r="C408" t="str">
            <v>Asignacion por Muerte</v>
          </cell>
        </row>
        <row r="409">
          <cell r="A409">
            <v>201944040</v>
          </cell>
          <cell r="B409">
            <v>2301007</v>
          </cell>
          <cell r="C409" t="str">
            <v>Seguro de Vida</v>
          </cell>
        </row>
        <row r="410">
          <cell r="A410">
            <v>201944041</v>
          </cell>
          <cell r="B410">
            <v>2301008</v>
          </cell>
          <cell r="C410" t="str">
            <v>Devolucion de Imposiciones</v>
          </cell>
        </row>
        <row r="411">
          <cell r="A411">
            <v>201944042</v>
          </cell>
          <cell r="B411">
            <v>2301009</v>
          </cell>
          <cell r="C411" t="str">
            <v>Bonificaciones de Salud</v>
          </cell>
        </row>
        <row r="412">
          <cell r="A412">
            <v>201944043</v>
          </cell>
          <cell r="B412">
            <v>2301010</v>
          </cell>
          <cell r="C412" t="str">
            <v>Subsidios de Reposo Preventivo</v>
          </cell>
        </row>
        <row r="413">
          <cell r="A413">
            <v>201944044</v>
          </cell>
          <cell r="B413">
            <v>2301011</v>
          </cell>
          <cell r="C413" t="str">
            <v>Subsidio de Enfermedad y Medicina Curativa</v>
          </cell>
        </row>
        <row r="414">
          <cell r="A414">
            <v>201944045</v>
          </cell>
          <cell r="B414">
            <v>2301012</v>
          </cell>
          <cell r="C414" t="str">
            <v>Subsidios por Accidentes del Trabajo</v>
          </cell>
        </row>
        <row r="415">
          <cell r="A415">
            <v>201944046</v>
          </cell>
          <cell r="B415">
            <v>2301013</v>
          </cell>
          <cell r="C415" t="str">
            <v>Subsidios de Reposo Maternal, Articulo 196 Codigo del Trabajo</v>
          </cell>
        </row>
        <row r="416">
          <cell r="A416">
            <v>201944047</v>
          </cell>
          <cell r="B416">
            <v>2301014</v>
          </cell>
          <cell r="C416" t="str">
            <v>Subsidio Cajas de Compensacion de Asignacion Familiar</v>
          </cell>
        </row>
        <row r="417">
          <cell r="A417">
            <v>201944048</v>
          </cell>
          <cell r="B417">
            <v>2301015</v>
          </cell>
          <cell r="C417" t="str">
            <v>Aporte Fondo de Cesantia Solidario Ley N 19.728</v>
          </cell>
        </row>
        <row r="418">
          <cell r="A418">
            <v>201944150</v>
          </cell>
          <cell r="B418">
            <v>2301016</v>
          </cell>
          <cell r="C418" t="str">
            <v>Bonificacion por Hijo para las Mujeres</v>
          </cell>
        </row>
        <row r="419">
          <cell r="A419">
            <v>201944151</v>
          </cell>
          <cell r="B419">
            <v>2301017</v>
          </cell>
          <cell r="C419" t="str">
            <v>Fondo Bono Laboral Ley N 20.305</v>
          </cell>
        </row>
        <row r="420">
          <cell r="A420">
            <v>201944152</v>
          </cell>
          <cell r="B420">
            <v>2302</v>
          </cell>
          <cell r="C420" t="str">
            <v>Prestaciones de Asistencia Social</v>
          </cell>
        </row>
        <row r="421">
          <cell r="A421">
            <v>201944153</v>
          </cell>
          <cell r="B421">
            <v>2302001</v>
          </cell>
          <cell r="C421" t="str">
            <v>Asignacion Familiar</v>
          </cell>
        </row>
        <row r="422">
          <cell r="A422">
            <v>201944154</v>
          </cell>
          <cell r="B422">
            <v>2302002</v>
          </cell>
          <cell r="C422" t="str">
            <v>Pensiones Asistenciales</v>
          </cell>
        </row>
        <row r="423">
          <cell r="A423">
            <v>201944155</v>
          </cell>
          <cell r="B423">
            <v>2302003</v>
          </cell>
          <cell r="C423" t="str">
            <v>Garantia Estatal Pensiones Minimas</v>
          </cell>
        </row>
        <row r="424">
          <cell r="A424">
            <v>201944156</v>
          </cell>
          <cell r="B424">
            <v>2302004</v>
          </cell>
          <cell r="C424" t="str">
            <v>Ayudas Economicas y Otros Pagos Preventivos</v>
          </cell>
        </row>
        <row r="425">
          <cell r="A425">
            <v>201944157</v>
          </cell>
          <cell r="B425">
            <v>2302005</v>
          </cell>
          <cell r="C425" t="str">
            <v>Subsidios de Reposo Maternal y Cuidado del Nino</v>
          </cell>
        </row>
        <row r="426">
          <cell r="A426">
            <v>201944158</v>
          </cell>
          <cell r="B426">
            <v>2302006</v>
          </cell>
          <cell r="C426" t="str">
            <v>Subsidio de Cesantia</v>
          </cell>
        </row>
        <row r="427">
          <cell r="A427">
            <v>201944159</v>
          </cell>
          <cell r="B427">
            <v>2302007</v>
          </cell>
          <cell r="C427" t="str">
            <v>Pensiones Basicas Solidarias de Vejez</v>
          </cell>
        </row>
        <row r="428">
          <cell r="A428">
            <v>201944160</v>
          </cell>
          <cell r="B428">
            <v>2302008</v>
          </cell>
          <cell r="C428" t="str">
            <v>Pensiones Basicas Solidarias de Invalidez</v>
          </cell>
        </row>
        <row r="429">
          <cell r="A429">
            <v>201944161</v>
          </cell>
          <cell r="B429">
            <v>2302009</v>
          </cell>
          <cell r="C429" t="str">
            <v>Subsidio de Discapacidad Mental</v>
          </cell>
        </row>
        <row r="430">
          <cell r="A430">
            <v>201944162</v>
          </cell>
          <cell r="B430">
            <v>2302010</v>
          </cell>
          <cell r="C430" t="str">
            <v>Bono para Conyuges que cumplan Cincuenta Anos de Matrimonio</v>
          </cell>
        </row>
        <row r="431">
          <cell r="A431">
            <v>201944163</v>
          </cell>
          <cell r="B431">
            <v>2302011</v>
          </cell>
          <cell r="C431" t="str">
            <v>Bonificacion Ley N20.531</v>
          </cell>
        </row>
        <row r="432">
          <cell r="A432">
            <v>201944164</v>
          </cell>
          <cell r="B432">
            <v>2303</v>
          </cell>
          <cell r="C432" t="str">
            <v>Prestaciones Sociales del Empleador</v>
          </cell>
        </row>
        <row r="433">
          <cell r="A433">
            <v>201944165</v>
          </cell>
          <cell r="B433">
            <v>2303001</v>
          </cell>
          <cell r="C433" t="str">
            <v>Indemnizacion de Cargo Fiscal</v>
          </cell>
        </row>
        <row r="434">
          <cell r="A434">
            <v>201944166</v>
          </cell>
          <cell r="B434">
            <v>2303002</v>
          </cell>
          <cell r="C434" t="str">
            <v>Beneficios Medicos</v>
          </cell>
        </row>
        <row r="435">
          <cell r="A435">
            <v>201944167</v>
          </cell>
          <cell r="B435">
            <v>2303003</v>
          </cell>
          <cell r="C435" t="str">
            <v>Fondo Retiro Funcionarios Publicos Ley N 19.882</v>
          </cell>
        </row>
        <row r="436">
          <cell r="A436">
            <v>201944168</v>
          </cell>
          <cell r="B436">
            <v>2303004</v>
          </cell>
          <cell r="C436" t="str">
            <v>Otras Indemnizaciones</v>
          </cell>
        </row>
        <row r="437">
          <cell r="A437">
            <v>201944169</v>
          </cell>
          <cell r="B437">
            <v>24</v>
          </cell>
          <cell r="C437" t="str">
            <v>TRANSFERENCIAS CORRIENTES</v>
          </cell>
        </row>
        <row r="438">
          <cell r="A438">
            <v>201944170</v>
          </cell>
          <cell r="B438">
            <v>2401</v>
          </cell>
          <cell r="C438" t="str">
            <v>Al Sector Privado</v>
          </cell>
        </row>
        <row r="439">
          <cell r="A439">
            <v>201944171</v>
          </cell>
          <cell r="B439">
            <v>2402</v>
          </cell>
          <cell r="C439" t="str">
            <v>Al Gobierno Central</v>
          </cell>
        </row>
        <row r="440">
          <cell r="A440">
            <v>201944663</v>
          </cell>
          <cell r="B440">
            <v>2402005</v>
          </cell>
          <cell r="C440" t="str">
            <v>A la Direccion de Bibliotecas Archivos y Museos</v>
          </cell>
        </row>
        <row r="441">
          <cell r="A441">
            <v>201944172</v>
          </cell>
          <cell r="B441">
            <v>2403</v>
          </cell>
          <cell r="C441" t="str">
            <v>A Otras Entidades Publicas</v>
          </cell>
        </row>
        <row r="442">
          <cell r="A442">
            <v>201944560</v>
          </cell>
          <cell r="B442">
            <v>2403024</v>
          </cell>
          <cell r="C442" t="str">
            <v>Capacitacion en Desarrollo Regional y Comunal</v>
          </cell>
        </row>
        <row r="443">
          <cell r="A443">
            <v>201944664</v>
          </cell>
          <cell r="B443">
            <v>2403026</v>
          </cell>
          <cell r="C443" t="str">
            <v>Programa Academia Capacitacion Municipal y Regional</v>
          </cell>
        </row>
        <row r="444">
          <cell r="A444">
            <v>201944577</v>
          </cell>
          <cell r="B444">
            <v>2403029</v>
          </cell>
          <cell r="C444" t="str">
            <v>Municipalidades</v>
          </cell>
        </row>
        <row r="445">
          <cell r="A445">
            <v>201944573</v>
          </cell>
          <cell r="B445">
            <v>2403031</v>
          </cell>
          <cell r="C445" t="str">
            <v>Programa de Apoyo a la Acreditacion de Calidad de Servicios Municipales</v>
          </cell>
        </row>
        <row r="446">
          <cell r="A446">
            <v>201944559</v>
          </cell>
          <cell r="B446">
            <v>2403032</v>
          </cell>
          <cell r="C446" t="str">
            <v>Programa de Mejoramiento de la Gestion Municipal</v>
          </cell>
        </row>
        <row r="447">
          <cell r="A447">
            <v>201944665</v>
          </cell>
          <cell r="B447">
            <v>2403112</v>
          </cell>
          <cell r="C447" t="str">
            <v>Oficina Fondo Recuperacion de Ciudades</v>
          </cell>
        </row>
        <row r="448">
          <cell r="A448">
            <v>201944653</v>
          </cell>
          <cell r="B448">
            <v>2403399</v>
          </cell>
          <cell r="C448" t="str">
            <v>Oficina Credito de Apoyo a la Gestion Subnacional</v>
          </cell>
        </row>
        <row r="449">
          <cell r="A449">
            <v>201944568</v>
          </cell>
          <cell r="B449">
            <v>2403403</v>
          </cell>
          <cell r="C449" t="str">
            <v>Municipalidades (Compensacion por Predios Exentos)</v>
          </cell>
        </row>
        <row r="450">
          <cell r="A450">
            <v>201944572</v>
          </cell>
          <cell r="B450">
            <v>2403405</v>
          </cell>
          <cell r="C450" t="str">
            <v>Oficina Credito Puesta en Valor del Patrimonio</v>
          </cell>
        </row>
        <row r="451">
          <cell r="A451">
            <v>201944173</v>
          </cell>
          <cell r="B451">
            <v>2404</v>
          </cell>
          <cell r="C451" t="str">
            <v>A Empresas Publicas no Financieras</v>
          </cell>
        </row>
        <row r="452">
          <cell r="A452">
            <v>201944174</v>
          </cell>
          <cell r="B452">
            <v>2405</v>
          </cell>
          <cell r="C452" t="str">
            <v>A Empresas Publicas Financieras</v>
          </cell>
        </row>
        <row r="453">
          <cell r="A453">
            <v>201944175</v>
          </cell>
          <cell r="B453">
            <v>2406</v>
          </cell>
          <cell r="C453" t="str">
            <v>A Gobiernos Extranjeros</v>
          </cell>
        </row>
        <row r="454">
          <cell r="A454">
            <v>201944176</v>
          </cell>
          <cell r="B454">
            <v>2407</v>
          </cell>
          <cell r="C454" t="str">
            <v>A Organismos Internacionales</v>
          </cell>
        </row>
        <row r="455">
          <cell r="A455">
            <v>201944177</v>
          </cell>
          <cell r="B455">
            <v>25</v>
          </cell>
          <cell r="C455" t="str">
            <v>INTEGROS AL FISCO</v>
          </cell>
        </row>
        <row r="456">
          <cell r="A456">
            <v>201944178</v>
          </cell>
          <cell r="B456">
            <v>2501</v>
          </cell>
          <cell r="C456" t="str">
            <v>Impuestos</v>
          </cell>
        </row>
        <row r="457">
          <cell r="A457">
            <v>201944179</v>
          </cell>
          <cell r="B457">
            <v>2502</v>
          </cell>
          <cell r="C457" t="str">
            <v>Anticipos y/o Utilidades</v>
          </cell>
        </row>
        <row r="458">
          <cell r="A458">
            <v>201944180</v>
          </cell>
          <cell r="B458">
            <v>2503</v>
          </cell>
          <cell r="C458" t="str">
            <v>Excedentes de Caja</v>
          </cell>
        </row>
        <row r="459">
          <cell r="A459">
            <v>201944181</v>
          </cell>
          <cell r="B459">
            <v>2599</v>
          </cell>
          <cell r="C459" t="str">
            <v>Otros ntegros al Fisco</v>
          </cell>
        </row>
        <row r="460">
          <cell r="A460">
            <v>201944182</v>
          </cell>
          <cell r="B460">
            <v>26</v>
          </cell>
          <cell r="C460" t="str">
            <v>OTROS GASTOS CORRIENTES</v>
          </cell>
        </row>
        <row r="461">
          <cell r="A461">
            <v>201944183</v>
          </cell>
          <cell r="B461">
            <v>2601</v>
          </cell>
          <cell r="C461" t="str">
            <v>Devoluciones</v>
          </cell>
        </row>
        <row r="462">
          <cell r="A462">
            <v>201944184</v>
          </cell>
          <cell r="B462">
            <v>2602</v>
          </cell>
          <cell r="C462" t="str">
            <v>Compensaciones por Danos a Terceros y/o a la Propiedad</v>
          </cell>
        </row>
        <row r="463">
          <cell r="A463">
            <v>201944185</v>
          </cell>
          <cell r="B463">
            <v>2603</v>
          </cell>
          <cell r="C463" t="str">
            <v>2% Constitucional</v>
          </cell>
        </row>
        <row r="464">
          <cell r="A464">
            <v>201944186</v>
          </cell>
          <cell r="B464">
            <v>2604</v>
          </cell>
          <cell r="C464" t="str">
            <v>Aplicacion Fondos de Terceros</v>
          </cell>
        </row>
        <row r="465">
          <cell r="A465">
            <v>201944187</v>
          </cell>
          <cell r="B465">
            <v>27</v>
          </cell>
          <cell r="C465" t="str">
            <v>APORTE FISCAL LIBRE</v>
          </cell>
        </row>
        <row r="466">
          <cell r="A466">
            <v>201944188</v>
          </cell>
          <cell r="B466">
            <v>28</v>
          </cell>
          <cell r="C466" t="str">
            <v>APORTE FISCAL PARA SERVICIO DE LA DEUDA</v>
          </cell>
        </row>
        <row r="467">
          <cell r="A467">
            <v>201944189</v>
          </cell>
          <cell r="B467">
            <v>29</v>
          </cell>
          <cell r="C467" t="str">
            <v>ADQUISICION DE ACTIVOS NO FINANCIEROS</v>
          </cell>
        </row>
        <row r="468">
          <cell r="A468">
            <v>201944190</v>
          </cell>
          <cell r="B468">
            <v>2901</v>
          </cell>
          <cell r="C468" t="str">
            <v>Terrenos</v>
          </cell>
        </row>
        <row r="469">
          <cell r="A469">
            <v>201944191</v>
          </cell>
          <cell r="B469">
            <v>2902</v>
          </cell>
          <cell r="C469" t="str">
            <v>Edificios</v>
          </cell>
        </row>
        <row r="470">
          <cell r="A470">
            <v>201944192</v>
          </cell>
          <cell r="B470">
            <v>2903</v>
          </cell>
          <cell r="C470" t="str">
            <v>Vehiculos</v>
          </cell>
        </row>
        <row r="471">
          <cell r="A471">
            <v>201944193</v>
          </cell>
          <cell r="B471">
            <v>2904</v>
          </cell>
          <cell r="C471" t="str">
            <v>Mobiliario y Otros</v>
          </cell>
        </row>
        <row r="472">
          <cell r="A472">
            <v>201944194</v>
          </cell>
          <cell r="B472">
            <v>2905</v>
          </cell>
          <cell r="C472" t="str">
            <v>Maquinas y Equipos</v>
          </cell>
        </row>
        <row r="473">
          <cell r="A473">
            <v>201944195</v>
          </cell>
          <cell r="B473">
            <v>2905001</v>
          </cell>
          <cell r="C473" t="str">
            <v>Maquinas y Equipos de Oficina</v>
          </cell>
        </row>
        <row r="474">
          <cell r="A474">
            <v>201944196</v>
          </cell>
          <cell r="B474">
            <v>2905002</v>
          </cell>
          <cell r="C474" t="str">
            <v>Maquinarias y Equipos para la Produccion</v>
          </cell>
        </row>
        <row r="475">
          <cell r="A475">
            <v>201944197</v>
          </cell>
          <cell r="B475">
            <v>2905999</v>
          </cell>
          <cell r="C475" t="str">
            <v>Otras</v>
          </cell>
        </row>
        <row r="476">
          <cell r="A476">
            <v>201944198</v>
          </cell>
          <cell r="B476">
            <v>2906</v>
          </cell>
          <cell r="C476" t="str">
            <v>Equipos Informaticos</v>
          </cell>
        </row>
        <row r="477">
          <cell r="A477">
            <v>201944199</v>
          </cell>
          <cell r="B477">
            <v>2906001</v>
          </cell>
          <cell r="C477" t="str">
            <v>Equipos Computacionales y Perifericos</v>
          </cell>
        </row>
        <row r="478">
          <cell r="A478">
            <v>201944441</v>
          </cell>
          <cell r="B478">
            <v>2906002</v>
          </cell>
          <cell r="C478" t="str">
            <v>Equipos de Comunicaciones para Redes Informaticas</v>
          </cell>
        </row>
        <row r="479">
          <cell r="A479">
            <v>201944442</v>
          </cell>
          <cell r="B479">
            <v>2907</v>
          </cell>
          <cell r="C479" t="str">
            <v>Programas Informaticos</v>
          </cell>
        </row>
        <row r="480">
          <cell r="A480">
            <v>201944443</v>
          </cell>
          <cell r="B480">
            <v>2907001</v>
          </cell>
          <cell r="C480" t="str">
            <v>Programas Computacionales</v>
          </cell>
        </row>
        <row r="481">
          <cell r="A481">
            <v>201944444</v>
          </cell>
          <cell r="B481">
            <v>2907002</v>
          </cell>
          <cell r="C481" t="str">
            <v>Sistemas de Informacion</v>
          </cell>
        </row>
        <row r="482">
          <cell r="A482">
            <v>201944445</v>
          </cell>
          <cell r="B482">
            <v>2999</v>
          </cell>
          <cell r="C482" t="str">
            <v>Otros Activos no Financieros</v>
          </cell>
        </row>
        <row r="483">
          <cell r="A483">
            <v>201944446</v>
          </cell>
          <cell r="B483">
            <v>30</v>
          </cell>
          <cell r="C483" t="str">
            <v>ADQUISICION DE ACTIVOS FINANCIEROS</v>
          </cell>
        </row>
        <row r="484">
          <cell r="A484">
            <v>201944447</v>
          </cell>
          <cell r="B484">
            <v>3001</v>
          </cell>
          <cell r="C484" t="str">
            <v>Compra de Titulos y Valores</v>
          </cell>
        </row>
        <row r="485">
          <cell r="A485">
            <v>201944448</v>
          </cell>
          <cell r="B485">
            <v>3001001</v>
          </cell>
          <cell r="C485" t="str">
            <v>Depositos a Plazo</v>
          </cell>
        </row>
        <row r="486">
          <cell r="A486">
            <v>201944449</v>
          </cell>
          <cell r="B486">
            <v>3001002</v>
          </cell>
          <cell r="C486" t="str">
            <v>Pactos de Retrocompra</v>
          </cell>
        </row>
        <row r="487">
          <cell r="A487">
            <v>201944450</v>
          </cell>
          <cell r="B487">
            <v>3001003</v>
          </cell>
          <cell r="C487" t="str">
            <v>Cuotas de Fondos Mutuos</v>
          </cell>
        </row>
        <row r="488">
          <cell r="A488">
            <v>201944451</v>
          </cell>
          <cell r="B488">
            <v>3001004</v>
          </cell>
          <cell r="C488" t="str">
            <v>Bonos o Pagares</v>
          </cell>
        </row>
        <row r="489">
          <cell r="A489">
            <v>201944452</v>
          </cell>
          <cell r="B489">
            <v>3001005</v>
          </cell>
          <cell r="C489" t="str">
            <v>Letras Hipotecarias</v>
          </cell>
        </row>
        <row r="490">
          <cell r="A490">
            <v>201944453</v>
          </cell>
          <cell r="B490">
            <v>3001999</v>
          </cell>
          <cell r="C490" t="str">
            <v>Otros</v>
          </cell>
        </row>
        <row r="491">
          <cell r="A491">
            <v>201944454</v>
          </cell>
          <cell r="B491">
            <v>3002</v>
          </cell>
          <cell r="C491" t="str">
            <v>Compra de Acciones y Participaciones de Capital</v>
          </cell>
        </row>
        <row r="492">
          <cell r="A492">
            <v>201944455</v>
          </cell>
          <cell r="B492">
            <v>3003</v>
          </cell>
          <cell r="C492" t="str">
            <v>Operaciones de Cambio</v>
          </cell>
        </row>
        <row r="493">
          <cell r="A493">
            <v>201944456</v>
          </cell>
          <cell r="B493">
            <v>3099</v>
          </cell>
          <cell r="C493" t="str">
            <v>Otros Activos Financieros</v>
          </cell>
        </row>
        <row r="494">
          <cell r="A494">
            <v>201944457</v>
          </cell>
          <cell r="B494">
            <v>31</v>
          </cell>
          <cell r="C494" t="str">
            <v>INICIATIVAS DE INVERSION</v>
          </cell>
        </row>
        <row r="495">
          <cell r="A495">
            <v>201944458</v>
          </cell>
          <cell r="B495">
            <v>3101</v>
          </cell>
          <cell r="C495" t="str">
            <v>Estudios Basicos</v>
          </cell>
        </row>
        <row r="496">
          <cell r="A496">
            <v>201944459</v>
          </cell>
          <cell r="B496">
            <v>3101001</v>
          </cell>
          <cell r="C496" t="str">
            <v>Gastos Administrativos</v>
          </cell>
        </row>
        <row r="497">
          <cell r="A497">
            <v>201944460</v>
          </cell>
          <cell r="B497">
            <v>3101002</v>
          </cell>
          <cell r="C497" t="str">
            <v>Consultorias</v>
          </cell>
        </row>
        <row r="498">
          <cell r="A498">
            <v>201944461</v>
          </cell>
          <cell r="B498">
            <v>3102</v>
          </cell>
          <cell r="C498" t="str">
            <v>Proyectos</v>
          </cell>
        </row>
        <row r="499">
          <cell r="A499">
            <v>201944462</v>
          </cell>
          <cell r="B499">
            <v>3102001</v>
          </cell>
          <cell r="C499" t="str">
            <v>Gastos Administrativos</v>
          </cell>
        </row>
        <row r="500">
          <cell r="A500">
            <v>201944463</v>
          </cell>
          <cell r="B500">
            <v>3102002</v>
          </cell>
          <cell r="C500" t="str">
            <v>Consultorias</v>
          </cell>
        </row>
        <row r="501">
          <cell r="A501">
            <v>201944464</v>
          </cell>
          <cell r="B501">
            <v>3102003</v>
          </cell>
          <cell r="C501" t="str">
            <v>Terrenos</v>
          </cell>
        </row>
        <row r="502">
          <cell r="A502">
            <v>201944465</v>
          </cell>
          <cell r="B502">
            <v>3102004</v>
          </cell>
          <cell r="C502" t="str">
            <v>Obras Civiles</v>
          </cell>
        </row>
        <row r="503">
          <cell r="A503">
            <v>201944466</v>
          </cell>
          <cell r="B503">
            <v>3102005</v>
          </cell>
          <cell r="C503" t="str">
            <v>Equipamiento</v>
          </cell>
        </row>
        <row r="504">
          <cell r="A504">
            <v>201944467</v>
          </cell>
          <cell r="B504">
            <v>3102006</v>
          </cell>
          <cell r="C504" t="str">
            <v>Equipos</v>
          </cell>
        </row>
        <row r="505">
          <cell r="A505">
            <v>201944468</v>
          </cell>
          <cell r="B505">
            <v>3102007</v>
          </cell>
          <cell r="C505" t="str">
            <v>Vehiculos</v>
          </cell>
        </row>
        <row r="506">
          <cell r="A506">
            <v>201944469</v>
          </cell>
          <cell r="B506">
            <v>3102999</v>
          </cell>
          <cell r="C506" t="str">
            <v>Otros Gastos</v>
          </cell>
        </row>
        <row r="507">
          <cell r="A507">
            <v>201944470</v>
          </cell>
          <cell r="B507">
            <v>3103</v>
          </cell>
          <cell r="C507" t="str">
            <v>Programas de Inversion</v>
          </cell>
        </row>
        <row r="508">
          <cell r="A508">
            <v>201944471</v>
          </cell>
          <cell r="B508">
            <v>3103001</v>
          </cell>
          <cell r="C508" t="str">
            <v>Gastos Administrativos</v>
          </cell>
        </row>
        <row r="509">
          <cell r="A509">
            <v>201944472</v>
          </cell>
          <cell r="B509">
            <v>3103002</v>
          </cell>
          <cell r="C509" t="str">
            <v>Consultorias</v>
          </cell>
        </row>
        <row r="510">
          <cell r="A510">
            <v>201944473</v>
          </cell>
          <cell r="B510">
            <v>3103003</v>
          </cell>
          <cell r="C510" t="str">
            <v>Contratacion del Programa</v>
          </cell>
        </row>
        <row r="511">
          <cell r="A511">
            <v>201944474</v>
          </cell>
          <cell r="B511">
            <v>32</v>
          </cell>
          <cell r="C511" t="str">
            <v>PRESTAMOS</v>
          </cell>
        </row>
        <row r="512">
          <cell r="A512">
            <v>201944475</v>
          </cell>
          <cell r="B512">
            <v>3201</v>
          </cell>
          <cell r="C512" t="str">
            <v>De Asistencia Social</v>
          </cell>
        </row>
        <row r="513">
          <cell r="A513">
            <v>201944476</v>
          </cell>
          <cell r="B513">
            <v>3202</v>
          </cell>
          <cell r="C513" t="str">
            <v>Hipotecarios</v>
          </cell>
        </row>
        <row r="514">
          <cell r="A514">
            <v>201944477</v>
          </cell>
          <cell r="B514">
            <v>3203</v>
          </cell>
          <cell r="C514" t="str">
            <v>Pignoraticios</v>
          </cell>
        </row>
        <row r="515">
          <cell r="A515">
            <v>201944478</v>
          </cell>
          <cell r="B515">
            <v>3204</v>
          </cell>
          <cell r="C515" t="str">
            <v>De Fomento</v>
          </cell>
        </row>
        <row r="516">
          <cell r="A516">
            <v>201944667</v>
          </cell>
          <cell r="B516">
            <v>3204002</v>
          </cell>
          <cell r="C516" t="str">
            <v>Municipalidades</v>
          </cell>
        </row>
        <row r="517">
          <cell r="A517">
            <v>201944479</v>
          </cell>
          <cell r="B517">
            <v>3205</v>
          </cell>
          <cell r="C517" t="str">
            <v>Medicos</v>
          </cell>
        </row>
        <row r="518">
          <cell r="A518">
            <v>201944480</v>
          </cell>
          <cell r="B518">
            <v>3206</v>
          </cell>
          <cell r="C518" t="str">
            <v>Por Anticipos a Contratistas</v>
          </cell>
        </row>
        <row r="519">
          <cell r="A519">
            <v>201944481</v>
          </cell>
          <cell r="B519">
            <v>3207</v>
          </cell>
          <cell r="C519" t="str">
            <v>Por Anticipos por Cambio de Residencia</v>
          </cell>
        </row>
        <row r="520">
          <cell r="A520">
            <v>201944482</v>
          </cell>
          <cell r="B520">
            <v>3209</v>
          </cell>
          <cell r="C520" t="str">
            <v>Por Ventas a Plazo</v>
          </cell>
        </row>
        <row r="521">
          <cell r="A521">
            <v>201944483</v>
          </cell>
          <cell r="B521">
            <v>33</v>
          </cell>
          <cell r="C521" t="str">
            <v>TRANSFERENCIAS DE CAPITAL</v>
          </cell>
        </row>
        <row r="522">
          <cell r="A522">
            <v>201944484</v>
          </cell>
          <cell r="B522">
            <v>3301</v>
          </cell>
          <cell r="C522" t="str">
            <v>Al Sector Privado</v>
          </cell>
        </row>
        <row r="523">
          <cell r="A523">
            <v>201944485</v>
          </cell>
          <cell r="B523">
            <v>3302</v>
          </cell>
          <cell r="C523" t="str">
            <v>Al Gobierno Central</v>
          </cell>
        </row>
        <row r="524">
          <cell r="A524">
            <v>201944578</v>
          </cell>
          <cell r="B524">
            <v>3302001</v>
          </cell>
          <cell r="C524" t="str">
            <v>Programa Inversion Regional Region I</v>
          </cell>
        </row>
        <row r="525">
          <cell r="A525">
            <v>201944579</v>
          </cell>
          <cell r="B525">
            <v>3302002</v>
          </cell>
          <cell r="C525" t="str">
            <v>Programa Inversion Regional Region II</v>
          </cell>
        </row>
        <row r="526">
          <cell r="A526">
            <v>201944580</v>
          </cell>
          <cell r="B526">
            <v>3302003</v>
          </cell>
          <cell r="C526" t="str">
            <v>Programa Inversion Regional Region III</v>
          </cell>
        </row>
        <row r="527">
          <cell r="A527">
            <v>201944581</v>
          </cell>
          <cell r="B527">
            <v>3302004</v>
          </cell>
          <cell r="C527" t="str">
            <v>Programa Inversion Regional Region IV</v>
          </cell>
        </row>
        <row r="528">
          <cell r="A528">
            <v>201944582</v>
          </cell>
          <cell r="B528">
            <v>3302005</v>
          </cell>
          <cell r="C528" t="str">
            <v>Programa Inversion Regional Region V</v>
          </cell>
        </row>
        <row r="529">
          <cell r="A529">
            <v>201944583</v>
          </cell>
          <cell r="B529">
            <v>3302006</v>
          </cell>
          <cell r="C529" t="str">
            <v>Programa Inversion Regional Region VI</v>
          </cell>
        </row>
        <row r="530">
          <cell r="A530">
            <v>201944584</v>
          </cell>
          <cell r="B530">
            <v>3302007</v>
          </cell>
          <cell r="C530" t="str">
            <v>Programa Inversion Regional Region VII</v>
          </cell>
        </row>
        <row r="531">
          <cell r="A531">
            <v>201944585</v>
          </cell>
          <cell r="B531">
            <v>3302008</v>
          </cell>
          <cell r="C531" t="str">
            <v>Programa Inversion Regional Region VIII</v>
          </cell>
        </row>
        <row r="532">
          <cell r="A532">
            <v>201944586</v>
          </cell>
          <cell r="B532">
            <v>3302009</v>
          </cell>
          <cell r="C532" t="str">
            <v>Programa Inversion Regional Region IX</v>
          </cell>
        </row>
        <row r="533">
          <cell r="A533">
            <v>201944587</v>
          </cell>
          <cell r="B533">
            <v>3302010</v>
          </cell>
          <cell r="C533" t="str">
            <v>Programa Inversion Regional Region X</v>
          </cell>
        </row>
        <row r="534">
          <cell r="A534">
            <v>201944658</v>
          </cell>
          <cell r="B534">
            <v>3302011</v>
          </cell>
          <cell r="C534" t="str">
            <v>Programa Inversion Regional Region XI</v>
          </cell>
        </row>
        <row r="535">
          <cell r="A535">
            <v>201944588</v>
          </cell>
          <cell r="B535">
            <v>3302012</v>
          </cell>
          <cell r="C535" t="str">
            <v>Programa Inversion Regional Region XII</v>
          </cell>
        </row>
        <row r="536">
          <cell r="A536">
            <v>201944642</v>
          </cell>
          <cell r="B536">
            <v>3302013</v>
          </cell>
          <cell r="C536" t="str">
            <v>Programa Inversion Regional Region Metropolitana</v>
          </cell>
        </row>
        <row r="537">
          <cell r="A537">
            <v>201944656</v>
          </cell>
          <cell r="B537">
            <v>3302014</v>
          </cell>
          <cell r="C537" t="str">
            <v>Programa Inversion Regional Region XIV</v>
          </cell>
        </row>
        <row r="538">
          <cell r="A538">
            <v>201944657</v>
          </cell>
          <cell r="B538">
            <v>3302015</v>
          </cell>
          <cell r="C538" t="str">
            <v>Programa Inversion Regional Region XV</v>
          </cell>
        </row>
        <row r="539">
          <cell r="A539">
            <v>201946403</v>
          </cell>
          <cell r="B539">
            <v>3302016</v>
          </cell>
          <cell r="C539" t="str">
            <v>Al Consejo Nacional De La Cultura Y Las Artes</v>
          </cell>
        </row>
        <row r="540">
          <cell r="A540">
            <v>201944486</v>
          </cell>
          <cell r="B540">
            <v>3303</v>
          </cell>
          <cell r="C540" t="str">
            <v>A Otras Entidades Publicas</v>
          </cell>
        </row>
        <row r="541">
          <cell r="A541">
            <v>201944643</v>
          </cell>
          <cell r="B541">
            <v>3303001</v>
          </cell>
          <cell r="C541" t="str">
            <v>Provision Fondo Nacional de Desarrollo Regional</v>
          </cell>
        </row>
        <row r="542">
          <cell r="A542">
            <v>201944644</v>
          </cell>
          <cell r="B542">
            <v>3303003</v>
          </cell>
          <cell r="C542" t="str">
            <v>Provision Infraestructura Educacional</v>
          </cell>
        </row>
        <row r="543">
          <cell r="A543">
            <v>201944645</v>
          </cell>
          <cell r="B543">
            <v>3303005</v>
          </cell>
          <cell r="C543" t="str">
            <v>Municipalidades (Programa Mejoramiento Urbano y Equipamiento Comunal)</v>
          </cell>
        </row>
        <row r="544">
          <cell r="A544">
            <v>201944650</v>
          </cell>
          <cell r="B544">
            <v>3303005001</v>
          </cell>
          <cell r="C544" t="str">
            <v>Emergencia</v>
          </cell>
        </row>
        <row r="545">
          <cell r="A545">
            <v>201944651</v>
          </cell>
          <cell r="B545">
            <v>3303005002</v>
          </cell>
          <cell r="C545" t="str">
            <v>Tradicional</v>
          </cell>
        </row>
        <row r="546">
          <cell r="A546">
            <v>201944652</v>
          </cell>
          <cell r="B546">
            <v>3303005003</v>
          </cell>
          <cell r="C546" t="str">
            <v>Emergencia FIE</v>
          </cell>
        </row>
        <row r="547">
          <cell r="A547">
            <v>201944646</v>
          </cell>
          <cell r="B547">
            <v>3303006</v>
          </cell>
          <cell r="C547" t="str">
            <v>Municipalidades (Programa Mejoramiento de Barrios)</v>
          </cell>
        </row>
        <row r="548">
          <cell r="A548">
            <v>201944571</v>
          </cell>
          <cell r="B548">
            <v>3303016</v>
          </cell>
          <cell r="C548" t="str">
            <v>Municipalidades - Sistema Informacion Financiera Municipal</v>
          </cell>
        </row>
        <row r="549">
          <cell r="A549">
            <v>201944647</v>
          </cell>
          <cell r="B549">
            <v>3303017</v>
          </cell>
          <cell r="C549" t="str">
            <v>Provision Programa Infraestructura Rural</v>
          </cell>
        </row>
        <row r="550">
          <cell r="A550">
            <v>201944659</v>
          </cell>
          <cell r="B550">
            <v>3303021</v>
          </cell>
          <cell r="C550" t="str">
            <v>Provision Puesta en Valor del Patrimonio</v>
          </cell>
        </row>
        <row r="551">
          <cell r="A551">
            <v>201944654</v>
          </cell>
          <cell r="B551">
            <v>3303024</v>
          </cell>
          <cell r="C551" t="str">
            <v>Provision Programa Fondo de Innovacion para la Competitividad</v>
          </cell>
        </row>
        <row r="552">
          <cell r="A552">
            <v>201944655</v>
          </cell>
          <cell r="B552">
            <v>3303025</v>
          </cell>
          <cell r="C552" t="str">
            <v>Provision de Apoyo a la Gestion Subnacional</v>
          </cell>
        </row>
        <row r="553">
          <cell r="A553">
            <v>201944565</v>
          </cell>
          <cell r="B553">
            <v>3303100</v>
          </cell>
          <cell r="C553" t="str">
            <v>Municipalidades (Fondo Recuperacion de Ciudades)</v>
          </cell>
        </row>
        <row r="554">
          <cell r="A554">
            <v>201944666</v>
          </cell>
          <cell r="B554">
            <v>3303110</v>
          </cell>
          <cell r="C554" t="str">
            <v>Municipalidades (Fondo de Incentivo al Mejoramiento de la Gestion Municipal)</v>
          </cell>
        </row>
        <row r="555">
          <cell r="A555">
            <v>201944648</v>
          </cell>
          <cell r="B555">
            <v>3303130</v>
          </cell>
          <cell r="C555" t="str">
            <v>Provision Programa Saneamiento Sanitario</v>
          </cell>
        </row>
        <row r="556">
          <cell r="A556">
            <v>201944649</v>
          </cell>
          <cell r="B556">
            <v>3303190</v>
          </cell>
          <cell r="C556" t="str">
            <v>Provision Programa Residuos Solidos</v>
          </cell>
        </row>
        <row r="557">
          <cell r="A557">
            <v>201944660</v>
          </cell>
          <cell r="B557">
            <v>3303418</v>
          </cell>
          <cell r="C557" t="str">
            <v>Provision Ley N 20.378 - Fondo de Apoyo Regional (FAR)</v>
          </cell>
        </row>
        <row r="558">
          <cell r="A558">
            <v>201944564</v>
          </cell>
          <cell r="B558">
            <v>3303421</v>
          </cell>
          <cell r="C558" t="str">
            <v>Provision Incorporacion Mayores Ingresos Propios</v>
          </cell>
        </row>
        <row r="559">
          <cell r="A559">
            <v>201944563</v>
          </cell>
          <cell r="B559">
            <v>3303423</v>
          </cell>
          <cell r="C559" t="str">
            <v>Provision Recuperacion Infraestructura Local Zona Centro Sur</v>
          </cell>
        </row>
        <row r="560">
          <cell r="A560">
            <v>201944562</v>
          </cell>
          <cell r="B560">
            <v>3303426</v>
          </cell>
          <cell r="C560" t="str">
            <v>Provision Energizacion</v>
          </cell>
        </row>
        <row r="561">
          <cell r="A561">
            <v>201944487</v>
          </cell>
          <cell r="B561">
            <v>3304</v>
          </cell>
          <cell r="C561" t="str">
            <v>A Empresas Publicas no Financieras</v>
          </cell>
        </row>
        <row r="562">
          <cell r="A562">
            <v>201944488</v>
          </cell>
          <cell r="B562">
            <v>3305</v>
          </cell>
          <cell r="C562" t="str">
            <v>A Empresas Publicas Financieras</v>
          </cell>
        </row>
        <row r="563">
          <cell r="A563">
            <v>201944489</v>
          </cell>
          <cell r="B563">
            <v>3306</v>
          </cell>
          <cell r="C563" t="str">
            <v>A Gobiernos Extranjeros</v>
          </cell>
        </row>
        <row r="564">
          <cell r="A564">
            <v>201944490</v>
          </cell>
          <cell r="B564">
            <v>3307</v>
          </cell>
          <cell r="C564" t="str">
            <v>A Organismos Internacionales</v>
          </cell>
        </row>
        <row r="565">
          <cell r="A565">
            <v>201944491</v>
          </cell>
          <cell r="B565">
            <v>34</v>
          </cell>
          <cell r="C565" t="str">
            <v>SERVICIO DE LA DEUDA</v>
          </cell>
        </row>
        <row r="566">
          <cell r="A566">
            <v>201944492</v>
          </cell>
          <cell r="B566">
            <v>3401</v>
          </cell>
          <cell r="C566" t="str">
            <v>Amortizacion Deuda Interna</v>
          </cell>
        </row>
        <row r="567">
          <cell r="A567">
            <v>201944589</v>
          </cell>
          <cell r="B567">
            <v>3401001</v>
          </cell>
          <cell r="C567" t="str">
            <v>Rescate de Valores</v>
          </cell>
        </row>
        <row r="568">
          <cell r="A568">
            <v>201944590</v>
          </cell>
          <cell r="B568">
            <v>3401002</v>
          </cell>
          <cell r="C568" t="str">
            <v>Emprestitos</v>
          </cell>
        </row>
        <row r="569">
          <cell r="A569">
            <v>201944591</v>
          </cell>
          <cell r="B569">
            <v>3401003</v>
          </cell>
          <cell r="C569" t="str">
            <v>Creditos de Proveedores</v>
          </cell>
        </row>
        <row r="570">
          <cell r="A570">
            <v>201944592</v>
          </cell>
          <cell r="B570">
            <v>3402</v>
          </cell>
          <cell r="C570" t="str">
            <v>Amortizacion Deuda Externa</v>
          </cell>
        </row>
        <row r="571">
          <cell r="A571">
            <v>201944593</v>
          </cell>
          <cell r="B571">
            <v>3402001</v>
          </cell>
          <cell r="C571" t="str">
            <v>Rescate de Valores</v>
          </cell>
        </row>
        <row r="572">
          <cell r="A572">
            <v>201944594</v>
          </cell>
          <cell r="B572">
            <v>3402002</v>
          </cell>
          <cell r="C572" t="str">
            <v>Emprestitos</v>
          </cell>
        </row>
        <row r="573">
          <cell r="A573">
            <v>201944595</v>
          </cell>
          <cell r="B573">
            <v>3402003</v>
          </cell>
          <cell r="C573" t="str">
            <v>Creditos de Proveedores</v>
          </cell>
        </row>
        <row r="574">
          <cell r="A574">
            <v>201944596</v>
          </cell>
          <cell r="B574">
            <v>3403</v>
          </cell>
          <cell r="C574" t="str">
            <v>Intereses Deuda Interna</v>
          </cell>
        </row>
        <row r="575">
          <cell r="A575">
            <v>201944597</v>
          </cell>
          <cell r="B575">
            <v>3403001</v>
          </cell>
          <cell r="C575" t="str">
            <v>Por Emision de Valores</v>
          </cell>
        </row>
        <row r="576">
          <cell r="A576">
            <v>201944598</v>
          </cell>
          <cell r="B576">
            <v>3403002</v>
          </cell>
          <cell r="C576" t="str">
            <v>Emprestitos</v>
          </cell>
        </row>
        <row r="577">
          <cell r="A577">
            <v>201944599</v>
          </cell>
          <cell r="B577">
            <v>3403003</v>
          </cell>
          <cell r="C577" t="str">
            <v>Creditos de Proveedores</v>
          </cell>
        </row>
        <row r="578">
          <cell r="A578">
            <v>201944600</v>
          </cell>
          <cell r="B578">
            <v>3404</v>
          </cell>
          <cell r="C578" t="str">
            <v>Intereses Deuda Externa</v>
          </cell>
        </row>
        <row r="579">
          <cell r="A579">
            <v>201944601</v>
          </cell>
          <cell r="B579">
            <v>3404001</v>
          </cell>
          <cell r="C579" t="str">
            <v>Por Emision de Valores</v>
          </cell>
        </row>
        <row r="580">
          <cell r="A580">
            <v>201944602</v>
          </cell>
          <cell r="B580">
            <v>3404002</v>
          </cell>
          <cell r="C580" t="str">
            <v>Emprestitos</v>
          </cell>
        </row>
        <row r="581">
          <cell r="A581">
            <v>201944661</v>
          </cell>
          <cell r="B581">
            <v>3404002001</v>
          </cell>
          <cell r="C581" t="str">
            <v>Intereses Deuda Publica</v>
          </cell>
        </row>
        <row r="582">
          <cell r="A582">
            <v>201944662</v>
          </cell>
          <cell r="B582">
            <v>3404002002</v>
          </cell>
          <cell r="C582" t="str">
            <v>Comisiones Deuda Publica</v>
          </cell>
        </row>
        <row r="583">
          <cell r="A583">
            <v>201944603</v>
          </cell>
          <cell r="B583">
            <v>3404003</v>
          </cell>
          <cell r="C583" t="str">
            <v>Creditos de Proveedores</v>
          </cell>
        </row>
        <row r="584">
          <cell r="A584">
            <v>201944604</v>
          </cell>
          <cell r="B584">
            <v>3405</v>
          </cell>
          <cell r="C584" t="str">
            <v>Otros Gastos Financieros Deuda Interna</v>
          </cell>
        </row>
        <row r="585">
          <cell r="A585">
            <v>201944605</v>
          </cell>
          <cell r="B585">
            <v>3405001</v>
          </cell>
          <cell r="C585" t="str">
            <v>Por Emision de Valores</v>
          </cell>
        </row>
        <row r="586">
          <cell r="A586">
            <v>201944606</v>
          </cell>
          <cell r="B586">
            <v>3405002</v>
          </cell>
          <cell r="C586" t="str">
            <v>Emprestitos</v>
          </cell>
        </row>
        <row r="587">
          <cell r="A587">
            <v>201944607</v>
          </cell>
          <cell r="B587">
            <v>3405003</v>
          </cell>
          <cell r="C587" t="str">
            <v>Creditos de Proveedores</v>
          </cell>
        </row>
        <row r="588">
          <cell r="A588">
            <v>201944608</v>
          </cell>
          <cell r="B588">
            <v>3406</v>
          </cell>
          <cell r="C588" t="str">
            <v>Otros Gastos Financieros Deuda Externa</v>
          </cell>
        </row>
        <row r="589">
          <cell r="A589">
            <v>201944609</v>
          </cell>
          <cell r="B589">
            <v>3406001</v>
          </cell>
          <cell r="C589" t="str">
            <v>Por Emision de Valores</v>
          </cell>
        </row>
        <row r="590">
          <cell r="A590">
            <v>201944610</v>
          </cell>
          <cell r="B590">
            <v>3406002</v>
          </cell>
          <cell r="C590" t="str">
            <v>Emprestitos</v>
          </cell>
        </row>
        <row r="591">
          <cell r="A591">
            <v>201944611</v>
          </cell>
          <cell r="B591">
            <v>3406003</v>
          </cell>
          <cell r="C591" t="str">
            <v>Creditos de Proveedores</v>
          </cell>
        </row>
        <row r="592">
          <cell r="A592">
            <v>201944612</v>
          </cell>
          <cell r="B592">
            <v>3407</v>
          </cell>
          <cell r="C592" t="str">
            <v>Deuda Flotante</v>
          </cell>
        </row>
        <row r="593">
          <cell r="A593">
            <v>201944613</v>
          </cell>
          <cell r="B593">
            <v>35</v>
          </cell>
          <cell r="C593" t="str">
            <v>SALDO FINAL DE CAJA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2)"/>
      <sheetName val="Hoja6"/>
      <sheetName val="Analisis 21"/>
      <sheetName val="Compromisos Arrastre 2015"/>
      <sheetName val="Informatica"/>
      <sheetName val="Modificacion Sifim"/>
      <sheetName val="Academia 26"/>
      <sheetName val="Municipalidades 029"/>
      <sheetName val="Acreditación 031"/>
      <sheetName val="Mejoramiento 032"/>
      <sheetName val="Sifim 016"/>
      <sheetName val="Clasificador Presupuestario"/>
    </sheetNames>
    <sheetDataSet>
      <sheetData sheetId="0"/>
      <sheetData sheetId="1"/>
      <sheetData sheetId="2"/>
      <sheetData sheetId="3"/>
      <sheetData sheetId="4"/>
      <sheetData sheetId="5"/>
      <sheetData sheetId="6"/>
      <sheetData sheetId="7"/>
      <sheetData sheetId="8"/>
      <sheetData sheetId="9"/>
      <sheetData sheetId="10"/>
      <sheetData sheetId="11">
        <row r="1">
          <cell r="A1" t="str">
            <v>Id</v>
          </cell>
          <cell r="B1" t="str">
            <v>Código</v>
          </cell>
          <cell r="C1" t="str">
            <v>Nombre</v>
          </cell>
        </row>
        <row r="2">
          <cell r="A2">
            <v>201944379</v>
          </cell>
          <cell r="B2">
            <v>1</v>
          </cell>
          <cell r="C2" t="str">
            <v>IMPUESTOS</v>
          </cell>
        </row>
        <row r="3">
          <cell r="A3">
            <v>201944380</v>
          </cell>
          <cell r="B3">
            <v>101</v>
          </cell>
          <cell r="C3" t="str">
            <v>Impuestos a la Renta</v>
          </cell>
        </row>
        <row r="4">
          <cell r="A4">
            <v>201944381</v>
          </cell>
          <cell r="B4">
            <v>101001</v>
          </cell>
          <cell r="C4" t="str">
            <v>Primera Categoria</v>
          </cell>
        </row>
        <row r="5">
          <cell r="A5">
            <v>201944382</v>
          </cell>
          <cell r="B5">
            <v>101002</v>
          </cell>
          <cell r="C5" t="str">
            <v>Segunda Categoria, Sueldos, Salarios y Pensiones</v>
          </cell>
        </row>
        <row r="6">
          <cell r="A6">
            <v>201944383</v>
          </cell>
          <cell r="B6">
            <v>101003</v>
          </cell>
          <cell r="C6" t="str">
            <v>Global Complementario</v>
          </cell>
        </row>
        <row r="7">
          <cell r="A7">
            <v>201944384</v>
          </cell>
          <cell r="B7">
            <v>101004</v>
          </cell>
          <cell r="C7" t="str">
            <v>Adicional</v>
          </cell>
        </row>
        <row r="8">
          <cell r="A8">
            <v>201944385</v>
          </cell>
          <cell r="B8">
            <v>101005</v>
          </cell>
          <cell r="C8" t="str">
            <v>Tasa 40% DL N 2.398 de 1978</v>
          </cell>
        </row>
        <row r="9">
          <cell r="A9">
            <v>201944386</v>
          </cell>
          <cell r="B9">
            <v>101006</v>
          </cell>
          <cell r="C9" t="str">
            <v>Articulo 21 Ley Impuesto a la Renta</v>
          </cell>
        </row>
        <row r="10">
          <cell r="A10">
            <v>201944387</v>
          </cell>
          <cell r="B10">
            <v>101007</v>
          </cell>
          <cell r="C10" t="str">
            <v>Termino de Giro</v>
          </cell>
        </row>
        <row r="11">
          <cell r="A11">
            <v>201944388</v>
          </cell>
          <cell r="B11">
            <v>102</v>
          </cell>
          <cell r="C11" t="str">
            <v>Impuesto al Valor Agregado</v>
          </cell>
        </row>
        <row r="12">
          <cell r="A12">
            <v>201944389</v>
          </cell>
          <cell r="B12">
            <v>102001</v>
          </cell>
          <cell r="C12" t="str">
            <v>Tasa General Debitos</v>
          </cell>
        </row>
        <row r="13">
          <cell r="A13">
            <v>201944390</v>
          </cell>
          <cell r="B13">
            <v>102002</v>
          </cell>
          <cell r="C13" t="str">
            <v>Tasa General Creditos</v>
          </cell>
        </row>
        <row r="14">
          <cell r="A14">
            <v>201944391</v>
          </cell>
          <cell r="B14">
            <v>102101</v>
          </cell>
          <cell r="C14" t="str">
            <v>Tasas Especiales Debitos</v>
          </cell>
        </row>
        <row r="15">
          <cell r="A15">
            <v>201944392</v>
          </cell>
          <cell r="B15">
            <v>102102</v>
          </cell>
          <cell r="C15" t="str">
            <v>Tasas Especiales Creditos</v>
          </cell>
        </row>
        <row r="16">
          <cell r="A16">
            <v>201944393</v>
          </cell>
          <cell r="B16">
            <v>102201</v>
          </cell>
          <cell r="C16" t="str">
            <v>Tasa General de Importaciones</v>
          </cell>
        </row>
        <row r="17">
          <cell r="A17">
            <v>201944394</v>
          </cell>
          <cell r="B17">
            <v>103</v>
          </cell>
          <cell r="C17" t="str">
            <v>Impuestos a Productos Especificos</v>
          </cell>
        </row>
        <row r="18">
          <cell r="A18">
            <v>201944395</v>
          </cell>
          <cell r="B18">
            <v>103001</v>
          </cell>
          <cell r="C18" t="str">
            <v>Tabacos, Cigarros y Cigarrillos</v>
          </cell>
        </row>
        <row r="19">
          <cell r="A19">
            <v>201944396</v>
          </cell>
          <cell r="B19">
            <v>103002</v>
          </cell>
          <cell r="C19" t="str">
            <v>Derechos de Explotacion ENAP</v>
          </cell>
        </row>
        <row r="20">
          <cell r="A20">
            <v>201944397</v>
          </cell>
          <cell r="B20">
            <v>103003</v>
          </cell>
          <cell r="C20" t="str">
            <v>Gasolinas, Petroleo Diesel y Otros</v>
          </cell>
        </row>
        <row r="21">
          <cell r="A21">
            <v>201944398</v>
          </cell>
          <cell r="B21">
            <v>104</v>
          </cell>
          <cell r="C21" t="str">
            <v>Impuestos a los Actos Juridicos</v>
          </cell>
        </row>
        <row r="22">
          <cell r="A22">
            <v>201944399</v>
          </cell>
          <cell r="B22">
            <v>105</v>
          </cell>
          <cell r="C22" t="str">
            <v>Impuestos al Comercio Exterior</v>
          </cell>
        </row>
        <row r="23">
          <cell r="A23">
            <v>201944400</v>
          </cell>
          <cell r="B23">
            <v>105001</v>
          </cell>
          <cell r="C23" t="str">
            <v>Derechos Especificos de Internacion</v>
          </cell>
        </row>
        <row r="24">
          <cell r="A24">
            <v>201944401</v>
          </cell>
          <cell r="B24">
            <v>105002</v>
          </cell>
          <cell r="C24" t="str">
            <v>Derechos Ad-Valorem</v>
          </cell>
        </row>
        <row r="25">
          <cell r="A25">
            <v>201944402</v>
          </cell>
          <cell r="B25">
            <v>105003</v>
          </cell>
          <cell r="C25" t="str">
            <v>Otros</v>
          </cell>
        </row>
        <row r="26">
          <cell r="A26">
            <v>201944403</v>
          </cell>
          <cell r="B26">
            <v>105004</v>
          </cell>
          <cell r="C26" t="str">
            <v>Sistemas de Pago</v>
          </cell>
        </row>
        <row r="27">
          <cell r="A27">
            <v>201944404</v>
          </cell>
          <cell r="B27">
            <v>106</v>
          </cell>
          <cell r="C27" t="str">
            <v>Impuestos Varios</v>
          </cell>
        </row>
        <row r="28">
          <cell r="A28">
            <v>201944405</v>
          </cell>
          <cell r="B28">
            <v>106001</v>
          </cell>
          <cell r="C28" t="str">
            <v>Herencias y Donaciones</v>
          </cell>
        </row>
        <row r="29">
          <cell r="A29">
            <v>201944406</v>
          </cell>
          <cell r="B29">
            <v>106002</v>
          </cell>
          <cell r="C29" t="str">
            <v>Patentes Mineras</v>
          </cell>
        </row>
        <row r="30">
          <cell r="A30">
            <v>201944407</v>
          </cell>
          <cell r="B30">
            <v>106004</v>
          </cell>
          <cell r="C30" t="str">
            <v>Juegos de Azar</v>
          </cell>
        </row>
        <row r="31">
          <cell r="A31">
            <v>201944408</v>
          </cell>
          <cell r="B31">
            <v>106006</v>
          </cell>
          <cell r="C31" t="str">
            <v>Otros</v>
          </cell>
        </row>
        <row r="32">
          <cell r="A32">
            <v>201944409</v>
          </cell>
          <cell r="B32">
            <v>107</v>
          </cell>
          <cell r="C32" t="str">
            <v>Otros Ingresos Tributarios</v>
          </cell>
        </row>
        <row r="33">
          <cell r="A33">
            <v>201944410</v>
          </cell>
          <cell r="B33">
            <v>107001</v>
          </cell>
          <cell r="C33" t="str">
            <v>Reajuste de Impuestos de Declaracion Anual</v>
          </cell>
        </row>
        <row r="34">
          <cell r="A34">
            <v>201944411</v>
          </cell>
          <cell r="B34">
            <v>107002</v>
          </cell>
          <cell r="C34" t="str">
            <v>Multas e Intereses por Impuestos</v>
          </cell>
        </row>
        <row r="35">
          <cell r="A35">
            <v>201944412</v>
          </cell>
          <cell r="B35">
            <v>109</v>
          </cell>
          <cell r="C35" t="str">
            <v>Sistema de Pago de Impuestos</v>
          </cell>
        </row>
        <row r="36">
          <cell r="A36">
            <v>201944413</v>
          </cell>
          <cell r="B36">
            <v>109001</v>
          </cell>
          <cell r="C36" t="str">
            <v>Pagos Provisionales del Ano</v>
          </cell>
        </row>
        <row r="37">
          <cell r="A37">
            <v>201944414</v>
          </cell>
          <cell r="B37">
            <v>109002</v>
          </cell>
          <cell r="C37" t="str">
            <v>Creditos para Declaracion Anual de Renta</v>
          </cell>
        </row>
        <row r="38">
          <cell r="A38">
            <v>201944415</v>
          </cell>
          <cell r="B38">
            <v>109003</v>
          </cell>
          <cell r="C38" t="str">
            <v>Devoluciones Determinadas Declaracion Anual de Renta</v>
          </cell>
        </row>
        <row r="39">
          <cell r="A39">
            <v>201944416</v>
          </cell>
          <cell r="B39">
            <v>109004</v>
          </cell>
          <cell r="C39" t="str">
            <v>Devoluciones de Renta</v>
          </cell>
        </row>
        <row r="40">
          <cell r="A40">
            <v>201944417</v>
          </cell>
          <cell r="B40">
            <v>109005</v>
          </cell>
          <cell r="C40" t="str">
            <v>Reintegro de Devoluciones de Renta</v>
          </cell>
        </row>
        <row r="41">
          <cell r="A41">
            <v>201944418</v>
          </cell>
          <cell r="B41">
            <v>109101</v>
          </cell>
          <cell r="C41" t="str">
            <v>IVA Remanente Credito del Periodo</v>
          </cell>
        </row>
        <row r="42">
          <cell r="A42">
            <v>201944419</v>
          </cell>
          <cell r="B42">
            <v>109102</v>
          </cell>
          <cell r="C42" t="str">
            <v>IVA Remanente Credito Periodos Anteriores</v>
          </cell>
        </row>
        <row r="43">
          <cell r="A43">
            <v>201944420</v>
          </cell>
          <cell r="B43">
            <v>109103</v>
          </cell>
          <cell r="C43" t="str">
            <v>Devoluciones de IVA</v>
          </cell>
        </row>
        <row r="44">
          <cell r="A44">
            <v>201944421</v>
          </cell>
          <cell r="B44">
            <v>109104</v>
          </cell>
          <cell r="C44" t="str">
            <v>Reintegro de Devoluciones de IVA</v>
          </cell>
        </row>
        <row r="45">
          <cell r="A45">
            <v>201944422</v>
          </cell>
          <cell r="B45">
            <v>109201</v>
          </cell>
          <cell r="C45" t="str">
            <v>Devoluciones de Aduanas</v>
          </cell>
        </row>
        <row r="46">
          <cell r="A46">
            <v>201944423</v>
          </cell>
          <cell r="B46">
            <v>109202</v>
          </cell>
          <cell r="C46" t="str">
            <v>Devoluciones de Otros Impuestos</v>
          </cell>
        </row>
        <row r="47">
          <cell r="A47">
            <v>201944424</v>
          </cell>
          <cell r="B47">
            <v>109301</v>
          </cell>
          <cell r="C47" t="str">
            <v>Fluctuacion Deudores del Periodo</v>
          </cell>
        </row>
        <row r="48">
          <cell r="A48">
            <v>201944425</v>
          </cell>
          <cell r="B48">
            <v>109302</v>
          </cell>
          <cell r="C48" t="str">
            <v>Fluctuacion Deudores de Periodos Anteriores</v>
          </cell>
        </row>
        <row r="49">
          <cell r="A49">
            <v>201944426</v>
          </cell>
          <cell r="B49">
            <v>109303</v>
          </cell>
          <cell r="C49" t="str">
            <v>Reajuste por Pago Fuera de Plazo</v>
          </cell>
        </row>
        <row r="50">
          <cell r="A50">
            <v>201944427</v>
          </cell>
          <cell r="B50">
            <v>109401</v>
          </cell>
          <cell r="C50" t="str">
            <v>Diferencias de Pago</v>
          </cell>
        </row>
        <row r="51">
          <cell r="A51">
            <v>201944428</v>
          </cell>
          <cell r="B51">
            <v>109501</v>
          </cell>
          <cell r="C51" t="str">
            <v>Impuestos de Declaracion y Pago Simultaneo Mensual de Empresas Constructoras</v>
          </cell>
        </row>
        <row r="52">
          <cell r="A52">
            <v>201944429</v>
          </cell>
          <cell r="B52">
            <v>109502</v>
          </cell>
          <cell r="C52" t="str">
            <v>Recuperacion Peajes Ley N 19.764</v>
          </cell>
        </row>
        <row r="53">
          <cell r="A53">
            <v>201944430</v>
          </cell>
          <cell r="B53">
            <v>109601</v>
          </cell>
          <cell r="C53" t="str">
            <v>Aplicacion Articulo 8 Ley N 18.566</v>
          </cell>
        </row>
        <row r="54">
          <cell r="A54">
            <v>201944431</v>
          </cell>
          <cell r="B54">
            <v>109701</v>
          </cell>
          <cell r="C54" t="str">
            <v>Conversion de Pagos en Moneda Extranjera</v>
          </cell>
        </row>
        <row r="55">
          <cell r="A55">
            <v>201944432</v>
          </cell>
          <cell r="B55">
            <v>4</v>
          </cell>
          <cell r="C55" t="str">
            <v>IMPOSICIONES PREVISIONALES</v>
          </cell>
        </row>
        <row r="56">
          <cell r="A56">
            <v>201944433</v>
          </cell>
          <cell r="B56">
            <v>401</v>
          </cell>
          <cell r="C56" t="str">
            <v>Aportes del Empleador</v>
          </cell>
        </row>
        <row r="57">
          <cell r="A57">
            <v>201944434</v>
          </cell>
          <cell r="B57">
            <v>401001</v>
          </cell>
          <cell r="C57" t="str">
            <v>Cotizaciones para la Ley de Accidentes del Trabajo</v>
          </cell>
        </row>
        <row r="58">
          <cell r="A58">
            <v>201944435</v>
          </cell>
          <cell r="B58">
            <v>401999</v>
          </cell>
          <cell r="C58" t="str">
            <v>Otros</v>
          </cell>
        </row>
        <row r="59">
          <cell r="A59">
            <v>201944436</v>
          </cell>
          <cell r="B59">
            <v>402</v>
          </cell>
          <cell r="C59" t="str">
            <v>Aportes del Trabajador</v>
          </cell>
        </row>
        <row r="60">
          <cell r="A60">
            <v>201944437</v>
          </cell>
          <cell r="B60">
            <v>402001</v>
          </cell>
          <cell r="C60" t="str">
            <v>Cotizaciones para el Fondo de Pensiones</v>
          </cell>
        </row>
        <row r="61">
          <cell r="A61">
            <v>201944438</v>
          </cell>
          <cell r="B61">
            <v>402002</v>
          </cell>
          <cell r="C61" t="str">
            <v>Cotizaciones para Salud</v>
          </cell>
        </row>
        <row r="62">
          <cell r="A62">
            <v>201944439</v>
          </cell>
          <cell r="B62">
            <v>402999</v>
          </cell>
          <cell r="C62" t="str">
            <v>Otros</v>
          </cell>
        </row>
        <row r="63">
          <cell r="A63">
            <v>201944440</v>
          </cell>
          <cell r="B63">
            <v>5</v>
          </cell>
          <cell r="C63" t="str">
            <v>TRANSFERENCIAS CORRIENTES</v>
          </cell>
        </row>
        <row r="64">
          <cell r="A64">
            <v>201944541</v>
          </cell>
          <cell r="B64">
            <v>501</v>
          </cell>
          <cell r="C64" t="str">
            <v>Del Sector Privado</v>
          </cell>
        </row>
        <row r="65">
          <cell r="A65">
            <v>201944542</v>
          </cell>
          <cell r="B65">
            <v>502</v>
          </cell>
          <cell r="C65" t="str">
            <v>Del Gobierno Central</v>
          </cell>
        </row>
        <row r="66">
          <cell r="A66">
            <v>201947082</v>
          </cell>
          <cell r="B66">
            <v>502112</v>
          </cell>
          <cell r="C66" t="str">
            <v>Subsecretaria de Desarrollo Regional y Administrativo - Programa 05</v>
          </cell>
        </row>
        <row r="67">
          <cell r="A67">
            <v>201947142</v>
          </cell>
          <cell r="B67">
            <v>502113</v>
          </cell>
          <cell r="C67" t="str">
            <v>Subsecretaria de Desarrollo Regional y Administrativo - Programa 03</v>
          </cell>
        </row>
        <row r="68">
          <cell r="A68">
            <v>201944543</v>
          </cell>
          <cell r="B68">
            <v>503</v>
          </cell>
          <cell r="C68" t="str">
            <v>De Otras Entidades Publicas</v>
          </cell>
        </row>
        <row r="69">
          <cell r="A69">
            <v>201944544</v>
          </cell>
          <cell r="B69">
            <v>504</v>
          </cell>
          <cell r="C69" t="str">
            <v>De Empresas Publicas no Financieras</v>
          </cell>
        </row>
        <row r="70">
          <cell r="A70">
            <v>201944545</v>
          </cell>
          <cell r="B70">
            <v>505</v>
          </cell>
          <cell r="C70" t="str">
            <v>De Empresas Publicas Financieras</v>
          </cell>
        </row>
        <row r="71">
          <cell r="A71">
            <v>201944546</v>
          </cell>
          <cell r="B71">
            <v>506</v>
          </cell>
          <cell r="C71" t="str">
            <v>De Gobiernos Extranjeros</v>
          </cell>
        </row>
        <row r="72">
          <cell r="A72">
            <v>201944547</v>
          </cell>
          <cell r="B72">
            <v>507</v>
          </cell>
          <cell r="C72" t="str">
            <v>De Organismos Internacionales</v>
          </cell>
        </row>
        <row r="73">
          <cell r="A73">
            <v>201944548</v>
          </cell>
          <cell r="B73">
            <v>6</v>
          </cell>
          <cell r="C73" t="str">
            <v>RENTAS DE LA PROPIEDAD</v>
          </cell>
        </row>
        <row r="74">
          <cell r="A74">
            <v>201944549</v>
          </cell>
          <cell r="B74">
            <v>601</v>
          </cell>
          <cell r="C74" t="str">
            <v>Arriendo de Activos No Financieros</v>
          </cell>
        </row>
        <row r="75">
          <cell r="A75">
            <v>201944550</v>
          </cell>
          <cell r="B75">
            <v>602</v>
          </cell>
          <cell r="C75" t="str">
            <v>Dividendos</v>
          </cell>
        </row>
        <row r="76">
          <cell r="A76">
            <v>201944551</v>
          </cell>
          <cell r="B76">
            <v>603</v>
          </cell>
          <cell r="C76" t="str">
            <v>Intereses</v>
          </cell>
        </row>
        <row r="77">
          <cell r="A77">
            <v>201944552</v>
          </cell>
          <cell r="B77">
            <v>604</v>
          </cell>
          <cell r="C77" t="str">
            <v>Participacion de Utilidades</v>
          </cell>
        </row>
        <row r="78">
          <cell r="A78">
            <v>201944553</v>
          </cell>
          <cell r="B78">
            <v>699</v>
          </cell>
          <cell r="C78" t="str">
            <v>Otras Rentas de la Propiedad</v>
          </cell>
        </row>
        <row r="79">
          <cell r="A79">
            <v>201944554</v>
          </cell>
          <cell r="B79">
            <v>7</v>
          </cell>
          <cell r="C79" t="str">
            <v>INGRESOS DE OPERACIN</v>
          </cell>
        </row>
        <row r="80">
          <cell r="A80">
            <v>201944555</v>
          </cell>
          <cell r="B80">
            <v>701</v>
          </cell>
          <cell r="C80" t="str">
            <v>Venta de Bienes</v>
          </cell>
        </row>
        <row r="81">
          <cell r="A81">
            <v>201944556</v>
          </cell>
          <cell r="B81">
            <v>702</v>
          </cell>
          <cell r="C81" t="str">
            <v>Venta de Servicios</v>
          </cell>
        </row>
        <row r="82">
          <cell r="A82">
            <v>201944557</v>
          </cell>
          <cell r="B82">
            <v>8</v>
          </cell>
          <cell r="C82" t="str">
            <v>OTROS INGRESOS CORRIENTES</v>
          </cell>
        </row>
        <row r="83">
          <cell r="A83">
            <v>201944558</v>
          </cell>
          <cell r="B83">
            <v>801</v>
          </cell>
          <cell r="C83" t="str">
            <v>Recuperaciones y Reembolsos por Licencias Medicas</v>
          </cell>
        </row>
        <row r="84">
          <cell r="A84">
            <v>201943631</v>
          </cell>
          <cell r="B84">
            <v>801001</v>
          </cell>
          <cell r="C84" t="str">
            <v>Reembolsos Art. 4 Ley N 19.345 y Ley N 19.117 Art. nico</v>
          </cell>
        </row>
        <row r="85">
          <cell r="A85">
            <v>201943632</v>
          </cell>
          <cell r="B85">
            <v>801002</v>
          </cell>
          <cell r="C85" t="str">
            <v>Recuperaciones Art. 12 Ley N 18.196 y Ley N 19.117 Art. nico</v>
          </cell>
        </row>
        <row r="86">
          <cell r="A86">
            <v>201943633</v>
          </cell>
          <cell r="B86">
            <v>802</v>
          </cell>
          <cell r="C86" t="str">
            <v>Multas y Sanciones Pecuniarias</v>
          </cell>
        </row>
        <row r="87">
          <cell r="A87">
            <v>201943634</v>
          </cell>
          <cell r="B87">
            <v>804</v>
          </cell>
          <cell r="C87" t="str">
            <v>Fondos de Terceros</v>
          </cell>
        </row>
        <row r="88">
          <cell r="A88">
            <v>201943635</v>
          </cell>
          <cell r="B88">
            <v>899</v>
          </cell>
          <cell r="C88" t="str">
            <v>Otros</v>
          </cell>
        </row>
        <row r="89">
          <cell r="A89">
            <v>201943636</v>
          </cell>
          <cell r="B89">
            <v>899001</v>
          </cell>
          <cell r="C89" t="str">
            <v>Devoluciones y Reintegros no Provenientes de Impuestos</v>
          </cell>
        </row>
        <row r="90">
          <cell r="A90">
            <v>201943637</v>
          </cell>
          <cell r="B90">
            <v>899003</v>
          </cell>
          <cell r="C90" t="str">
            <v>Fondos en Administracion en Banco Central</v>
          </cell>
        </row>
        <row r="91">
          <cell r="A91">
            <v>201943638</v>
          </cell>
          <cell r="B91">
            <v>899004</v>
          </cell>
          <cell r="C91" t="str">
            <v>ntegros Ley N 19.030</v>
          </cell>
        </row>
        <row r="92">
          <cell r="A92">
            <v>201943639</v>
          </cell>
          <cell r="B92">
            <v>899999</v>
          </cell>
          <cell r="C92" t="str">
            <v>Otros</v>
          </cell>
        </row>
        <row r="93">
          <cell r="A93">
            <v>201943640</v>
          </cell>
          <cell r="B93">
            <v>9</v>
          </cell>
          <cell r="C93" t="str">
            <v>APORTE FISCAL</v>
          </cell>
        </row>
        <row r="94">
          <cell r="A94">
            <v>201943641</v>
          </cell>
          <cell r="B94">
            <v>901</v>
          </cell>
          <cell r="C94" t="str">
            <v>Libre</v>
          </cell>
        </row>
        <row r="95">
          <cell r="A95">
            <v>201944574</v>
          </cell>
          <cell r="B95">
            <v>901001</v>
          </cell>
          <cell r="C95" t="str">
            <v>Remuneraciones</v>
          </cell>
        </row>
        <row r="96">
          <cell r="A96">
            <v>201944575</v>
          </cell>
          <cell r="B96">
            <v>901002</v>
          </cell>
          <cell r="C96" t="str">
            <v>Resto</v>
          </cell>
        </row>
        <row r="97">
          <cell r="A97">
            <v>201943642</v>
          </cell>
          <cell r="B97">
            <v>902</v>
          </cell>
          <cell r="C97" t="str">
            <v>Servicio de la Deuda Interna</v>
          </cell>
        </row>
        <row r="98">
          <cell r="A98">
            <v>201943643</v>
          </cell>
          <cell r="B98">
            <v>902001</v>
          </cell>
          <cell r="C98" t="str">
            <v>Amortizaciones</v>
          </cell>
        </row>
        <row r="99">
          <cell r="A99">
            <v>201943644</v>
          </cell>
          <cell r="B99">
            <v>902002</v>
          </cell>
          <cell r="C99" t="str">
            <v>Intereses</v>
          </cell>
        </row>
        <row r="100">
          <cell r="A100">
            <v>201943645</v>
          </cell>
          <cell r="B100">
            <v>902003</v>
          </cell>
          <cell r="C100" t="str">
            <v>Otros Gastos Financieros</v>
          </cell>
        </row>
        <row r="101">
          <cell r="A101">
            <v>201943646</v>
          </cell>
          <cell r="B101">
            <v>903</v>
          </cell>
          <cell r="C101" t="str">
            <v>Servicio de la Deuda Externa</v>
          </cell>
        </row>
        <row r="102">
          <cell r="A102">
            <v>201943647</v>
          </cell>
          <cell r="B102">
            <v>903001</v>
          </cell>
          <cell r="C102" t="str">
            <v>Amortizaciones</v>
          </cell>
        </row>
        <row r="103">
          <cell r="A103">
            <v>201943648</v>
          </cell>
          <cell r="B103">
            <v>903002</v>
          </cell>
          <cell r="C103" t="str">
            <v>Intereses</v>
          </cell>
        </row>
        <row r="104">
          <cell r="A104">
            <v>201944567</v>
          </cell>
          <cell r="B104">
            <v>903002001</v>
          </cell>
          <cell r="C104" t="str">
            <v>Intereses Servicio a la Deuda</v>
          </cell>
        </row>
        <row r="105">
          <cell r="A105">
            <v>201944566</v>
          </cell>
          <cell r="B105">
            <v>903002002</v>
          </cell>
          <cell r="C105" t="str">
            <v>Comisiones Servicio a la Deuda</v>
          </cell>
        </row>
        <row r="106">
          <cell r="A106">
            <v>201943649</v>
          </cell>
          <cell r="B106">
            <v>903003</v>
          </cell>
          <cell r="C106" t="str">
            <v>Otros Gastos Financieros</v>
          </cell>
        </row>
        <row r="107">
          <cell r="A107">
            <v>201943650</v>
          </cell>
          <cell r="B107">
            <v>10</v>
          </cell>
          <cell r="C107" t="str">
            <v>VENTA DE ACTIVOS NO FINANCIEROS</v>
          </cell>
        </row>
        <row r="108">
          <cell r="A108">
            <v>201943651</v>
          </cell>
          <cell r="B108">
            <v>1001</v>
          </cell>
          <cell r="C108" t="str">
            <v>Terrenos</v>
          </cell>
        </row>
        <row r="109">
          <cell r="A109">
            <v>201943652</v>
          </cell>
          <cell r="B109">
            <v>1002</v>
          </cell>
          <cell r="C109" t="str">
            <v>Edificios</v>
          </cell>
        </row>
        <row r="110">
          <cell r="A110">
            <v>201943653</v>
          </cell>
          <cell r="B110">
            <v>1003</v>
          </cell>
          <cell r="C110" t="str">
            <v>Vehiculos</v>
          </cell>
        </row>
        <row r="111">
          <cell r="A111">
            <v>201943654</v>
          </cell>
          <cell r="B111">
            <v>1004</v>
          </cell>
          <cell r="C111" t="str">
            <v>Mobiliario y Otros</v>
          </cell>
        </row>
        <row r="112">
          <cell r="A112">
            <v>201943655</v>
          </cell>
          <cell r="B112">
            <v>1005</v>
          </cell>
          <cell r="C112" t="str">
            <v>Maquinas y Equipos</v>
          </cell>
        </row>
        <row r="113">
          <cell r="A113">
            <v>201943656</v>
          </cell>
          <cell r="B113">
            <v>1006</v>
          </cell>
          <cell r="C113" t="str">
            <v>Equipos Informaticos</v>
          </cell>
        </row>
        <row r="114">
          <cell r="A114">
            <v>201943657</v>
          </cell>
          <cell r="B114">
            <v>1007</v>
          </cell>
          <cell r="C114" t="str">
            <v>Programas Informaticos</v>
          </cell>
        </row>
        <row r="115">
          <cell r="A115">
            <v>201943658</v>
          </cell>
          <cell r="B115">
            <v>1099</v>
          </cell>
          <cell r="C115" t="str">
            <v>Otros Activos no Financieros</v>
          </cell>
        </row>
        <row r="116">
          <cell r="A116">
            <v>201943659</v>
          </cell>
          <cell r="B116">
            <v>11</v>
          </cell>
          <cell r="C116" t="str">
            <v>VENTA DE ACTIVOS FINANCIEROS</v>
          </cell>
        </row>
        <row r="117">
          <cell r="A117">
            <v>201943660</v>
          </cell>
          <cell r="B117">
            <v>1101</v>
          </cell>
          <cell r="C117" t="str">
            <v>Venta o Rescate de Titulos y Valores</v>
          </cell>
        </row>
        <row r="118">
          <cell r="A118">
            <v>201943661</v>
          </cell>
          <cell r="B118">
            <v>1101001</v>
          </cell>
          <cell r="C118" t="str">
            <v>Depositos a Plazo</v>
          </cell>
        </row>
        <row r="119">
          <cell r="A119">
            <v>201943662</v>
          </cell>
          <cell r="B119">
            <v>1101002</v>
          </cell>
          <cell r="C119" t="str">
            <v>Pactos de Retrocompra</v>
          </cell>
        </row>
        <row r="120">
          <cell r="A120">
            <v>201943663</v>
          </cell>
          <cell r="B120">
            <v>1101003</v>
          </cell>
          <cell r="C120" t="str">
            <v>Cuotas de Fondos Mutuos</v>
          </cell>
        </row>
        <row r="121">
          <cell r="A121">
            <v>201943664</v>
          </cell>
          <cell r="B121">
            <v>1101004</v>
          </cell>
          <cell r="C121" t="str">
            <v>Bonos o Pagares</v>
          </cell>
        </row>
        <row r="122">
          <cell r="A122">
            <v>201943665</v>
          </cell>
          <cell r="B122">
            <v>1101005</v>
          </cell>
          <cell r="C122" t="str">
            <v>Letras Hipotecarias</v>
          </cell>
        </row>
        <row r="123">
          <cell r="A123">
            <v>201943666</v>
          </cell>
          <cell r="B123">
            <v>1101999</v>
          </cell>
          <cell r="C123" t="str">
            <v>Otros</v>
          </cell>
        </row>
        <row r="124">
          <cell r="A124">
            <v>201943667</v>
          </cell>
          <cell r="B124">
            <v>1102</v>
          </cell>
          <cell r="C124" t="str">
            <v>Venta de Acciones y Participaciones de Capital</v>
          </cell>
        </row>
        <row r="125">
          <cell r="A125">
            <v>201943668</v>
          </cell>
          <cell r="B125">
            <v>1103</v>
          </cell>
          <cell r="C125" t="str">
            <v>Operaciones de Cambio</v>
          </cell>
        </row>
        <row r="126">
          <cell r="A126">
            <v>201943669</v>
          </cell>
          <cell r="B126">
            <v>1199</v>
          </cell>
          <cell r="C126" t="str">
            <v>Otros Activos Financieros</v>
          </cell>
        </row>
        <row r="127">
          <cell r="A127">
            <v>201943670</v>
          </cell>
          <cell r="B127">
            <v>12</v>
          </cell>
          <cell r="C127" t="str">
            <v>RECUPERACION DE PRESTAMOS</v>
          </cell>
        </row>
        <row r="128">
          <cell r="A128">
            <v>201943671</v>
          </cell>
          <cell r="B128">
            <v>1201</v>
          </cell>
          <cell r="C128" t="str">
            <v>De Asistencia Social</v>
          </cell>
        </row>
        <row r="129">
          <cell r="A129">
            <v>201943672</v>
          </cell>
          <cell r="B129">
            <v>1202</v>
          </cell>
          <cell r="C129" t="str">
            <v>Hipotecarios</v>
          </cell>
        </row>
        <row r="130">
          <cell r="A130">
            <v>201943673</v>
          </cell>
          <cell r="B130">
            <v>1203</v>
          </cell>
          <cell r="C130" t="str">
            <v>Pignoraticios</v>
          </cell>
        </row>
        <row r="131">
          <cell r="A131">
            <v>201943674</v>
          </cell>
          <cell r="B131">
            <v>1204</v>
          </cell>
          <cell r="C131" t="str">
            <v>De Fomento</v>
          </cell>
        </row>
        <row r="132">
          <cell r="A132">
            <v>201943675</v>
          </cell>
          <cell r="B132">
            <v>1205</v>
          </cell>
          <cell r="C132" t="str">
            <v>Medicos</v>
          </cell>
        </row>
        <row r="133">
          <cell r="A133">
            <v>201943676</v>
          </cell>
          <cell r="B133">
            <v>1206</v>
          </cell>
          <cell r="C133" t="str">
            <v>Por Anticipos a Contratistas</v>
          </cell>
        </row>
        <row r="134">
          <cell r="A134">
            <v>201943677</v>
          </cell>
          <cell r="B134">
            <v>1207</v>
          </cell>
          <cell r="C134" t="str">
            <v>Por Anticipos por Cambio de Residencia</v>
          </cell>
        </row>
        <row r="135">
          <cell r="A135">
            <v>201943678</v>
          </cell>
          <cell r="B135">
            <v>1209</v>
          </cell>
          <cell r="C135" t="str">
            <v>Por Ventas a Plazo</v>
          </cell>
        </row>
        <row r="136">
          <cell r="A136">
            <v>201943679</v>
          </cell>
          <cell r="B136">
            <v>1210</v>
          </cell>
          <cell r="C136" t="str">
            <v>Ingresos por Percibir</v>
          </cell>
        </row>
        <row r="137">
          <cell r="A137">
            <v>201943680</v>
          </cell>
          <cell r="B137">
            <v>13</v>
          </cell>
          <cell r="C137" t="str">
            <v>TRANSFERENCIAS PARA GASTOS DE CAPITAL</v>
          </cell>
        </row>
        <row r="138">
          <cell r="A138">
            <v>201943681</v>
          </cell>
          <cell r="B138">
            <v>1301</v>
          </cell>
          <cell r="C138" t="str">
            <v>Del Sector Privado</v>
          </cell>
        </row>
        <row r="139">
          <cell r="A139">
            <v>201943682</v>
          </cell>
          <cell r="B139">
            <v>1302</v>
          </cell>
          <cell r="C139" t="str">
            <v>Del Gobierno Central</v>
          </cell>
        </row>
        <row r="140">
          <cell r="A140">
            <v>201944576</v>
          </cell>
          <cell r="B140">
            <v>1302006</v>
          </cell>
          <cell r="C140" t="str">
            <v>Subsecretaria de Educacion</v>
          </cell>
        </row>
        <row r="141">
          <cell r="A141">
            <v>201946402</v>
          </cell>
          <cell r="B141">
            <v>1302080</v>
          </cell>
          <cell r="C141" t="str">
            <v>Tesoro Publico Ley N20.378 - Fondo De Apoyo Regional (FAR)</v>
          </cell>
        </row>
        <row r="142">
          <cell r="A142">
            <v>201947078</v>
          </cell>
          <cell r="B142">
            <v>1302113</v>
          </cell>
          <cell r="C142" t="str">
            <v>Subsecretaria de Desarrollo Regional y Administrativo - Programa 05</v>
          </cell>
        </row>
        <row r="143">
          <cell r="A143">
            <v>201947128</v>
          </cell>
          <cell r="B143">
            <v>1302114</v>
          </cell>
          <cell r="C143" t="str">
            <v>Gobierno Regional del Bio Bio - Programa 02</v>
          </cell>
        </row>
        <row r="144">
          <cell r="A144">
            <v>201947133</v>
          </cell>
          <cell r="B144">
            <v>1302115</v>
          </cell>
          <cell r="C144" t="str">
            <v>Gobierno Regional Region IX Araucania - Programa 02</v>
          </cell>
        </row>
        <row r="145">
          <cell r="A145">
            <v>201943683</v>
          </cell>
          <cell r="B145">
            <v>1303</v>
          </cell>
          <cell r="C145" t="str">
            <v>De Otras Entidades Publicas</v>
          </cell>
        </row>
        <row r="146">
          <cell r="A146">
            <v>201943684</v>
          </cell>
          <cell r="B146">
            <v>1304</v>
          </cell>
          <cell r="C146" t="str">
            <v>De Empresas Publicas no Financieras</v>
          </cell>
        </row>
        <row r="147">
          <cell r="A147">
            <v>201943685</v>
          </cell>
          <cell r="B147">
            <v>1305</v>
          </cell>
          <cell r="C147" t="str">
            <v>De Empresas Publicas Financieras</v>
          </cell>
        </row>
        <row r="148">
          <cell r="A148">
            <v>201943686</v>
          </cell>
          <cell r="B148">
            <v>1306</v>
          </cell>
          <cell r="C148" t="str">
            <v>De Gobiernos Extranjeros</v>
          </cell>
        </row>
        <row r="149">
          <cell r="A149">
            <v>201947162</v>
          </cell>
          <cell r="B149">
            <v>1306001</v>
          </cell>
          <cell r="C149" t="str">
            <v>Del Gobierno Espanol - Instituto de Credito Oficial de Espana</v>
          </cell>
        </row>
        <row r="150">
          <cell r="A150">
            <v>201943687</v>
          </cell>
          <cell r="B150">
            <v>1307</v>
          </cell>
          <cell r="C150" t="str">
            <v>De Organismos Internacionales</v>
          </cell>
        </row>
        <row r="151">
          <cell r="A151">
            <v>201943688</v>
          </cell>
          <cell r="B151">
            <v>14</v>
          </cell>
          <cell r="C151" t="str">
            <v>ENDEUDAMIENTO</v>
          </cell>
        </row>
        <row r="152">
          <cell r="A152">
            <v>201943689</v>
          </cell>
          <cell r="B152">
            <v>1401</v>
          </cell>
          <cell r="C152" t="str">
            <v>Endeudamiento Interno</v>
          </cell>
        </row>
        <row r="153">
          <cell r="A153">
            <v>201943690</v>
          </cell>
          <cell r="B153">
            <v>1401001</v>
          </cell>
          <cell r="C153" t="str">
            <v>Colocacion de Valores</v>
          </cell>
        </row>
        <row r="154">
          <cell r="A154">
            <v>201943691</v>
          </cell>
          <cell r="B154">
            <v>1401002</v>
          </cell>
          <cell r="C154" t="str">
            <v>Emprestitos</v>
          </cell>
        </row>
        <row r="155">
          <cell r="A155">
            <v>201943692</v>
          </cell>
          <cell r="B155">
            <v>1401003</v>
          </cell>
          <cell r="C155" t="str">
            <v>Creditos de Proveedores</v>
          </cell>
        </row>
        <row r="156">
          <cell r="A156">
            <v>201943693</v>
          </cell>
          <cell r="B156">
            <v>1402</v>
          </cell>
          <cell r="C156" t="str">
            <v>Endeudamiento Externo</v>
          </cell>
        </row>
        <row r="157">
          <cell r="A157">
            <v>201943694</v>
          </cell>
          <cell r="B157">
            <v>1402001</v>
          </cell>
          <cell r="C157" t="str">
            <v>Colocacion de Valores</v>
          </cell>
        </row>
        <row r="158">
          <cell r="A158">
            <v>201943695</v>
          </cell>
          <cell r="B158">
            <v>1402002</v>
          </cell>
          <cell r="C158" t="str">
            <v>Emprestitos</v>
          </cell>
        </row>
        <row r="159">
          <cell r="A159">
            <v>201943696</v>
          </cell>
          <cell r="B159">
            <v>1402003</v>
          </cell>
          <cell r="C159" t="str">
            <v>Creditos de Proveedores</v>
          </cell>
        </row>
        <row r="160">
          <cell r="A160">
            <v>201943697</v>
          </cell>
          <cell r="B160">
            <v>15</v>
          </cell>
          <cell r="C160" t="str">
            <v>SALDO INICIAL DE CAJA</v>
          </cell>
        </row>
        <row r="161">
          <cell r="A161">
            <v>201943698</v>
          </cell>
          <cell r="B161">
            <v>21</v>
          </cell>
          <cell r="C161" t="str">
            <v>GASTOS EN PERSONAL</v>
          </cell>
        </row>
        <row r="162">
          <cell r="A162">
            <v>201943699</v>
          </cell>
          <cell r="B162">
            <v>2101</v>
          </cell>
          <cell r="C162" t="str">
            <v>Personal de Planta</v>
          </cell>
        </row>
        <row r="163">
          <cell r="A163">
            <v>201943700</v>
          </cell>
          <cell r="B163">
            <v>2101001</v>
          </cell>
          <cell r="C163" t="str">
            <v>Sueldos y Sobresueldos</v>
          </cell>
        </row>
        <row r="164">
          <cell r="A164">
            <v>201943701</v>
          </cell>
          <cell r="B164">
            <v>2101001001</v>
          </cell>
          <cell r="C164" t="str">
            <v>Sueldos Bases</v>
          </cell>
        </row>
        <row r="165">
          <cell r="A165">
            <v>201943702</v>
          </cell>
          <cell r="B165">
            <v>2101001002</v>
          </cell>
          <cell r="C165" t="str">
            <v>Asignacion de Antigedad</v>
          </cell>
        </row>
        <row r="166">
          <cell r="A166">
            <v>201943703</v>
          </cell>
          <cell r="B166">
            <v>2101001003</v>
          </cell>
          <cell r="C166" t="str">
            <v>Asignacion Profesional</v>
          </cell>
        </row>
        <row r="167">
          <cell r="A167">
            <v>201943704</v>
          </cell>
          <cell r="B167">
            <v>2101001004</v>
          </cell>
          <cell r="C167" t="str">
            <v>Asignacion de Zona</v>
          </cell>
        </row>
        <row r="168">
          <cell r="A168">
            <v>201943705</v>
          </cell>
          <cell r="B168">
            <v>2101001005</v>
          </cell>
          <cell r="C168" t="str">
            <v>Asignacion de Rancho</v>
          </cell>
        </row>
        <row r="169">
          <cell r="A169">
            <v>201943706</v>
          </cell>
          <cell r="B169">
            <v>2101001006</v>
          </cell>
          <cell r="C169" t="str">
            <v>Asignaciones del DL N 2.411, de 1978</v>
          </cell>
        </row>
        <row r="170">
          <cell r="A170">
            <v>201943707</v>
          </cell>
          <cell r="B170">
            <v>2101001007</v>
          </cell>
          <cell r="C170" t="str">
            <v>Asignaciones del DL N 3.551, de 1981</v>
          </cell>
        </row>
        <row r="171">
          <cell r="A171">
            <v>201943708</v>
          </cell>
          <cell r="B171">
            <v>2101001008</v>
          </cell>
          <cell r="C171" t="str">
            <v>Asignacion de Nivelacion</v>
          </cell>
        </row>
        <row r="172">
          <cell r="A172">
            <v>201943709</v>
          </cell>
          <cell r="B172">
            <v>2101001009</v>
          </cell>
          <cell r="C172" t="str">
            <v>Asignaciones Especiales</v>
          </cell>
        </row>
        <row r="173">
          <cell r="A173">
            <v>201943710</v>
          </cell>
          <cell r="B173">
            <v>2101001010</v>
          </cell>
          <cell r="C173" t="str">
            <v>Asignacion de Perdida de Caja</v>
          </cell>
        </row>
        <row r="174">
          <cell r="A174">
            <v>201943711</v>
          </cell>
          <cell r="B174">
            <v>2101001011</v>
          </cell>
          <cell r="C174" t="str">
            <v>Asignacion de Movilizacion</v>
          </cell>
        </row>
        <row r="175">
          <cell r="A175">
            <v>201943712</v>
          </cell>
          <cell r="B175">
            <v>2101001012</v>
          </cell>
          <cell r="C175" t="str">
            <v>Gastos de Representacion</v>
          </cell>
        </row>
        <row r="176">
          <cell r="A176">
            <v>201943713</v>
          </cell>
          <cell r="B176">
            <v>2101001013</v>
          </cell>
          <cell r="C176" t="str">
            <v>Asignacion de Direccion Superior</v>
          </cell>
        </row>
        <row r="177">
          <cell r="A177">
            <v>201943714</v>
          </cell>
          <cell r="B177">
            <v>2101001014</v>
          </cell>
          <cell r="C177" t="str">
            <v>Asignaciones Compensatorias</v>
          </cell>
        </row>
        <row r="178">
          <cell r="A178">
            <v>201943715</v>
          </cell>
          <cell r="B178">
            <v>2101001015</v>
          </cell>
          <cell r="C178" t="str">
            <v>Asignaciones Sustitutivas</v>
          </cell>
        </row>
        <row r="179">
          <cell r="A179">
            <v>201943716</v>
          </cell>
          <cell r="B179">
            <v>2101001016</v>
          </cell>
          <cell r="C179" t="str">
            <v>Asignacion de Dedicacion Exclusiva</v>
          </cell>
        </row>
        <row r="180">
          <cell r="A180">
            <v>201943717</v>
          </cell>
          <cell r="B180">
            <v>2101001017</v>
          </cell>
          <cell r="C180" t="str">
            <v>Asignacion para Operador de Maquinaria Pesada</v>
          </cell>
        </row>
        <row r="181">
          <cell r="A181">
            <v>201943718</v>
          </cell>
          <cell r="B181">
            <v>2101001018</v>
          </cell>
          <cell r="C181" t="str">
            <v>Asignacion de Defensa Judicial Estatal</v>
          </cell>
        </row>
        <row r="182">
          <cell r="A182">
            <v>201943719</v>
          </cell>
          <cell r="B182">
            <v>2101001019</v>
          </cell>
          <cell r="C182" t="str">
            <v>Asignacion de Responsabilidad</v>
          </cell>
        </row>
        <row r="183">
          <cell r="A183">
            <v>201943720</v>
          </cell>
          <cell r="B183">
            <v>2101001020</v>
          </cell>
          <cell r="C183" t="str">
            <v>Asignacion por Turno</v>
          </cell>
        </row>
        <row r="184">
          <cell r="A184">
            <v>201943721</v>
          </cell>
          <cell r="B184">
            <v>2101001021</v>
          </cell>
          <cell r="C184" t="str">
            <v>Asignacion Articulo 1 Ley N 19.264</v>
          </cell>
        </row>
        <row r="185">
          <cell r="A185">
            <v>201943722</v>
          </cell>
          <cell r="B185">
            <v>2101001022</v>
          </cell>
          <cell r="C185" t="str">
            <v>Componente Base Asignacion de Desempeno</v>
          </cell>
        </row>
        <row r="186">
          <cell r="A186">
            <v>201943723</v>
          </cell>
          <cell r="B186">
            <v>2101001023</v>
          </cell>
          <cell r="C186" t="str">
            <v>Asignacion de Control</v>
          </cell>
        </row>
        <row r="187">
          <cell r="A187">
            <v>201943724</v>
          </cell>
          <cell r="B187">
            <v>2101001024</v>
          </cell>
          <cell r="C187" t="str">
            <v>Asignacion de Defensa Penal Publica</v>
          </cell>
        </row>
        <row r="188">
          <cell r="A188">
            <v>201943725</v>
          </cell>
          <cell r="B188">
            <v>2101001025</v>
          </cell>
          <cell r="C188" t="str">
            <v>Asignacion Articulo 1 Ley N 19. 112</v>
          </cell>
        </row>
        <row r="189">
          <cell r="A189">
            <v>201943726</v>
          </cell>
          <cell r="B189">
            <v>2101001026</v>
          </cell>
          <cell r="C189" t="str">
            <v>Asignacion Articulo 1 Ley N 19.432</v>
          </cell>
        </row>
        <row r="190">
          <cell r="A190">
            <v>201943727</v>
          </cell>
          <cell r="B190">
            <v>2101001027</v>
          </cell>
          <cell r="C190" t="str">
            <v>Asignacion de Estimulo Personal Medico Diurno</v>
          </cell>
        </row>
        <row r="191">
          <cell r="A191">
            <v>201943728</v>
          </cell>
          <cell r="B191">
            <v>2101001028</v>
          </cell>
          <cell r="C191" t="str">
            <v>Asignacion de Estimulo Personal Medico y Profesores</v>
          </cell>
        </row>
        <row r="192">
          <cell r="A192">
            <v>201943729</v>
          </cell>
          <cell r="B192">
            <v>2101001029</v>
          </cell>
          <cell r="C192" t="str">
            <v>Aplicacion Articulo 7 Ley N 19.112</v>
          </cell>
        </row>
        <row r="193">
          <cell r="A193">
            <v>201943730</v>
          </cell>
          <cell r="B193">
            <v>2101001030</v>
          </cell>
          <cell r="C193" t="str">
            <v>Asignacion de Estimulo por Falencia</v>
          </cell>
        </row>
        <row r="194">
          <cell r="A194">
            <v>201943731</v>
          </cell>
          <cell r="B194">
            <v>2101001031</v>
          </cell>
          <cell r="C194" t="str">
            <v>Asignacion de Experiencia Calificada</v>
          </cell>
        </row>
        <row r="195">
          <cell r="A195">
            <v>201943732</v>
          </cell>
          <cell r="B195">
            <v>2101001032</v>
          </cell>
          <cell r="C195" t="str">
            <v>Asignacion de Reforzamiento Profesional Diurno</v>
          </cell>
        </row>
        <row r="196">
          <cell r="A196">
            <v>201943733</v>
          </cell>
          <cell r="B196">
            <v>2101001033</v>
          </cell>
          <cell r="C196" t="str">
            <v>Asignacion Judicial</v>
          </cell>
        </row>
        <row r="197">
          <cell r="A197">
            <v>201943734</v>
          </cell>
          <cell r="B197">
            <v>2101001034</v>
          </cell>
          <cell r="C197" t="str">
            <v>Asignacion de Casa</v>
          </cell>
        </row>
        <row r="198">
          <cell r="A198">
            <v>201943735</v>
          </cell>
          <cell r="B198">
            <v>2101001035</v>
          </cell>
          <cell r="C198" t="str">
            <v>Asignacion Legislativa</v>
          </cell>
        </row>
        <row r="199">
          <cell r="A199">
            <v>201943736</v>
          </cell>
          <cell r="B199">
            <v>2101001036</v>
          </cell>
          <cell r="C199" t="str">
            <v>Asignacion Articulo 11 Ley N 19.041</v>
          </cell>
        </row>
        <row r="200">
          <cell r="A200">
            <v>201943737</v>
          </cell>
          <cell r="B200">
            <v>2101001037</v>
          </cell>
          <cell r="C200" t="str">
            <v>Asignacion nica</v>
          </cell>
        </row>
        <row r="201">
          <cell r="A201">
            <v>201943738</v>
          </cell>
          <cell r="B201">
            <v>2101001038</v>
          </cell>
          <cell r="C201" t="str">
            <v>Asignacion Zonas Extremas</v>
          </cell>
        </row>
        <row r="202">
          <cell r="A202">
            <v>201943739</v>
          </cell>
          <cell r="B202">
            <v>2101001039</v>
          </cell>
          <cell r="C202" t="str">
            <v>Asignacion de Responsabilidad Superior</v>
          </cell>
        </row>
        <row r="203">
          <cell r="A203">
            <v>201943740</v>
          </cell>
          <cell r="B203">
            <v>2101001040</v>
          </cell>
          <cell r="C203" t="str">
            <v>Asignacion Familiar en el Exterior</v>
          </cell>
        </row>
        <row r="204">
          <cell r="A204">
            <v>201943741</v>
          </cell>
          <cell r="B204">
            <v>2101001041</v>
          </cell>
          <cell r="C204" t="str">
            <v>Asignaciones Exclusivas de las Fuerzas Armadas y de Orden</v>
          </cell>
        </row>
        <row r="205">
          <cell r="A205">
            <v>201943742</v>
          </cell>
          <cell r="B205">
            <v>2101001042</v>
          </cell>
          <cell r="C205" t="str">
            <v>Asignaciones por Desempeno en el Exterior</v>
          </cell>
        </row>
        <row r="206">
          <cell r="A206">
            <v>201943743</v>
          </cell>
          <cell r="B206">
            <v>2101001043</v>
          </cell>
          <cell r="C206" t="str">
            <v>Asignacion Inherente al Cargo Ley N 18.695</v>
          </cell>
        </row>
        <row r="207">
          <cell r="A207">
            <v>201943744</v>
          </cell>
          <cell r="B207">
            <v>2101001999</v>
          </cell>
          <cell r="C207" t="str">
            <v>Otras Asignaciones</v>
          </cell>
        </row>
        <row r="208">
          <cell r="A208">
            <v>201943745</v>
          </cell>
          <cell r="B208">
            <v>2101002</v>
          </cell>
          <cell r="C208" t="str">
            <v>Aportes del Empleador</v>
          </cell>
        </row>
        <row r="209">
          <cell r="A209">
            <v>201943746</v>
          </cell>
          <cell r="B209">
            <v>2101002001</v>
          </cell>
          <cell r="C209" t="str">
            <v>A Servicios de Bienestar</v>
          </cell>
        </row>
        <row r="210">
          <cell r="A210">
            <v>201943747</v>
          </cell>
          <cell r="B210">
            <v>2101002002</v>
          </cell>
          <cell r="C210" t="str">
            <v>Otras Cotizaciones Previsionales</v>
          </cell>
        </row>
        <row r="211">
          <cell r="A211">
            <v>201943748</v>
          </cell>
          <cell r="B211">
            <v>2101002003</v>
          </cell>
          <cell r="C211" t="str">
            <v>Cotizacion Adicional, Articulo 8 Ley N 18.566</v>
          </cell>
        </row>
        <row r="212">
          <cell r="A212">
            <v>201943749</v>
          </cell>
          <cell r="B212">
            <v>2101003</v>
          </cell>
          <cell r="C212" t="str">
            <v>Asignaciones por Desempeno</v>
          </cell>
        </row>
        <row r="213">
          <cell r="A213">
            <v>201943750</v>
          </cell>
          <cell r="B213">
            <v>2101003001</v>
          </cell>
          <cell r="C213" t="str">
            <v>Desempeno Institucional</v>
          </cell>
        </row>
        <row r="214">
          <cell r="A214">
            <v>201943751</v>
          </cell>
          <cell r="B214">
            <v>2101003002</v>
          </cell>
          <cell r="C214" t="str">
            <v>Desempeno Colectivo</v>
          </cell>
        </row>
        <row r="215">
          <cell r="A215">
            <v>201943752</v>
          </cell>
          <cell r="B215">
            <v>2101003003</v>
          </cell>
          <cell r="C215" t="str">
            <v>Desempeno Individual</v>
          </cell>
        </row>
        <row r="216">
          <cell r="A216">
            <v>201947065</v>
          </cell>
          <cell r="B216">
            <v>2101003004</v>
          </cell>
          <cell r="C216" t="str">
            <v>Asignacion por Produccion</v>
          </cell>
        </row>
        <row r="217">
          <cell r="A217">
            <v>201947066</v>
          </cell>
          <cell r="B217">
            <v>2101003005</v>
          </cell>
          <cell r="C217" t="str">
            <v>Asignacion Mejoramiento de Trato a los Usuarios</v>
          </cell>
        </row>
        <row r="218">
          <cell r="A218">
            <v>201943753</v>
          </cell>
          <cell r="B218">
            <v>2101004</v>
          </cell>
          <cell r="C218" t="str">
            <v>Remuneraciones Variables</v>
          </cell>
        </row>
        <row r="219">
          <cell r="A219">
            <v>201943754</v>
          </cell>
          <cell r="B219">
            <v>2101004001</v>
          </cell>
          <cell r="C219" t="str">
            <v>Asignacion Articulo 12 Ley N 19.041</v>
          </cell>
        </row>
        <row r="220">
          <cell r="A220">
            <v>201943755</v>
          </cell>
          <cell r="B220">
            <v>2101004002</v>
          </cell>
          <cell r="C220" t="str">
            <v>Asignacion de Estimulo Jornadas Prioritarias</v>
          </cell>
        </row>
        <row r="221">
          <cell r="A221">
            <v>201943756</v>
          </cell>
          <cell r="B221">
            <v>2101004003</v>
          </cell>
          <cell r="C221" t="str">
            <v>Asignacion Articulo 3 Ley N 19.264</v>
          </cell>
        </row>
        <row r="222">
          <cell r="A222">
            <v>201943757</v>
          </cell>
          <cell r="B222">
            <v>2101004004</v>
          </cell>
          <cell r="C222" t="str">
            <v>Asignacion por Desempeno de Funciones Criticas</v>
          </cell>
        </row>
        <row r="223">
          <cell r="A223">
            <v>201943758</v>
          </cell>
          <cell r="B223">
            <v>2101004005</v>
          </cell>
          <cell r="C223" t="str">
            <v>Trabajos Extraordinarios</v>
          </cell>
        </row>
        <row r="224">
          <cell r="A224">
            <v>201943759</v>
          </cell>
          <cell r="B224">
            <v>2101004006</v>
          </cell>
          <cell r="C224" t="str">
            <v>Comisiones de Servicios en el Pais</v>
          </cell>
        </row>
        <row r="225">
          <cell r="A225">
            <v>201943760</v>
          </cell>
          <cell r="B225">
            <v>2101004007</v>
          </cell>
          <cell r="C225" t="str">
            <v>Comisiones de Servicios en el Exterior</v>
          </cell>
        </row>
        <row r="226">
          <cell r="A226">
            <v>201943761</v>
          </cell>
          <cell r="B226">
            <v>2101005</v>
          </cell>
          <cell r="C226" t="str">
            <v>Aguinaldos y Bonos</v>
          </cell>
        </row>
        <row r="227">
          <cell r="A227">
            <v>201943762</v>
          </cell>
          <cell r="B227">
            <v>2101005001</v>
          </cell>
          <cell r="C227" t="str">
            <v>Aguinaldos</v>
          </cell>
        </row>
        <row r="228">
          <cell r="A228">
            <v>201943763</v>
          </cell>
          <cell r="B228">
            <v>2101005002</v>
          </cell>
          <cell r="C228" t="str">
            <v>Bono de Escolaridad</v>
          </cell>
        </row>
        <row r="229">
          <cell r="A229">
            <v>201943764</v>
          </cell>
          <cell r="B229">
            <v>2101005003</v>
          </cell>
          <cell r="C229" t="str">
            <v>Bonos Especiales</v>
          </cell>
        </row>
        <row r="230">
          <cell r="A230">
            <v>201943765</v>
          </cell>
          <cell r="B230">
            <v>2101005004</v>
          </cell>
          <cell r="C230" t="str">
            <v>Bonificacion Adicional al Bono de Escolaridad</v>
          </cell>
        </row>
        <row r="231">
          <cell r="A231">
            <v>201943766</v>
          </cell>
          <cell r="B231">
            <v>2102</v>
          </cell>
          <cell r="C231" t="str">
            <v>Personal a Contrata</v>
          </cell>
        </row>
        <row r="232">
          <cell r="A232">
            <v>201943767</v>
          </cell>
          <cell r="B232">
            <v>2102001</v>
          </cell>
          <cell r="C232" t="str">
            <v>Sueldos y Sobresueldos</v>
          </cell>
        </row>
        <row r="233">
          <cell r="A233">
            <v>201943768</v>
          </cell>
          <cell r="B233">
            <v>2102001001</v>
          </cell>
          <cell r="C233" t="str">
            <v>Sueldos Bases</v>
          </cell>
        </row>
        <row r="234">
          <cell r="A234">
            <v>201943769</v>
          </cell>
          <cell r="B234">
            <v>2102001002</v>
          </cell>
          <cell r="C234" t="str">
            <v>Asignacion de Antigedad</v>
          </cell>
        </row>
        <row r="235">
          <cell r="A235">
            <v>201943770</v>
          </cell>
          <cell r="B235">
            <v>2102001003</v>
          </cell>
          <cell r="C235" t="str">
            <v>Asignacion Profesional</v>
          </cell>
        </row>
        <row r="236">
          <cell r="A236">
            <v>201943771</v>
          </cell>
          <cell r="B236">
            <v>2102001004</v>
          </cell>
          <cell r="C236" t="str">
            <v>Asignacion de Zona</v>
          </cell>
        </row>
        <row r="237">
          <cell r="A237">
            <v>201943772</v>
          </cell>
          <cell r="B237">
            <v>2102001005</v>
          </cell>
          <cell r="C237" t="str">
            <v>Asignacion de Rancho</v>
          </cell>
        </row>
        <row r="238">
          <cell r="A238">
            <v>201943773</v>
          </cell>
          <cell r="B238">
            <v>2102001006</v>
          </cell>
          <cell r="C238" t="str">
            <v>Asignaciones del DL N 2.411, de 1978</v>
          </cell>
        </row>
        <row r="239">
          <cell r="A239">
            <v>201943774</v>
          </cell>
          <cell r="B239">
            <v>2102001007</v>
          </cell>
          <cell r="C239" t="str">
            <v>Asignaciones del DL N 3.551, de 1981</v>
          </cell>
        </row>
        <row r="240">
          <cell r="A240">
            <v>201943775</v>
          </cell>
          <cell r="B240">
            <v>2102001008</v>
          </cell>
          <cell r="C240" t="str">
            <v>Asignacion de Nivelacion</v>
          </cell>
        </row>
        <row r="241">
          <cell r="A241">
            <v>201943776</v>
          </cell>
          <cell r="B241">
            <v>2102001009</v>
          </cell>
          <cell r="C241" t="str">
            <v>Asignaciones Especiales</v>
          </cell>
        </row>
        <row r="242">
          <cell r="A242">
            <v>201943777</v>
          </cell>
          <cell r="B242">
            <v>2102001010</v>
          </cell>
          <cell r="C242" t="str">
            <v>Asignacion de Perdida de Caja</v>
          </cell>
        </row>
        <row r="243">
          <cell r="A243">
            <v>201943778</v>
          </cell>
          <cell r="B243">
            <v>2102001011</v>
          </cell>
          <cell r="C243" t="str">
            <v>Asignacion de Movilizacion</v>
          </cell>
        </row>
        <row r="244">
          <cell r="A244">
            <v>201943779</v>
          </cell>
          <cell r="B244">
            <v>2102001012</v>
          </cell>
          <cell r="C244" t="str">
            <v>Gastos de Representacion</v>
          </cell>
        </row>
        <row r="245">
          <cell r="A245">
            <v>201943780</v>
          </cell>
          <cell r="B245">
            <v>2102001013</v>
          </cell>
          <cell r="C245" t="str">
            <v>Asignaciones Compensatorias</v>
          </cell>
        </row>
        <row r="246">
          <cell r="A246">
            <v>201943781</v>
          </cell>
          <cell r="B246">
            <v>2102001014</v>
          </cell>
          <cell r="C246" t="str">
            <v>Asignaciones Sustitutivas</v>
          </cell>
        </row>
        <row r="247">
          <cell r="A247">
            <v>201943782</v>
          </cell>
          <cell r="B247">
            <v>2102001015</v>
          </cell>
          <cell r="C247" t="str">
            <v>Asignacion de Dedicacion Exclusiva</v>
          </cell>
        </row>
        <row r="248">
          <cell r="A248">
            <v>201943783</v>
          </cell>
          <cell r="B248">
            <v>2102001016</v>
          </cell>
          <cell r="C248" t="str">
            <v>Asignacion para Operador de Maquinaria Pesada</v>
          </cell>
        </row>
        <row r="249">
          <cell r="A249">
            <v>201943784</v>
          </cell>
          <cell r="B249">
            <v>2102001017</v>
          </cell>
          <cell r="C249" t="str">
            <v>Asignacion de Defensa Judicial Estatal</v>
          </cell>
        </row>
        <row r="250">
          <cell r="A250">
            <v>201943785</v>
          </cell>
          <cell r="B250">
            <v>2102001018</v>
          </cell>
          <cell r="C250" t="str">
            <v>Asignacion de Responsabilidad</v>
          </cell>
        </row>
        <row r="251">
          <cell r="A251">
            <v>201943786</v>
          </cell>
          <cell r="B251">
            <v>2102001019</v>
          </cell>
          <cell r="C251" t="str">
            <v>Asignacion por Turno</v>
          </cell>
        </row>
        <row r="252">
          <cell r="A252">
            <v>201943787</v>
          </cell>
          <cell r="B252">
            <v>2102001020</v>
          </cell>
          <cell r="C252" t="str">
            <v>Asignacion Articulo 1 Ley N 19.264</v>
          </cell>
        </row>
        <row r="253">
          <cell r="A253">
            <v>201943788</v>
          </cell>
          <cell r="B253">
            <v>2102001021</v>
          </cell>
          <cell r="C253" t="str">
            <v>Componente Base Asignacion de Desempeno</v>
          </cell>
        </row>
        <row r="254">
          <cell r="A254">
            <v>201943789</v>
          </cell>
          <cell r="B254">
            <v>2102001022</v>
          </cell>
          <cell r="C254" t="str">
            <v>Asignacion de Control</v>
          </cell>
        </row>
        <row r="255">
          <cell r="A255">
            <v>201943790</v>
          </cell>
          <cell r="B255">
            <v>2102001023</v>
          </cell>
          <cell r="C255" t="str">
            <v>Asignacion de Defensa Penal Publica</v>
          </cell>
        </row>
        <row r="256">
          <cell r="A256">
            <v>201943791</v>
          </cell>
          <cell r="B256">
            <v>2102001024</v>
          </cell>
          <cell r="C256" t="str">
            <v>Asignacion Articulo 1 Ley N 19. 112</v>
          </cell>
        </row>
        <row r="257">
          <cell r="A257">
            <v>201943792</v>
          </cell>
          <cell r="B257">
            <v>2102001025</v>
          </cell>
          <cell r="C257" t="str">
            <v>Asignacion Articulo 1 Ley N 19.432</v>
          </cell>
        </row>
        <row r="258">
          <cell r="A258">
            <v>201943793</v>
          </cell>
          <cell r="B258">
            <v>2102001026</v>
          </cell>
          <cell r="C258" t="str">
            <v>Asignacion de Estimulo Personal Medico Diurno</v>
          </cell>
        </row>
        <row r="259">
          <cell r="A259">
            <v>201943794</v>
          </cell>
          <cell r="B259">
            <v>2102001027</v>
          </cell>
          <cell r="C259" t="str">
            <v>Asignacion de Estimulo Personal Medico y Profesores</v>
          </cell>
        </row>
        <row r="260">
          <cell r="A260">
            <v>201943795</v>
          </cell>
          <cell r="B260">
            <v>2102001028</v>
          </cell>
          <cell r="C260" t="str">
            <v>Aplicacion Articulo 7 Ley N 19.112</v>
          </cell>
        </row>
        <row r="261">
          <cell r="A261">
            <v>201943796</v>
          </cell>
          <cell r="B261">
            <v>2102001029</v>
          </cell>
          <cell r="C261" t="str">
            <v>Asignacion de Estimulo por Falencia</v>
          </cell>
        </row>
        <row r="262">
          <cell r="A262">
            <v>201943797</v>
          </cell>
          <cell r="B262">
            <v>2102001030</v>
          </cell>
          <cell r="C262" t="str">
            <v>Asignacion de Experiencia Calificada</v>
          </cell>
        </row>
        <row r="263">
          <cell r="A263">
            <v>201943798</v>
          </cell>
          <cell r="B263">
            <v>2102001031</v>
          </cell>
          <cell r="C263" t="str">
            <v>Asignacion de Reforzamiento Profesional Diurno</v>
          </cell>
        </row>
        <row r="264">
          <cell r="A264">
            <v>201943799</v>
          </cell>
          <cell r="B264">
            <v>2102001032</v>
          </cell>
          <cell r="C264" t="str">
            <v>Asignacion Judicial</v>
          </cell>
        </row>
        <row r="265">
          <cell r="A265">
            <v>201943800</v>
          </cell>
          <cell r="B265">
            <v>2102001033</v>
          </cell>
          <cell r="C265" t="str">
            <v>Asignacion de Casa</v>
          </cell>
        </row>
        <row r="266">
          <cell r="A266">
            <v>201943801</v>
          </cell>
          <cell r="B266">
            <v>2102001034</v>
          </cell>
          <cell r="C266" t="str">
            <v>Asignacion Legislativa</v>
          </cell>
        </row>
        <row r="267">
          <cell r="A267">
            <v>201943802</v>
          </cell>
          <cell r="B267">
            <v>2102001035</v>
          </cell>
          <cell r="C267" t="str">
            <v>Asignacion Articulo 11 Ley N 19.041</v>
          </cell>
        </row>
        <row r="268">
          <cell r="A268">
            <v>201943803</v>
          </cell>
          <cell r="B268">
            <v>2102001036</v>
          </cell>
          <cell r="C268" t="str">
            <v>Asignacion nica</v>
          </cell>
        </row>
        <row r="269">
          <cell r="A269">
            <v>201943804</v>
          </cell>
          <cell r="B269">
            <v>2102001037</v>
          </cell>
          <cell r="C269" t="str">
            <v>Asignacion Zonas Extremas</v>
          </cell>
        </row>
        <row r="270">
          <cell r="A270">
            <v>201943805</v>
          </cell>
          <cell r="B270">
            <v>2102001038</v>
          </cell>
          <cell r="C270" t="str">
            <v>Asignacion de Responsabilidad Superior</v>
          </cell>
        </row>
        <row r="271">
          <cell r="A271">
            <v>201943806</v>
          </cell>
          <cell r="B271">
            <v>2102001039</v>
          </cell>
          <cell r="C271" t="str">
            <v>Asignacion Familiar en el Exterior</v>
          </cell>
        </row>
        <row r="272">
          <cell r="A272">
            <v>201943807</v>
          </cell>
          <cell r="B272">
            <v>2102001040</v>
          </cell>
          <cell r="C272" t="str">
            <v>Asignaciones Exclusivas de las Fuerzas Armadas y de Orden</v>
          </cell>
        </row>
        <row r="273">
          <cell r="A273">
            <v>201943808</v>
          </cell>
          <cell r="B273">
            <v>2102001041</v>
          </cell>
          <cell r="C273" t="str">
            <v>Asignaciones por Desempeno en el Exterior</v>
          </cell>
        </row>
        <row r="274">
          <cell r="A274">
            <v>201943809</v>
          </cell>
          <cell r="B274">
            <v>2102001999</v>
          </cell>
          <cell r="C274" t="str">
            <v>Otras Asignaciones</v>
          </cell>
        </row>
        <row r="275">
          <cell r="A275">
            <v>201943810</v>
          </cell>
          <cell r="B275">
            <v>2102002</v>
          </cell>
          <cell r="C275" t="str">
            <v>Aportes del Empleador</v>
          </cell>
        </row>
        <row r="276">
          <cell r="A276">
            <v>201943811</v>
          </cell>
          <cell r="B276">
            <v>2102002001</v>
          </cell>
          <cell r="C276" t="str">
            <v>A Servicios de Bienestar</v>
          </cell>
        </row>
        <row r="277">
          <cell r="A277">
            <v>201943812</v>
          </cell>
          <cell r="B277">
            <v>2102002002</v>
          </cell>
          <cell r="C277" t="str">
            <v>Otras Cotizaciones Previsionales</v>
          </cell>
        </row>
        <row r="278">
          <cell r="A278">
            <v>201943813</v>
          </cell>
          <cell r="B278">
            <v>2102002003</v>
          </cell>
          <cell r="C278" t="str">
            <v>Cotizacion Adicional, Articulo 8 Ley N 18.566</v>
          </cell>
        </row>
        <row r="279">
          <cell r="A279">
            <v>201943814</v>
          </cell>
          <cell r="B279">
            <v>2102003</v>
          </cell>
          <cell r="C279" t="str">
            <v>Asignaciones por Desempeno</v>
          </cell>
        </row>
        <row r="280">
          <cell r="A280">
            <v>201943815</v>
          </cell>
          <cell r="B280">
            <v>2102003001</v>
          </cell>
          <cell r="C280" t="str">
            <v>Desempeno Institucional</v>
          </cell>
        </row>
        <row r="281">
          <cell r="A281">
            <v>201943816</v>
          </cell>
          <cell r="B281">
            <v>2102003002</v>
          </cell>
          <cell r="C281" t="str">
            <v>Desempeno Colectivo</v>
          </cell>
        </row>
        <row r="282">
          <cell r="A282">
            <v>201943817</v>
          </cell>
          <cell r="B282">
            <v>2102003003</v>
          </cell>
          <cell r="C282" t="str">
            <v>Desempeno Individual</v>
          </cell>
        </row>
        <row r="283">
          <cell r="A283">
            <v>201947067</v>
          </cell>
          <cell r="B283">
            <v>2102003004</v>
          </cell>
          <cell r="C283" t="str">
            <v>Asignacion por Produccion</v>
          </cell>
        </row>
        <row r="284">
          <cell r="A284">
            <v>201947068</v>
          </cell>
          <cell r="B284">
            <v>2102003005</v>
          </cell>
          <cell r="C284" t="str">
            <v>Asignacion Mejoramiento de Trato a los Usuarios</v>
          </cell>
        </row>
        <row r="285">
          <cell r="A285">
            <v>201943818</v>
          </cell>
          <cell r="B285">
            <v>2102004</v>
          </cell>
          <cell r="C285" t="str">
            <v>Remuneraciones Variables</v>
          </cell>
        </row>
        <row r="286">
          <cell r="A286">
            <v>201943819</v>
          </cell>
          <cell r="B286">
            <v>2102004001</v>
          </cell>
          <cell r="C286" t="str">
            <v>Asignacion Articulo 12 Ley N 19.041</v>
          </cell>
        </row>
        <row r="287">
          <cell r="A287">
            <v>201943820</v>
          </cell>
          <cell r="B287">
            <v>2102004002</v>
          </cell>
          <cell r="C287" t="str">
            <v>Asignacion de Estimulo Jornadas Prioritarias</v>
          </cell>
        </row>
        <row r="288">
          <cell r="A288">
            <v>201943821</v>
          </cell>
          <cell r="B288">
            <v>2102004003</v>
          </cell>
          <cell r="C288" t="str">
            <v>Asignacion Articulo 3 Ley N 19.264</v>
          </cell>
        </row>
        <row r="289">
          <cell r="A289">
            <v>201943822</v>
          </cell>
          <cell r="B289">
            <v>2102004004</v>
          </cell>
          <cell r="C289" t="str">
            <v>Asignacion por Desempeno de Funciones Criticas</v>
          </cell>
        </row>
        <row r="290">
          <cell r="A290">
            <v>201943823</v>
          </cell>
          <cell r="B290">
            <v>2102004005</v>
          </cell>
          <cell r="C290" t="str">
            <v>Trabajos Extraordinarios</v>
          </cell>
        </row>
        <row r="291">
          <cell r="A291">
            <v>201943824</v>
          </cell>
          <cell r="B291">
            <v>2102004006</v>
          </cell>
          <cell r="C291" t="str">
            <v>Comisiones de Servicios en el Pais</v>
          </cell>
        </row>
        <row r="292">
          <cell r="A292">
            <v>201943825</v>
          </cell>
          <cell r="B292">
            <v>2102004007</v>
          </cell>
          <cell r="C292" t="str">
            <v>Comisiones de Servicios en el Exterior</v>
          </cell>
        </row>
        <row r="293">
          <cell r="A293">
            <v>201943826</v>
          </cell>
          <cell r="B293">
            <v>2102005</v>
          </cell>
          <cell r="C293" t="str">
            <v>Aguinaldos y Bonos</v>
          </cell>
        </row>
        <row r="294">
          <cell r="A294">
            <v>201943827</v>
          </cell>
          <cell r="B294">
            <v>2102005001</v>
          </cell>
          <cell r="C294" t="str">
            <v>Aguinaldos</v>
          </cell>
        </row>
        <row r="295">
          <cell r="A295">
            <v>201943828</v>
          </cell>
          <cell r="B295">
            <v>2102005002</v>
          </cell>
          <cell r="C295" t="str">
            <v>Bono de Escolaridad</v>
          </cell>
        </row>
        <row r="296">
          <cell r="A296">
            <v>201943829</v>
          </cell>
          <cell r="B296">
            <v>2102005003</v>
          </cell>
          <cell r="C296" t="str">
            <v>Bonos Especiales</v>
          </cell>
        </row>
        <row r="297">
          <cell r="A297">
            <v>201943830</v>
          </cell>
          <cell r="B297">
            <v>2102005004</v>
          </cell>
          <cell r="C297" t="str">
            <v>Bonificacion Adicional al Bono de Escolaridad</v>
          </cell>
        </row>
        <row r="298">
          <cell r="A298">
            <v>201943831</v>
          </cell>
          <cell r="B298">
            <v>2103</v>
          </cell>
          <cell r="C298" t="str">
            <v>Otras Remuneraciones</v>
          </cell>
        </row>
        <row r="299">
          <cell r="A299">
            <v>201943832</v>
          </cell>
          <cell r="B299">
            <v>2103001</v>
          </cell>
          <cell r="C299" t="str">
            <v>Honorarios a Suma Alzada - Personas Naturales</v>
          </cell>
        </row>
        <row r="300">
          <cell r="A300">
            <v>201944570</v>
          </cell>
          <cell r="B300">
            <v>2103001001</v>
          </cell>
          <cell r="C300" t="str">
            <v>Honorarios a Suma Alzada-Honorarios</v>
          </cell>
        </row>
        <row r="301">
          <cell r="A301">
            <v>201944569</v>
          </cell>
          <cell r="B301">
            <v>2103001002</v>
          </cell>
          <cell r="C301" t="str">
            <v>Honorarios a Suma Alzada-Viaticos</v>
          </cell>
        </row>
        <row r="302">
          <cell r="A302">
            <v>201944561</v>
          </cell>
          <cell r="B302">
            <v>2103001111</v>
          </cell>
          <cell r="C302" t="str">
            <v>Honorarios AGES</v>
          </cell>
        </row>
        <row r="303">
          <cell r="A303">
            <v>201943833</v>
          </cell>
          <cell r="B303">
            <v>2103002</v>
          </cell>
          <cell r="C303" t="str">
            <v>Honorarios Asimilados a Grados</v>
          </cell>
        </row>
        <row r="304">
          <cell r="A304">
            <v>201943834</v>
          </cell>
          <cell r="B304">
            <v>2103003</v>
          </cell>
          <cell r="C304" t="str">
            <v>Jornales</v>
          </cell>
        </row>
        <row r="305">
          <cell r="A305">
            <v>201943835</v>
          </cell>
          <cell r="B305">
            <v>2103004</v>
          </cell>
          <cell r="C305" t="str">
            <v>Remuneraciones Reguladas por el Codigo del Trabajo</v>
          </cell>
        </row>
        <row r="306">
          <cell r="A306">
            <v>201943836</v>
          </cell>
          <cell r="B306">
            <v>2103005</v>
          </cell>
          <cell r="C306" t="str">
            <v>Suplencias y Reemplazos</v>
          </cell>
        </row>
        <row r="307">
          <cell r="A307">
            <v>201943837</v>
          </cell>
          <cell r="B307">
            <v>2103006</v>
          </cell>
          <cell r="C307" t="str">
            <v>Personal a Trato y/o Temporal</v>
          </cell>
        </row>
        <row r="308">
          <cell r="A308">
            <v>201943838</v>
          </cell>
          <cell r="B308">
            <v>2103007</v>
          </cell>
          <cell r="C308" t="str">
            <v>Alumnos en Practica</v>
          </cell>
        </row>
        <row r="309">
          <cell r="A309">
            <v>201943839</v>
          </cell>
          <cell r="B309">
            <v>2103999</v>
          </cell>
          <cell r="C309" t="str">
            <v>Otras</v>
          </cell>
        </row>
        <row r="310">
          <cell r="A310">
            <v>201943840</v>
          </cell>
          <cell r="B310">
            <v>2104</v>
          </cell>
          <cell r="C310" t="str">
            <v>Otros Gastos en Personal</v>
          </cell>
        </row>
        <row r="311">
          <cell r="A311">
            <v>201943841</v>
          </cell>
          <cell r="B311">
            <v>2104001</v>
          </cell>
          <cell r="C311" t="str">
            <v>Asignacion de Traslado</v>
          </cell>
        </row>
        <row r="312">
          <cell r="A312">
            <v>201943842</v>
          </cell>
          <cell r="B312">
            <v>2104002</v>
          </cell>
          <cell r="C312" t="str">
            <v>Dieta Parlamentaria</v>
          </cell>
        </row>
        <row r="313">
          <cell r="A313">
            <v>201943843</v>
          </cell>
          <cell r="B313">
            <v>2104003</v>
          </cell>
          <cell r="C313" t="str">
            <v>Dietas a Juntas, Consejos y Comisiones</v>
          </cell>
        </row>
        <row r="314">
          <cell r="A314">
            <v>201943844</v>
          </cell>
          <cell r="B314">
            <v>22</v>
          </cell>
          <cell r="C314" t="str">
            <v>BIENES Y SERVICIOS DE CONSUMO</v>
          </cell>
        </row>
        <row r="315">
          <cell r="A315">
            <v>201943845</v>
          </cell>
          <cell r="B315">
            <v>2201</v>
          </cell>
          <cell r="C315" t="str">
            <v>Alimentos y Bebidas</v>
          </cell>
        </row>
        <row r="316">
          <cell r="A316">
            <v>201943846</v>
          </cell>
          <cell r="B316">
            <v>2201001</v>
          </cell>
          <cell r="C316" t="str">
            <v>Para Personas</v>
          </cell>
        </row>
        <row r="317">
          <cell r="A317">
            <v>201943847</v>
          </cell>
          <cell r="B317">
            <v>2201002</v>
          </cell>
          <cell r="C317" t="str">
            <v>Para Animales</v>
          </cell>
        </row>
        <row r="318">
          <cell r="A318">
            <v>201943848</v>
          </cell>
          <cell r="B318">
            <v>2202</v>
          </cell>
          <cell r="C318" t="str">
            <v>Textiles, Vestuario y Calzado</v>
          </cell>
        </row>
        <row r="319">
          <cell r="A319">
            <v>201943849</v>
          </cell>
          <cell r="B319">
            <v>2202001</v>
          </cell>
          <cell r="C319" t="str">
            <v>Textiles y Acabados Textiles</v>
          </cell>
        </row>
        <row r="320">
          <cell r="A320">
            <v>201943850</v>
          </cell>
          <cell r="B320">
            <v>2202002</v>
          </cell>
          <cell r="C320" t="str">
            <v>Vestuario, Accesorios y Prendas Diversas</v>
          </cell>
        </row>
        <row r="321">
          <cell r="A321">
            <v>201943851</v>
          </cell>
          <cell r="B321">
            <v>2202003</v>
          </cell>
          <cell r="C321" t="str">
            <v>Calzado</v>
          </cell>
        </row>
        <row r="322">
          <cell r="A322">
            <v>201943852</v>
          </cell>
          <cell r="B322">
            <v>2203</v>
          </cell>
          <cell r="C322" t="str">
            <v>Combustibles y Lubricantes</v>
          </cell>
        </row>
        <row r="323">
          <cell r="A323">
            <v>201943853</v>
          </cell>
          <cell r="B323">
            <v>2203001</v>
          </cell>
          <cell r="C323" t="str">
            <v>Para Vehiculos</v>
          </cell>
        </row>
        <row r="324">
          <cell r="A324">
            <v>201943854</v>
          </cell>
          <cell r="B324">
            <v>2203002</v>
          </cell>
          <cell r="C324" t="str">
            <v>Para Maquinarias, Equipos de Produccion, Traccion y Elevacion</v>
          </cell>
        </row>
        <row r="325">
          <cell r="A325">
            <v>201943855</v>
          </cell>
          <cell r="B325">
            <v>2203003</v>
          </cell>
          <cell r="C325" t="str">
            <v>Para Calefaccion</v>
          </cell>
        </row>
        <row r="326">
          <cell r="A326">
            <v>201943856</v>
          </cell>
          <cell r="B326">
            <v>2203999</v>
          </cell>
          <cell r="C326" t="str">
            <v>Para Otros</v>
          </cell>
        </row>
        <row r="327">
          <cell r="A327">
            <v>201943952</v>
          </cell>
          <cell r="B327">
            <v>2204</v>
          </cell>
          <cell r="C327" t="str">
            <v>Materiales de Uso o Consumo</v>
          </cell>
        </row>
        <row r="328">
          <cell r="A328">
            <v>201943953</v>
          </cell>
          <cell r="B328">
            <v>2204001</v>
          </cell>
          <cell r="C328" t="str">
            <v>Materiales de Oficina</v>
          </cell>
        </row>
        <row r="329">
          <cell r="A329">
            <v>201943954</v>
          </cell>
          <cell r="B329">
            <v>2204002</v>
          </cell>
          <cell r="C329" t="str">
            <v>Textos y Otros Materiales de Ensenanza</v>
          </cell>
        </row>
        <row r="330">
          <cell r="A330">
            <v>201943955</v>
          </cell>
          <cell r="B330">
            <v>2204003</v>
          </cell>
          <cell r="C330" t="str">
            <v>Productos Quimicos</v>
          </cell>
        </row>
        <row r="331">
          <cell r="A331">
            <v>201943956</v>
          </cell>
          <cell r="B331">
            <v>2204004</v>
          </cell>
          <cell r="C331" t="str">
            <v>Productos Farmaceuticos</v>
          </cell>
        </row>
        <row r="332">
          <cell r="A332">
            <v>201943957</v>
          </cell>
          <cell r="B332">
            <v>2204005</v>
          </cell>
          <cell r="C332" t="str">
            <v>Materiales y tiles Quirurgicos</v>
          </cell>
        </row>
        <row r="333">
          <cell r="A333">
            <v>201943958</v>
          </cell>
          <cell r="B333">
            <v>2204006</v>
          </cell>
          <cell r="C333" t="str">
            <v>Fertilizantes, Insecticidas, Fungicidas y Otros</v>
          </cell>
        </row>
        <row r="334">
          <cell r="A334">
            <v>201943959</v>
          </cell>
          <cell r="B334">
            <v>2204007</v>
          </cell>
          <cell r="C334" t="str">
            <v>Materiales y tiles de Aseo</v>
          </cell>
        </row>
        <row r="335">
          <cell r="A335">
            <v>201943960</v>
          </cell>
          <cell r="B335">
            <v>2204008</v>
          </cell>
          <cell r="C335" t="str">
            <v>Menaje para Oficina, Casino y Otros</v>
          </cell>
        </row>
        <row r="336">
          <cell r="A336">
            <v>201943961</v>
          </cell>
          <cell r="B336">
            <v>2204009</v>
          </cell>
          <cell r="C336" t="str">
            <v>Insumos, Repuestos y Accesorios Computacionales</v>
          </cell>
        </row>
        <row r="337">
          <cell r="A337">
            <v>201943962</v>
          </cell>
          <cell r="B337">
            <v>2204010</v>
          </cell>
          <cell r="C337" t="str">
            <v>Materiales para Mantenimiento y Reparaciones de Inmuebles</v>
          </cell>
        </row>
        <row r="338">
          <cell r="A338">
            <v>201943963</v>
          </cell>
          <cell r="B338">
            <v>2204011</v>
          </cell>
          <cell r="C338" t="str">
            <v>Repuestos y Accesorios para Mantenimiento y Reparaciones de Vehiculos</v>
          </cell>
        </row>
        <row r="339">
          <cell r="A339">
            <v>201943964</v>
          </cell>
          <cell r="B339">
            <v>2204012</v>
          </cell>
          <cell r="C339" t="str">
            <v>Otros Materiales, Repuestos y tiles Diversos para Mantenimiento y Reparaciones</v>
          </cell>
        </row>
        <row r="340">
          <cell r="A340">
            <v>201943965</v>
          </cell>
          <cell r="B340">
            <v>2204013</v>
          </cell>
          <cell r="C340" t="str">
            <v>Equipos Menores</v>
          </cell>
        </row>
        <row r="341">
          <cell r="A341">
            <v>201943966</v>
          </cell>
          <cell r="B341">
            <v>2204014</v>
          </cell>
          <cell r="C341" t="str">
            <v>Productos Elaborados de Cuero, Caucho y Plasticos</v>
          </cell>
        </row>
        <row r="342">
          <cell r="A342">
            <v>201943967</v>
          </cell>
          <cell r="B342">
            <v>2204015</v>
          </cell>
          <cell r="C342" t="str">
            <v>Productos Agropecuarios y Forestales</v>
          </cell>
        </row>
        <row r="343">
          <cell r="A343">
            <v>201943968</v>
          </cell>
          <cell r="B343">
            <v>2204016</v>
          </cell>
          <cell r="C343" t="str">
            <v>Materias Primas y Semielaboradas</v>
          </cell>
        </row>
        <row r="344">
          <cell r="A344">
            <v>201943969</v>
          </cell>
          <cell r="B344">
            <v>2204999</v>
          </cell>
          <cell r="C344" t="str">
            <v>Otros</v>
          </cell>
        </row>
        <row r="345">
          <cell r="A345">
            <v>201943970</v>
          </cell>
          <cell r="B345">
            <v>2205</v>
          </cell>
          <cell r="C345" t="str">
            <v>Servicios Basicos</v>
          </cell>
        </row>
        <row r="346">
          <cell r="A346">
            <v>201943971</v>
          </cell>
          <cell r="B346">
            <v>2205001</v>
          </cell>
          <cell r="C346" t="str">
            <v>Electricidad</v>
          </cell>
        </row>
        <row r="347">
          <cell r="A347">
            <v>201943972</v>
          </cell>
          <cell r="B347">
            <v>2205002</v>
          </cell>
          <cell r="C347" t="str">
            <v>Agua</v>
          </cell>
        </row>
        <row r="348">
          <cell r="A348">
            <v>201943973</v>
          </cell>
          <cell r="B348">
            <v>2205003</v>
          </cell>
          <cell r="C348" t="str">
            <v>Gas</v>
          </cell>
        </row>
        <row r="349">
          <cell r="A349">
            <v>201943974</v>
          </cell>
          <cell r="B349">
            <v>2205004</v>
          </cell>
          <cell r="C349" t="str">
            <v>Correo</v>
          </cell>
        </row>
        <row r="350">
          <cell r="A350">
            <v>201943975</v>
          </cell>
          <cell r="B350">
            <v>2205005</v>
          </cell>
          <cell r="C350" t="str">
            <v>Telefonia Fija</v>
          </cell>
        </row>
        <row r="351">
          <cell r="A351">
            <v>201943976</v>
          </cell>
          <cell r="B351">
            <v>2205006</v>
          </cell>
          <cell r="C351" t="str">
            <v>Telefonia Celular</v>
          </cell>
        </row>
        <row r="352">
          <cell r="A352">
            <v>201943977</v>
          </cell>
          <cell r="B352">
            <v>2205007</v>
          </cell>
          <cell r="C352" t="str">
            <v>Acceso a Internet</v>
          </cell>
        </row>
        <row r="353">
          <cell r="A353">
            <v>201943978</v>
          </cell>
          <cell r="B353">
            <v>2205008</v>
          </cell>
          <cell r="C353" t="str">
            <v>Enlaces de Telecomunicaciones</v>
          </cell>
        </row>
        <row r="354">
          <cell r="A354">
            <v>201943979</v>
          </cell>
          <cell r="B354">
            <v>2205999</v>
          </cell>
          <cell r="C354" t="str">
            <v>Otros</v>
          </cell>
        </row>
        <row r="355">
          <cell r="A355">
            <v>201943980</v>
          </cell>
          <cell r="B355">
            <v>2206</v>
          </cell>
          <cell r="C355" t="str">
            <v>Mantenimiento y Reparaciones</v>
          </cell>
        </row>
        <row r="356">
          <cell r="A356">
            <v>201943981</v>
          </cell>
          <cell r="B356">
            <v>2206001</v>
          </cell>
          <cell r="C356" t="str">
            <v>Mantenimiento y Reparacion de Edificaciones</v>
          </cell>
        </row>
        <row r="357">
          <cell r="A357">
            <v>201943982</v>
          </cell>
          <cell r="B357">
            <v>2206002</v>
          </cell>
          <cell r="C357" t="str">
            <v>Mantenimiento y Reparacion de Vehiculos</v>
          </cell>
        </row>
        <row r="358">
          <cell r="A358">
            <v>201943983</v>
          </cell>
          <cell r="B358">
            <v>2206003</v>
          </cell>
          <cell r="C358" t="str">
            <v>Mantenimiento y Reparacion de Mobiliarios y Otros</v>
          </cell>
        </row>
        <row r="359">
          <cell r="A359">
            <v>201943984</v>
          </cell>
          <cell r="B359">
            <v>2206004</v>
          </cell>
          <cell r="C359" t="str">
            <v>Mantenimiento y Reparacion de Maquinas y Equipos de Oficina</v>
          </cell>
        </row>
        <row r="360">
          <cell r="A360">
            <v>201943985</v>
          </cell>
          <cell r="B360">
            <v>2206005</v>
          </cell>
          <cell r="C360" t="str">
            <v>Mantenimiento y Reparaciones de Maquinarias y Equipos de Produccion</v>
          </cell>
        </row>
        <row r="361">
          <cell r="A361">
            <v>201943986</v>
          </cell>
          <cell r="B361">
            <v>2206006</v>
          </cell>
          <cell r="C361" t="str">
            <v>Mantenimiento y Reparacion de Otras Maquinarias y Equipos</v>
          </cell>
        </row>
        <row r="362">
          <cell r="A362">
            <v>201943987</v>
          </cell>
          <cell r="B362">
            <v>2206007</v>
          </cell>
          <cell r="C362" t="str">
            <v>Mantenimiento y Reparacion de Equipos Informaticos</v>
          </cell>
        </row>
        <row r="363">
          <cell r="A363">
            <v>201943988</v>
          </cell>
          <cell r="B363">
            <v>2206999</v>
          </cell>
          <cell r="C363" t="str">
            <v>Otros</v>
          </cell>
        </row>
        <row r="364">
          <cell r="A364">
            <v>201943989</v>
          </cell>
          <cell r="B364">
            <v>2207</v>
          </cell>
          <cell r="C364" t="str">
            <v>Publicidad y Difusion</v>
          </cell>
        </row>
        <row r="365">
          <cell r="A365">
            <v>201943990</v>
          </cell>
          <cell r="B365">
            <v>2207001</v>
          </cell>
          <cell r="C365" t="str">
            <v>Servicios de Publicidad</v>
          </cell>
        </row>
        <row r="366">
          <cell r="A366">
            <v>201943991</v>
          </cell>
          <cell r="B366">
            <v>2207002</v>
          </cell>
          <cell r="C366" t="str">
            <v>Servicios de Impresion</v>
          </cell>
        </row>
        <row r="367">
          <cell r="A367">
            <v>201943992</v>
          </cell>
          <cell r="B367">
            <v>2207003</v>
          </cell>
          <cell r="C367" t="str">
            <v>Servicios de Encuadernacion y Empaste</v>
          </cell>
        </row>
        <row r="368">
          <cell r="A368">
            <v>201943993</v>
          </cell>
          <cell r="B368">
            <v>2207999</v>
          </cell>
          <cell r="C368" t="str">
            <v>Otros</v>
          </cell>
        </row>
        <row r="369">
          <cell r="A369">
            <v>201943994</v>
          </cell>
          <cell r="B369">
            <v>2208</v>
          </cell>
          <cell r="C369" t="str">
            <v>Servicios Generales</v>
          </cell>
        </row>
        <row r="370">
          <cell r="A370">
            <v>201943995</v>
          </cell>
          <cell r="B370">
            <v>2208001</v>
          </cell>
          <cell r="C370" t="str">
            <v>Servicios de Aseo</v>
          </cell>
        </row>
        <row r="371">
          <cell r="A371">
            <v>201943996</v>
          </cell>
          <cell r="B371">
            <v>2208002</v>
          </cell>
          <cell r="C371" t="str">
            <v>Servicios de Vigilancia</v>
          </cell>
        </row>
        <row r="372">
          <cell r="A372">
            <v>201943997</v>
          </cell>
          <cell r="B372">
            <v>2208003</v>
          </cell>
          <cell r="C372" t="str">
            <v>Servicios de Mantencion de Jardines</v>
          </cell>
        </row>
        <row r="373">
          <cell r="A373">
            <v>201943998</v>
          </cell>
          <cell r="B373">
            <v>2208007</v>
          </cell>
          <cell r="C373" t="str">
            <v>Pasajes, Fletes y Bodegajes</v>
          </cell>
        </row>
        <row r="374">
          <cell r="A374">
            <v>201943999</v>
          </cell>
          <cell r="B374">
            <v>2208008</v>
          </cell>
          <cell r="C374" t="str">
            <v>Salas Cunas y/o Jardines Infantiles</v>
          </cell>
        </row>
        <row r="375">
          <cell r="A375">
            <v>201944000</v>
          </cell>
          <cell r="B375">
            <v>2208009</v>
          </cell>
          <cell r="C375" t="str">
            <v>Servicios de Pago y Cobranza</v>
          </cell>
        </row>
        <row r="376">
          <cell r="A376">
            <v>201944001</v>
          </cell>
          <cell r="B376">
            <v>2208010</v>
          </cell>
          <cell r="C376" t="str">
            <v>Servicios de Suscripcion y Similares</v>
          </cell>
        </row>
        <row r="377">
          <cell r="A377">
            <v>201944002</v>
          </cell>
          <cell r="B377">
            <v>2208011</v>
          </cell>
          <cell r="C377" t="str">
            <v>Servicios de Produccion y Desarrollo de Eventos</v>
          </cell>
        </row>
        <row r="378">
          <cell r="A378">
            <v>201944003</v>
          </cell>
          <cell r="B378">
            <v>2208999</v>
          </cell>
          <cell r="C378" t="str">
            <v>Otros</v>
          </cell>
        </row>
        <row r="379">
          <cell r="A379">
            <v>201944004</v>
          </cell>
          <cell r="B379">
            <v>2209</v>
          </cell>
          <cell r="C379" t="str">
            <v>Arriendos</v>
          </cell>
        </row>
        <row r="380">
          <cell r="A380">
            <v>201944005</v>
          </cell>
          <cell r="B380">
            <v>2209001</v>
          </cell>
          <cell r="C380" t="str">
            <v>Arriendo de Terrenos</v>
          </cell>
        </row>
        <row r="381">
          <cell r="A381">
            <v>201944006</v>
          </cell>
          <cell r="B381">
            <v>2209002</v>
          </cell>
          <cell r="C381" t="str">
            <v>Arriendo de Edificios</v>
          </cell>
        </row>
        <row r="382">
          <cell r="A382">
            <v>201944007</v>
          </cell>
          <cell r="B382">
            <v>2209003</v>
          </cell>
          <cell r="C382" t="str">
            <v>Arriendo de Vehiculos</v>
          </cell>
        </row>
        <row r="383">
          <cell r="A383">
            <v>201944008</v>
          </cell>
          <cell r="B383">
            <v>2209004</v>
          </cell>
          <cell r="C383" t="str">
            <v>Arriendo de Mobiliario y Otros</v>
          </cell>
        </row>
        <row r="384">
          <cell r="A384">
            <v>201944009</v>
          </cell>
          <cell r="B384">
            <v>2209005</v>
          </cell>
          <cell r="C384" t="str">
            <v>Arriendo de Maquinas y Equipos</v>
          </cell>
        </row>
        <row r="385">
          <cell r="A385">
            <v>201944010</v>
          </cell>
          <cell r="B385">
            <v>2209006</v>
          </cell>
          <cell r="C385" t="str">
            <v>Arriendo de Equipos Informaticos</v>
          </cell>
        </row>
        <row r="386">
          <cell r="A386">
            <v>201944011</v>
          </cell>
          <cell r="B386">
            <v>2209999</v>
          </cell>
          <cell r="C386" t="str">
            <v>Otros</v>
          </cell>
        </row>
        <row r="387">
          <cell r="A387">
            <v>201944012</v>
          </cell>
          <cell r="B387">
            <v>2210</v>
          </cell>
          <cell r="C387" t="str">
            <v>Servicios Financieros y de Seguros</v>
          </cell>
        </row>
        <row r="388">
          <cell r="A388">
            <v>201944013</v>
          </cell>
          <cell r="B388">
            <v>2210001</v>
          </cell>
          <cell r="C388" t="str">
            <v>Gastos Financieros por Compra y Venta de Titulos y Valores</v>
          </cell>
        </row>
        <row r="389">
          <cell r="A389">
            <v>201944014</v>
          </cell>
          <cell r="B389">
            <v>2210002</v>
          </cell>
          <cell r="C389" t="str">
            <v>Primas y Gastos de Seguros</v>
          </cell>
        </row>
        <row r="390">
          <cell r="A390">
            <v>201944015</v>
          </cell>
          <cell r="B390">
            <v>2210003</v>
          </cell>
          <cell r="C390" t="str">
            <v>Servicios de Giros y Remesas</v>
          </cell>
        </row>
        <row r="391">
          <cell r="A391">
            <v>201944016</v>
          </cell>
          <cell r="B391">
            <v>2210004</v>
          </cell>
          <cell r="C391" t="str">
            <v>Gastos Bancarios</v>
          </cell>
        </row>
        <row r="392">
          <cell r="A392">
            <v>201944017</v>
          </cell>
          <cell r="B392">
            <v>2210999</v>
          </cell>
          <cell r="C392" t="str">
            <v>Otros</v>
          </cell>
        </row>
        <row r="393">
          <cell r="A393">
            <v>201944018</v>
          </cell>
          <cell r="B393">
            <v>2211</v>
          </cell>
          <cell r="C393" t="str">
            <v>Servicios Tecnicos y Profesionales</v>
          </cell>
        </row>
        <row r="394">
          <cell r="A394">
            <v>201944019</v>
          </cell>
          <cell r="B394">
            <v>2211001</v>
          </cell>
          <cell r="C394" t="str">
            <v>Estudios e Investigaciones</v>
          </cell>
        </row>
        <row r="395">
          <cell r="A395">
            <v>201944020</v>
          </cell>
          <cell r="B395">
            <v>2211002</v>
          </cell>
          <cell r="C395" t="str">
            <v>Cursos de Capacitacion</v>
          </cell>
        </row>
        <row r="396">
          <cell r="A396">
            <v>201944021</v>
          </cell>
          <cell r="B396">
            <v>2211003</v>
          </cell>
          <cell r="C396" t="str">
            <v>Servicios Informaticos</v>
          </cell>
        </row>
        <row r="397">
          <cell r="A397">
            <v>201944022</v>
          </cell>
          <cell r="B397">
            <v>2211999</v>
          </cell>
          <cell r="C397" t="str">
            <v>Otros</v>
          </cell>
        </row>
        <row r="398">
          <cell r="A398">
            <v>201944023</v>
          </cell>
          <cell r="B398">
            <v>2212</v>
          </cell>
          <cell r="C398" t="str">
            <v>Otros Gastos en Bienes y Servicios de Consumo</v>
          </cell>
        </row>
        <row r="399">
          <cell r="A399">
            <v>201944024</v>
          </cell>
          <cell r="B399">
            <v>2212001</v>
          </cell>
          <cell r="C399" t="str">
            <v>Gastos Reservados</v>
          </cell>
        </row>
        <row r="400">
          <cell r="A400">
            <v>201944025</v>
          </cell>
          <cell r="B400">
            <v>2212002</v>
          </cell>
          <cell r="C400" t="str">
            <v>Gastos Menores</v>
          </cell>
        </row>
        <row r="401">
          <cell r="A401">
            <v>201944026</v>
          </cell>
          <cell r="B401">
            <v>2212003</v>
          </cell>
          <cell r="C401" t="str">
            <v>Gastos de Representacion, Protocolo y Ceremonial</v>
          </cell>
        </row>
        <row r="402">
          <cell r="A402">
            <v>201944027</v>
          </cell>
          <cell r="B402">
            <v>2212004</v>
          </cell>
          <cell r="C402" t="str">
            <v>Intereses, Multas y Recargos</v>
          </cell>
        </row>
        <row r="403">
          <cell r="A403">
            <v>201944028</v>
          </cell>
          <cell r="B403">
            <v>2212005</v>
          </cell>
          <cell r="C403" t="str">
            <v>Derechos y Tasas</v>
          </cell>
        </row>
        <row r="404">
          <cell r="A404">
            <v>201944029</v>
          </cell>
          <cell r="B404">
            <v>2212006</v>
          </cell>
          <cell r="C404" t="str">
            <v>Contribuciones</v>
          </cell>
        </row>
        <row r="405">
          <cell r="A405">
            <v>201944030</v>
          </cell>
          <cell r="B405">
            <v>2212999</v>
          </cell>
          <cell r="C405" t="str">
            <v>Otros</v>
          </cell>
        </row>
        <row r="406">
          <cell r="A406">
            <v>201944031</v>
          </cell>
          <cell r="B406">
            <v>2215</v>
          </cell>
          <cell r="C406" t="str">
            <v>Material Policial y Militar</v>
          </cell>
        </row>
        <row r="407">
          <cell r="A407">
            <v>201944032</v>
          </cell>
          <cell r="B407">
            <v>23</v>
          </cell>
          <cell r="C407" t="str">
            <v>PRESTACIONES DE SEGURIDAD SOCIAL</v>
          </cell>
        </row>
        <row r="408">
          <cell r="A408">
            <v>201944033</v>
          </cell>
          <cell r="B408">
            <v>2301</v>
          </cell>
          <cell r="C408" t="str">
            <v>Prestaciones Previsionales</v>
          </cell>
        </row>
        <row r="409">
          <cell r="A409">
            <v>201944034</v>
          </cell>
          <cell r="B409">
            <v>2301001</v>
          </cell>
          <cell r="C409" t="str">
            <v>Jubilaciones, Pensiones y Montepios</v>
          </cell>
        </row>
        <row r="410">
          <cell r="A410">
            <v>201944035</v>
          </cell>
          <cell r="B410">
            <v>2301002</v>
          </cell>
          <cell r="C410" t="str">
            <v>Bonificaciones</v>
          </cell>
        </row>
        <row r="411">
          <cell r="A411">
            <v>201944036</v>
          </cell>
          <cell r="B411">
            <v>2301003</v>
          </cell>
          <cell r="C411" t="str">
            <v>Bono de Reconocimiento</v>
          </cell>
        </row>
        <row r="412">
          <cell r="A412">
            <v>201944037</v>
          </cell>
          <cell r="B412">
            <v>2301004</v>
          </cell>
          <cell r="C412" t="str">
            <v>Desahucios e Indemnizaciones</v>
          </cell>
        </row>
        <row r="413">
          <cell r="A413">
            <v>201944038</v>
          </cell>
          <cell r="B413">
            <v>2301005</v>
          </cell>
          <cell r="C413" t="str">
            <v>Fondo de Seguro Social de los Empleados Publicos</v>
          </cell>
        </row>
        <row r="414">
          <cell r="A414">
            <v>201944039</v>
          </cell>
          <cell r="B414">
            <v>2301006</v>
          </cell>
          <cell r="C414" t="str">
            <v>Asignacion por Muerte</v>
          </cell>
        </row>
        <row r="415">
          <cell r="A415">
            <v>201944040</v>
          </cell>
          <cell r="B415">
            <v>2301007</v>
          </cell>
          <cell r="C415" t="str">
            <v>Seguro de Vida</v>
          </cell>
        </row>
        <row r="416">
          <cell r="A416">
            <v>201944041</v>
          </cell>
          <cell r="B416">
            <v>2301008</v>
          </cell>
          <cell r="C416" t="str">
            <v>Devolucion de Imposiciones</v>
          </cell>
        </row>
        <row r="417">
          <cell r="A417">
            <v>201944042</v>
          </cell>
          <cell r="B417">
            <v>2301009</v>
          </cell>
          <cell r="C417" t="str">
            <v>Bonificaciones de Salud</v>
          </cell>
        </row>
        <row r="418">
          <cell r="A418">
            <v>201944043</v>
          </cell>
          <cell r="B418">
            <v>2301010</v>
          </cell>
          <cell r="C418" t="str">
            <v>Subsidios de Reposo Preventivo</v>
          </cell>
        </row>
        <row r="419">
          <cell r="A419">
            <v>201944044</v>
          </cell>
          <cell r="B419">
            <v>2301011</v>
          </cell>
          <cell r="C419" t="str">
            <v>Subsidio de Enfermedad y Medicina Curativa</v>
          </cell>
        </row>
        <row r="420">
          <cell r="A420">
            <v>201944045</v>
          </cell>
          <cell r="B420">
            <v>2301012</v>
          </cell>
          <cell r="C420" t="str">
            <v>Subsidios por Accidentes del Trabajo</v>
          </cell>
        </row>
        <row r="421">
          <cell r="A421">
            <v>201944046</v>
          </cell>
          <cell r="B421">
            <v>2301013</v>
          </cell>
          <cell r="C421" t="str">
            <v>Subsidios de Reposo Maternal, Articulo 196 Codigo del Trabajo</v>
          </cell>
        </row>
        <row r="422">
          <cell r="A422">
            <v>201944047</v>
          </cell>
          <cell r="B422">
            <v>2301014</v>
          </cell>
          <cell r="C422" t="str">
            <v>Subsidio Cajas de Compensacion de Asignacion Familiar</v>
          </cell>
        </row>
        <row r="423">
          <cell r="A423">
            <v>201944048</v>
          </cell>
          <cell r="B423">
            <v>2301015</v>
          </cell>
          <cell r="C423" t="str">
            <v>Aporte Fondo de Cesantia Solidario Ley N 19.728</v>
          </cell>
        </row>
        <row r="424">
          <cell r="A424">
            <v>201944150</v>
          </cell>
          <cell r="B424">
            <v>2301016</v>
          </cell>
          <cell r="C424" t="str">
            <v>Bonificacion por Hijo para las Mujeres</v>
          </cell>
        </row>
        <row r="425">
          <cell r="A425">
            <v>201944151</v>
          </cell>
          <cell r="B425">
            <v>2301017</v>
          </cell>
          <cell r="C425" t="str">
            <v>Fondo Bono Laboral Ley N 20.305</v>
          </cell>
        </row>
        <row r="426">
          <cell r="A426">
            <v>201944152</v>
          </cell>
          <cell r="B426">
            <v>2302</v>
          </cell>
          <cell r="C426" t="str">
            <v>Prestaciones de Asistencia Social</v>
          </cell>
        </row>
        <row r="427">
          <cell r="A427">
            <v>201944153</v>
          </cell>
          <cell r="B427">
            <v>2302001</v>
          </cell>
          <cell r="C427" t="str">
            <v>Asignacion Familiar</v>
          </cell>
        </row>
        <row r="428">
          <cell r="A428">
            <v>201944154</v>
          </cell>
          <cell r="B428">
            <v>2302002</v>
          </cell>
          <cell r="C428" t="str">
            <v>Pensiones Asistenciales</v>
          </cell>
        </row>
        <row r="429">
          <cell r="A429">
            <v>201944155</v>
          </cell>
          <cell r="B429">
            <v>2302003</v>
          </cell>
          <cell r="C429" t="str">
            <v>Garantia Estatal Pensiones Minimas</v>
          </cell>
        </row>
        <row r="430">
          <cell r="A430">
            <v>201944156</v>
          </cell>
          <cell r="B430">
            <v>2302004</v>
          </cell>
          <cell r="C430" t="str">
            <v>Ayudas Economicas y Otros Pagos Preventivos</v>
          </cell>
        </row>
        <row r="431">
          <cell r="A431">
            <v>201944157</v>
          </cell>
          <cell r="B431">
            <v>2302005</v>
          </cell>
          <cell r="C431" t="str">
            <v>Subsidios de Reposo Maternal y Cuidado del Nino</v>
          </cell>
        </row>
        <row r="432">
          <cell r="A432">
            <v>201944158</v>
          </cell>
          <cell r="B432">
            <v>2302006</v>
          </cell>
          <cell r="C432" t="str">
            <v>Subsidio de Cesantia</v>
          </cell>
        </row>
        <row r="433">
          <cell r="A433">
            <v>201944159</v>
          </cell>
          <cell r="B433">
            <v>2302007</v>
          </cell>
          <cell r="C433" t="str">
            <v>Pensiones Basicas Solidarias de Vejez</v>
          </cell>
        </row>
        <row r="434">
          <cell r="A434">
            <v>201944160</v>
          </cell>
          <cell r="B434">
            <v>2302008</v>
          </cell>
          <cell r="C434" t="str">
            <v>Pensiones Basicas Solidarias de Invalidez</v>
          </cell>
        </row>
        <row r="435">
          <cell r="A435">
            <v>201944161</v>
          </cell>
          <cell r="B435">
            <v>2302009</v>
          </cell>
          <cell r="C435" t="str">
            <v>Subsidio de Discapacidad Mental</v>
          </cell>
        </row>
        <row r="436">
          <cell r="A436">
            <v>201944162</v>
          </cell>
          <cell r="B436">
            <v>2302010</v>
          </cell>
          <cell r="C436" t="str">
            <v>Bono para Conyuges que cumplan Cincuenta Anos de Matrimonio</v>
          </cell>
        </row>
        <row r="437">
          <cell r="A437">
            <v>201944163</v>
          </cell>
          <cell r="B437">
            <v>2302011</v>
          </cell>
          <cell r="C437" t="str">
            <v>Bonificacion Ley N20.531</v>
          </cell>
        </row>
        <row r="438">
          <cell r="A438">
            <v>201947140</v>
          </cell>
          <cell r="B438">
            <v>2302012</v>
          </cell>
          <cell r="C438" t="str">
            <v>Aporte Familiar Permanente de Marzo</v>
          </cell>
        </row>
        <row r="439">
          <cell r="A439">
            <v>201944164</v>
          </cell>
          <cell r="B439">
            <v>2303</v>
          </cell>
          <cell r="C439" t="str">
            <v>Prestaciones Sociales del Empleador</v>
          </cell>
        </row>
        <row r="440">
          <cell r="A440">
            <v>201944165</v>
          </cell>
          <cell r="B440">
            <v>2303001</v>
          </cell>
          <cell r="C440" t="str">
            <v>Indemnizacion de Cargo Fiscal</v>
          </cell>
        </row>
        <row r="441">
          <cell r="A441">
            <v>201944166</v>
          </cell>
          <cell r="B441">
            <v>2303002</v>
          </cell>
          <cell r="C441" t="str">
            <v>Beneficios Medicos</v>
          </cell>
        </row>
        <row r="442">
          <cell r="A442">
            <v>201944167</v>
          </cell>
          <cell r="B442">
            <v>2303003</v>
          </cell>
          <cell r="C442" t="str">
            <v>Fondo Retiro Funcionarios Publicos Ley N 19.882</v>
          </cell>
        </row>
        <row r="443">
          <cell r="A443">
            <v>201944168</v>
          </cell>
          <cell r="B443">
            <v>2303004</v>
          </cell>
          <cell r="C443" t="str">
            <v>Otras Indemnizaciones</v>
          </cell>
        </row>
        <row r="444">
          <cell r="A444">
            <v>201944169</v>
          </cell>
          <cell r="B444">
            <v>24</v>
          </cell>
          <cell r="C444" t="str">
            <v>TRANSFERENCIAS CORRIENTES</v>
          </cell>
        </row>
        <row r="445">
          <cell r="A445">
            <v>201944170</v>
          </cell>
          <cell r="B445">
            <v>2401</v>
          </cell>
          <cell r="C445" t="str">
            <v>Al Sector Privado</v>
          </cell>
        </row>
        <row r="446">
          <cell r="A446">
            <v>201944171</v>
          </cell>
          <cell r="B446">
            <v>2402</v>
          </cell>
          <cell r="C446" t="str">
            <v>Al Gobierno Central</v>
          </cell>
        </row>
        <row r="447">
          <cell r="A447">
            <v>201944663</v>
          </cell>
          <cell r="B447">
            <v>2402005</v>
          </cell>
          <cell r="C447" t="str">
            <v>A la Direccion de Bibliotecas Archivos y Museos</v>
          </cell>
        </row>
        <row r="448">
          <cell r="A448">
            <v>201947087</v>
          </cell>
          <cell r="B448">
            <v>2402010</v>
          </cell>
          <cell r="C448" t="str">
            <v>Programa Inversion Regional Region X</v>
          </cell>
        </row>
        <row r="449">
          <cell r="A449">
            <v>201947083</v>
          </cell>
          <cell r="B449">
            <v>2402016</v>
          </cell>
          <cell r="C449" t="str">
            <v>Subsecretaria de Desarrollo Regional y Administrativo - Programa 01</v>
          </cell>
        </row>
        <row r="450">
          <cell r="A450">
            <v>201947143</v>
          </cell>
          <cell r="B450">
            <v>2402017</v>
          </cell>
          <cell r="C450" t="str">
            <v>Subsecretaria de Desarollo Regional y Administrativo - Programa 02</v>
          </cell>
        </row>
        <row r="451">
          <cell r="A451">
            <v>201947088</v>
          </cell>
          <cell r="B451">
            <v>2402018</v>
          </cell>
          <cell r="C451" t="str">
            <v>Subsecretaria del Interior - Programa 01</v>
          </cell>
        </row>
        <row r="452">
          <cell r="A452">
            <v>201947089</v>
          </cell>
          <cell r="B452">
            <v>2402101</v>
          </cell>
          <cell r="C452" t="str">
            <v>Programa Gastos de Funcionamiento Region I</v>
          </cell>
        </row>
        <row r="453">
          <cell r="A453">
            <v>201947090</v>
          </cell>
          <cell r="B453">
            <v>2402102</v>
          </cell>
          <cell r="C453" t="str">
            <v>Programa Gastos de Funcionamiento Region II</v>
          </cell>
        </row>
        <row r="454">
          <cell r="A454">
            <v>201947091</v>
          </cell>
          <cell r="B454">
            <v>2402103</v>
          </cell>
          <cell r="C454" t="str">
            <v>Programa Gastos de Funcionamiento Region III</v>
          </cell>
        </row>
        <row r="455">
          <cell r="A455">
            <v>201947092</v>
          </cell>
          <cell r="B455">
            <v>2402104</v>
          </cell>
          <cell r="C455" t="str">
            <v>Programa Gastos de Funcionamiento Region IV</v>
          </cell>
        </row>
        <row r="456">
          <cell r="A456">
            <v>201947093</v>
          </cell>
          <cell r="B456">
            <v>2402105</v>
          </cell>
          <cell r="C456" t="str">
            <v>Programa Gastos de Funcionamiento Region V</v>
          </cell>
        </row>
        <row r="457">
          <cell r="A457">
            <v>201947094</v>
          </cell>
          <cell r="B457">
            <v>2402106</v>
          </cell>
          <cell r="C457" t="str">
            <v>Programa Gastos de Funcionamiento Region VI</v>
          </cell>
        </row>
        <row r="458">
          <cell r="A458">
            <v>201947095</v>
          </cell>
          <cell r="B458">
            <v>2402107</v>
          </cell>
          <cell r="C458" t="str">
            <v>Programa Gastos de Funcionamiento Region VII</v>
          </cell>
        </row>
        <row r="459">
          <cell r="A459">
            <v>201947096</v>
          </cell>
          <cell r="B459">
            <v>2402108</v>
          </cell>
          <cell r="C459" t="str">
            <v>Programa Gastos de Funcionamiento Region VIII</v>
          </cell>
        </row>
        <row r="460">
          <cell r="A460">
            <v>201947097</v>
          </cell>
          <cell r="B460">
            <v>2402109</v>
          </cell>
          <cell r="C460" t="str">
            <v>Programa Gastos de Funcionamiento Region IX</v>
          </cell>
        </row>
        <row r="461">
          <cell r="A461">
            <v>201947098</v>
          </cell>
          <cell r="B461">
            <v>2402110</v>
          </cell>
          <cell r="C461" t="str">
            <v>Programa Gastos de Funcionamiento Region X</v>
          </cell>
        </row>
        <row r="462">
          <cell r="A462">
            <v>201947099</v>
          </cell>
          <cell r="B462">
            <v>2402111</v>
          </cell>
          <cell r="C462" t="str">
            <v>Programa Gastos de Funcionamiento Region XI</v>
          </cell>
        </row>
        <row r="463">
          <cell r="A463">
            <v>201947100</v>
          </cell>
          <cell r="B463">
            <v>2402112</v>
          </cell>
          <cell r="C463" t="str">
            <v>Programa Gastos de Funcionamiento Region XII</v>
          </cell>
        </row>
        <row r="464">
          <cell r="A464">
            <v>201947101</v>
          </cell>
          <cell r="B464">
            <v>2402113</v>
          </cell>
          <cell r="C464" t="str">
            <v>Programa Gastos de Funcionamiento Region Metropolitana</v>
          </cell>
        </row>
        <row r="465">
          <cell r="A465">
            <v>201947102</v>
          </cell>
          <cell r="B465">
            <v>2402114</v>
          </cell>
          <cell r="C465" t="str">
            <v>Programa Gastos de Funcionamiento Region XIV</v>
          </cell>
        </row>
        <row r="466">
          <cell r="A466">
            <v>201947103</v>
          </cell>
          <cell r="B466">
            <v>2402115</v>
          </cell>
          <cell r="C466" t="str">
            <v>Programa Gastos de Funcionamiento Region XV</v>
          </cell>
        </row>
        <row r="467">
          <cell r="A467">
            <v>201944172</v>
          </cell>
          <cell r="B467">
            <v>2403</v>
          </cell>
          <cell r="C467" t="str">
            <v>A Otras Entidades Publicas</v>
          </cell>
        </row>
        <row r="468">
          <cell r="A468">
            <v>201944560</v>
          </cell>
          <cell r="B468">
            <v>2403024</v>
          </cell>
          <cell r="C468" t="str">
            <v>Capacitacion en Desarrollo Regional y Comunal</v>
          </cell>
        </row>
        <row r="469">
          <cell r="A469">
            <v>201944664</v>
          </cell>
          <cell r="B469">
            <v>2403026</v>
          </cell>
          <cell r="C469" t="str">
            <v>Programa Academia Capacitacion Municipal y Regional</v>
          </cell>
        </row>
        <row r="470">
          <cell r="A470">
            <v>201944577</v>
          </cell>
          <cell r="B470">
            <v>2403029</v>
          </cell>
          <cell r="C470" t="str">
            <v>Municipalidades</v>
          </cell>
        </row>
        <row r="471">
          <cell r="A471">
            <v>201944573</v>
          </cell>
          <cell r="B471">
            <v>2403031</v>
          </cell>
          <cell r="C471" t="str">
            <v>Programa de Apoyo a la Acreditacion de Calidad de Servicios Municipales</v>
          </cell>
        </row>
        <row r="472">
          <cell r="A472">
            <v>201944559</v>
          </cell>
          <cell r="B472">
            <v>2403032</v>
          </cell>
          <cell r="C472" t="str">
            <v>Programa de Mejoramiento de la Gestion Municipal</v>
          </cell>
        </row>
        <row r="473">
          <cell r="A473">
            <v>201944665</v>
          </cell>
          <cell r="B473">
            <v>2403112</v>
          </cell>
          <cell r="C473" t="str">
            <v>Oficina Fondo Recuperacion de Ciudades</v>
          </cell>
        </row>
        <row r="474">
          <cell r="A474">
            <v>201944653</v>
          </cell>
          <cell r="B474">
            <v>2403399</v>
          </cell>
          <cell r="C474" t="str">
            <v>Oficina Credito de Apoyo a la Gestion Subnacional</v>
          </cell>
        </row>
        <row r="475">
          <cell r="A475">
            <v>201944568</v>
          </cell>
          <cell r="B475">
            <v>2403403</v>
          </cell>
          <cell r="C475" t="str">
            <v>Municipalidades (Compensacion por Predios Exentos)</v>
          </cell>
        </row>
        <row r="476">
          <cell r="A476">
            <v>201944572</v>
          </cell>
          <cell r="B476">
            <v>2403405</v>
          </cell>
          <cell r="C476" t="str">
            <v>Oficina Credito Puesta en Valor del Patrimonio</v>
          </cell>
        </row>
        <row r="477">
          <cell r="A477">
            <v>201947169</v>
          </cell>
          <cell r="B477">
            <v>2403406</v>
          </cell>
          <cell r="C477" t="str">
            <v>Municipalidades (Programa Esterilizacion y Atencion Sanitaria de Animales de Compania)</v>
          </cell>
        </row>
        <row r="478">
          <cell r="A478">
            <v>201947156</v>
          </cell>
          <cell r="B478">
            <v>2403408</v>
          </cell>
          <cell r="C478" t="str">
            <v>Programa de Buenas Practicas para el Desarrollo de los Territorios</v>
          </cell>
        </row>
        <row r="479">
          <cell r="A479">
            <v>201944173</v>
          </cell>
          <cell r="B479">
            <v>2404</v>
          </cell>
          <cell r="C479" t="str">
            <v>A Empresas Publicas no Financieras</v>
          </cell>
        </row>
        <row r="480">
          <cell r="A480">
            <v>201944174</v>
          </cell>
          <cell r="B480">
            <v>2405</v>
          </cell>
          <cell r="C480" t="str">
            <v>A Empresas Publicas Financieras</v>
          </cell>
        </row>
        <row r="481">
          <cell r="A481">
            <v>201944175</v>
          </cell>
          <cell r="B481">
            <v>2406</v>
          </cell>
          <cell r="C481" t="str">
            <v>A Gobiernos Extranjeros</v>
          </cell>
        </row>
        <row r="482">
          <cell r="A482">
            <v>201944176</v>
          </cell>
          <cell r="B482">
            <v>2407</v>
          </cell>
          <cell r="C482" t="str">
            <v>A Organismos Internacionales</v>
          </cell>
        </row>
        <row r="483">
          <cell r="A483">
            <v>201947123</v>
          </cell>
          <cell r="B483">
            <v>2407001</v>
          </cell>
          <cell r="C483" t="str">
            <v>A Organizacion para la Cooperacion y Desarrollo Economico</v>
          </cell>
        </row>
        <row r="484">
          <cell r="A484">
            <v>201947124</v>
          </cell>
          <cell r="B484">
            <v>2407002</v>
          </cell>
          <cell r="C484" t="str">
            <v>A Comision Economica Para America Latina y el Caribe de las Naciones Unidas</v>
          </cell>
        </row>
        <row r="485">
          <cell r="A485">
            <v>201944177</v>
          </cell>
          <cell r="B485">
            <v>25</v>
          </cell>
          <cell r="C485" t="str">
            <v>INTEGROS AL FISCO</v>
          </cell>
        </row>
        <row r="486">
          <cell r="A486">
            <v>201944178</v>
          </cell>
          <cell r="B486">
            <v>2501</v>
          </cell>
          <cell r="C486" t="str">
            <v>Impuestos</v>
          </cell>
        </row>
        <row r="487">
          <cell r="A487">
            <v>201944179</v>
          </cell>
          <cell r="B487">
            <v>2502</v>
          </cell>
          <cell r="C487" t="str">
            <v>Anticipos y/o Utilidades</v>
          </cell>
        </row>
        <row r="488">
          <cell r="A488">
            <v>201944180</v>
          </cell>
          <cell r="B488">
            <v>2503</v>
          </cell>
          <cell r="C488" t="str">
            <v>Excedentes de Caja</v>
          </cell>
        </row>
        <row r="489">
          <cell r="A489">
            <v>201944181</v>
          </cell>
          <cell r="B489">
            <v>2599</v>
          </cell>
          <cell r="C489" t="str">
            <v>Otros ntegros al Fisco</v>
          </cell>
        </row>
        <row r="490">
          <cell r="A490">
            <v>201944182</v>
          </cell>
          <cell r="B490">
            <v>26</v>
          </cell>
          <cell r="C490" t="str">
            <v>OTROS GASTOS CORRIENTES</v>
          </cell>
        </row>
        <row r="491">
          <cell r="A491">
            <v>201944183</v>
          </cell>
          <cell r="B491">
            <v>2601</v>
          </cell>
          <cell r="C491" t="str">
            <v>Devoluciones</v>
          </cell>
        </row>
        <row r="492">
          <cell r="A492">
            <v>201944184</v>
          </cell>
          <cell r="B492">
            <v>2602</v>
          </cell>
          <cell r="C492" t="str">
            <v>Compensaciones por Danos a Terceros y/o a la Propiedad</v>
          </cell>
        </row>
        <row r="493">
          <cell r="A493">
            <v>201944185</v>
          </cell>
          <cell r="B493">
            <v>2603</v>
          </cell>
          <cell r="C493" t="str">
            <v>2% Constitucional</v>
          </cell>
        </row>
        <row r="494">
          <cell r="A494">
            <v>201944186</v>
          </cell>
          <cell r="B494">
            <v>2604</v>
          </cell>
          <cell r="C494" t="str">
            <v>Aplicacion Fondos de Terceros</v>
          </cell>
        </row>
        <row r="495">
          <cell r="A495">
            <v>201944187</v>
          </cell>
          <cell r="B495">
            <v>27</v>
          </cell>
          <cell r="C495" t="str">
            <v>APORTE FISCAL LIBRE</v>
          </cell>
        </row>
        <row r="496">
          <cell r="A496">
            <v>201944188</v>
          </cell>
          <cell r="B496">
            <v>28</v>
          </cell>
          <cell r="C496" t="str">
            <v>APORTE FISCAL PARA SERVICIO DE LA DEUDA</v>
          </cell>
        </row>
        <row r="497">
          <cell r="A497">
            <v>201944189</v>
          </cell>
          <cell r="B497">
            <v>29</v>
          </cell>
          <cell r="C497" t="str">
            <v>ADQUISICION DE ACTIVOS NO FINANCIEROS</v>
          </cell>
        </row>
        <row r="498">
          <cell r="A498">
            <v>201944190</v>
          </cell>
          <cell r="B498">
            <v>2901</v>
          </cell>
          <cell r="C498" t="str">
            <v>Terrenos</v>
          </cell>
        </row>
        <row r="499">
          <cell r="A499">
            <v>201944191</v>
          </cell>
          <cell r="B499">
            <v>2902</v>
          </cell>
          <cell r="C499" t="str">
            <v>Edificios</v>
          </cell>
        </row>
        <row r="500">
          <cell r="A500">
            <v>201944192</v>
          </cell>
          <cell r="B500">
            <v>2903</v>
          </cell>
          <cell r="C500" t="str">
            <v>Vehiculos</v>
          </cell>
        </row>
        <row r="501">
          <cell r="A501">
            <v>201944193</v>
          </cell>
          <cell r="B501">
            <v>2904</v>
          </cell>
          <cell r="C501" t="str">
            <v>Mobiliario y Otros</v>
          </cell>
        </row>
        <row r="502">
          <cell r="A502">
            <v>201944194</v>
          </cell>
          <cell r="B502">
            <v>2905</v>
          </cell>
          <cell r="C502" t="str">
            <v>Maquinas y Equipos</v>
          </cell>
        </row>
        <row r="503">
          <cell r="A503">
            <v>201944195</v>
          </cell>
          <cell r="B503">
            <v>2905001</v>
          </cell>
          <cell r="C503" t="str">
            <v>Maquinas y Equipos de Oficina</v>
          </cell>
        </row>
        <row r="504">
          <cell r="A504">
            <v>201944196</v>
          </cell>
          <cell r="B504">
            <v>2905002</v>
          </cell>
          <cell r="C504" t="str">
            <v>Maquinarias y Equipos para la Produccion</v>
          </cell>
        </row>
        <row r="505">
          <cell r="A505">
            <v>201944197</v>
          </cell>
          <cell r="B505">
            <v>2905999</v>
          </cell>
          <cell r="C505" t="str">
            <v>Otras</v>
          </cell>
        </row>
        <row r="506">
          <cell r="A506">
            <v>201944198</v>
          </cell>
          <cell r="B506">
            <v>2906</v>
          </cell>
          <cell r="C506" t="str">
            <v>Equipos Informaticos</v>
          </cell>
        </row>
        <row r="507">
          <cell r="A507">
            <v>201944199</v>
          </cell>
          <cell r="B507">
            <v>2906001</v>
          </cell>
          <cell r="C507" t="str">
            <v>Equipos Computacionales y Perifericos</v>
          </cell>
        </row>
        <row r="508">
          <cell r="A508">
            <v>201944441</v>
          </cell>
          <cell r="B508">
            <v>2906002</v>
          </cell>
          <cell r="C508" t="str">
            <v>Equipos de Comunicaciones para Redes Informaticas</v>
          </cell>
        </row>
        <row r="509">
          <cell r="A509">
            <v>201944442</v>
          </cell>
          <cell r="B509">
            <v>2907</v>
          </cell>
          <cell r="C509" t="str">
            <v>Programas Informaticos</v>
          </cell>
        </row>
        <row r="510">
          <cell r="A510">
            <v>201944443</v>
          </cell>
          <cell r="B510">
            <v>2907001</v>
          </cell>
          <cell r="C510" t="str">
            <v>Programas Computacionales</v>
          </cell>
        </row>
        <row r="511">
          <cell r="A511">
            <v>201944444</v>
          </cell>
          <cell r="B511">
            <v>2907002</v>
          </cell>
          <cell r="C511" t="str">
            <v>Sistemas de Informacion</v>
          </cell>
        </row>
        <row r="512">
          <cell r="A512">
            <v>201944445</v>
          </cell>
          <cell r="B512">
            <v>2999</v>
          </cell>
          <cell r="C512" t="str">
            <v>Otros Activos no Financieros</v>
          </cell>
        </row>
        <row r="513">
          <cell r="A513">
            <v>201944446</v>
          </cell>
          <cell r="B513">
            <v>30</v>
          </cell>
          <cell r="C513" t="str">
            <v>ADQUISICION DE ACTIVOS FINANCIEROS</v>
          </cell>
        </row>
        <row r="514">
          <cell r="A514">
            <v>201944447</v>
          </cell>
          <cell r="B514">
            <v>3001</v>
          </cell>
          <cell r="C514" t="str">
            <v>Compra de Titulos y Valores</v>
          </cell>
        </row>
        <row r="515">
          <cell r="A515">
            <v>201944448</v>
          </cell>
          <cell r="B515">
            <v>3001001</v>
          </cell>
          <cell r="C515" t="str">
            <v>Depositos a Plazo</v>
          </cell>
        </row>
        <row r="516">
          <cell r="A516">
            <v>201944449</v>
          </cell>
          <cell r="B516">
            <v>3001002</v>
          </cell>
          <cell r="C516" t="str">
            <v>Pactos de Retrocompra</v>
          </cell>
        </row>
        <row r="517">
          <cell r="A517">
            <v>201944450</v>
          </cell>
          <cell r="B517">
            <v>3001003</v>
          </cell>
          <cell r="C517" t="str">
            <v>Cuotas de Fondos Mutuos</v>
          </cell>
        </row>
        <row r="518">
          <cell r="A518">
            <v>201944451</v>
          </cell>
          <cell r="B518">
            <v>3001004</v>
          </cell>
          <cell r="C518" t="str">
            <v>Bonos o Pagares</v>
          </cell>
        </row>
        <row r="519">
          <cell r="A519">
            <v>201944452</v>
          </cell>
          <cell r="B519">
            <v>3001005</v>
          </cell>
          <cell r="C519" t="str">
            <v>Letras Hipotecarias</v>
          </cell>
        </row>
        <row r="520">
          <cell r="A520">
            <v>201944453</v>
          </cell>
          <cell r="B520">
            <v>3001999</v>
          </cell>
          <cell r="C520" t="str">
            <v>Otros</v>
          </cell>
        </row>
        <row r="521">
          <cell r="A521">
            <v>201944454</v>
          </cell>
          <cell r="B521">
            <v>3002</v>
          </cell>
          <cell r="C521" t="str">
            <v>Compra de Acciones y Participaciones de Capital</v>
          </cell>
        </row>
        <row r="522">
          <cell r="A522">
            <v>201944455</v>
          </cell>
          <cell r="B522">
            <v>3003</v>
          </cell>
          <cell r="C522" t="str">
            <v>Operaciones de Cambio</v>
          </cell>
        </row>
        <row r="523">
          <cell r="A523">
            <v>201944456</v>
          </cell>
          <cell r="B523">
            <v>3099</v>
          </cell>
          <cell r="C523" t="str">
            <v>Otros Activos Financieros</v>
          </cell>
        </row>
        <row r="524">
          <cell r="A524">
            <v>201944457</v>
          </cell>
          <cell r="B524">
            <v>31</v>
          </cell>
          <cell r="C524" t="str">
            <v>INICIATIVAS DE INVERSION</v>
          </cell>
        </row>
        <row r="525">
          <cell r="A525">
            <v>201944458</v>
          </cell>
          <cell r="B525">
            <v>3101</v>
          </cell>
          <cell r="C525" t="str">
            <v>Estudios Basicos</v>
          </cell>
        </row>
        <row r="526">
          <cell r="A526">
            <v>201944459</v>
          </cell>
          <cell r="B526">
            <v>3101001</v>
          </cell>
          <cell r="C526" t="str">
            <v>Gastos Administrativos</v>
          </cell>
        </row>
        <row r="527">
          <cell r="A527">
            <v>201944460</v>
          </cell>
          <cell r="B527">
            <v>3101002</v>
          </cell>
          <cell r="C527" t="str">
            <v>Consultorias</v>
          </cell>
        </row>
        <row r="528">
          <cell r="A528">
            <v>201944461</v>
          </cell>
          <cell r="B528">
            <v>3102</v>
          </cell>
          <cell r="C528" t="str">
            <v>Proyectos</v>
          </cell>
        </row>
        <row r="529">
          <cell r="A529">
            <v>201944462</v>
          </cell>
          <cell r="B529">
            <v>3102001</v>
          </cell>
          <cell r="C529" t="str">
            <v>Gastos Administrativos</v>
          </cell>
        </row>
        <row r="530">
          <cell r="A530">
            <v>201944463</v>
          </cell>
          <cell r="B530">
            <v>3102002</v>
          </cell>
          <cell r="C530" t="str">
            <v>Consultorias</v>
          </cell>
        </row>
        <row r="531">
          <cell r="A531">
            <v>201944464</v>
          </cell>
          <cell r="B531">
            <v>3102003</v>
          </cell>
          <cell r="C531" t="str">
            <v>Terrenos</v>
          </cell>
        </row>
        <row r="532">
          <cell r="A532">
            <v>201944465</v>
          </cell>
          <cell r="B532">
            <v>3102004</v>
          </cell>
          <cell r="C532" t="str">
            <v>Obras Civiles</v>
          </cell>
        </row>
        <row r="533">
          <cell r="A533">
            <v>201944466</v>
          </cell>
          <cell r="B533">
            <v>3102005</v>
          </cell>
          <cell r="C533" t="str">
            <v>Equipamiento</v>
          </cell>
        </row>
        <row r="534">
          <cell r="A534">
            <v>201944467</v>
          </cell>
          <cell r="B534">
            <v>3102006</v>
          </cell>
          <cell r="C534" t="str">
            <v>Equipos</v>
          </cell>
        </row>
        <row r="535">
          <cell r="A535">
            <v>201944468</v>
          </cell>
          <cell r="B535">
            <v>3102007</v>
          </cell>
          <cell r="C535" t="str">
            <v>Vehiculos</v>
          </cell>
        </row>
        <row r="536">
          <cell r="A536">
            <v>201944469</v>
          </cell>
          <cell r="B536">
            <v>3102999</v>
          </cell>
          <cell r="C536" t="str">
            <v>Otros Gastos</v>
          </cell>
        </row>
        <row r="537">
          <cell r="A537">
            <v>201944470</v>
          </cell>
          <cell r="B537">
            <v>3103</v>
          </cell>
          <cell r="C537" t="str">
            <v>Programas de Inversion</v>
          </cell>
        </row>
        <row r="538">
          <cell r="A538">
            <v>201944471</v>
          </cell>
          <cell r="B538">
            <v>3103001</v>
          </cell>
          <cell r="C538" t="str">
            <v>Gastos Administrativos</v>
          </cell>
        </row>
        <row r="539">
          <cell r="A539">
            <v>201944472</v>
          </cell>
          <cell r="B539">
            <v>3103002</v>
          </cell>
          <cell r="C539" t="str">
            <v>Consultorias</v>
          </cell>
        </row>
        <row r="540">
          <cell r="A540">
            <v>201944473</v>
          </cell>
          <cell r="B540">
            <v>3103003</v>
          </cell>
          <cell r="C540" t="str">
            <v>Contratacion del Programa</v>
          </cell>
        </row>
        <row r="541">
          <cell r="A541">
            <v>201944474</v>
          </cell>
          <cell r="B541">
            <v>32</v>
          </cell>
          <cell r="C541" t="str">
            <v>PRESTAMOS</v>
          </cell>
        </row>
        <row r="542">
          <cell r="A542">
            <v>201944475</v>
          </cell>
          <cell r="B542">
            <v>3201</v>
          </cell>
          <cell r="C542" t="str">
            <v>De Asistencia Social</v>
          </cell>
        </row>
        <row r="543">
          <cell r="A543">
            <v>201944476</v>
          </cell>
          <cell r="B543">
            <v>3202</v>
          </cell>
          <cell r="C543" t="str">
            <v>Hipotecarios</v>
          </cell>
        </row>
        <row r="544">
          <cell r="A544">
            <v>201944477</v>
          </cell>
          <cell r="B544">
            <v>3203</v>
          </cell>
          <cell r="C544" t="str">
            <v>Pignoraticios</v>
          </cell>
        </row>
        <row r="545">
          <cell r="A545">
            <v>201944478</v>
          </cell>
          <cell r="B545">
            <v>3204</v>
          </cell>
          <cell r="C545" t="str">
            <v>De Fomento</v>
          </cell>
        </row>
        <row r="546">
          <cell r="A546">
            <v>201944667</v>
          </cell>
          <cell r="B546">
            <v>3204002</v>
          </cell>
          <cell r="C546" t="str">
            <v>Municipalidades</v>
          </cell>
        </row>
        <row r="547">
          <cell r="A547">
            <v>201944479</v>
          </cell>
          <cell r="B547">
            <v>3205</v>
          </cell>
          <cell r="C547" t="str">
            <v>Medicos</v>
          </cell>
        </row>
        <row r="548">
          <cell r="A548">
            <v>201944480</v>
          </cell>
          <cell r="B548">
            <v>3206</v>
          </cell>
          <cell r="C548" t="str">
            <v>Por Anticipos a Contratistas</v>
          </cell>
        </row>
        <row r="549">
          <cell r="A549">
            <v>201944481</v>
          </cell>
          <cell r="B549">
            <v>3207</v>
          </cell>
          <cell r="C549" t="str">
            <v>Por Anticipos por Cambio de Residencia</v>
          </cell>
        </row>
        <row r="550">
          <cell r="A550">
            <v>201944482</v>
          </cell>
          <cell r="B550">
            <v>3209</v>
          </cell>
          <cell r="C550" t="str">
            <v>Por Ventas a Plazo</v>
          </cell>
        </row>
        <row r="551">
          <cell r="A551">
            <v>201944483</v>
          </cell>
          <cell r="B551">
            <v>33</v>
          </cell>
          <cell r="C551" t="str">
            <v>TRANSFERENCIAS DE CAPITAL</v>
          </cell>
        </row>
        <row r="552">
          <cell r="A552">
            <v>201944484</v>
          </cell>
          <cell r="B552">
            <v>3301</v>
          </cell>
          <cell r="C552" t="str">
            <v>Al Sector Privado</v>
          </cell>
        </row>
        <row r="553">
          <cell r="A553">
            <v>201944485</v>
          </cell>
          <cell r="B553">
            <v>3302</v>
          </cell>
          <cell r="C553" t="str">
            <v>Al Gobierno Central</v>
          </cell>
        </row>
        <row r="554">
          <cell r="A554">
            <v>201944578</v>
          </cell>
          <cell r="B554">
            <v>3302001</v>
          </cell>
          <cell r="C554" t="str">
            <v>Programa Inversion Regional Region I</v>
          </cell>
        </row>
        <row r="555">
          <cell r="A555">
            <v>201944579</v>
          </cell>
          <cell r="B555">
            <v>3302002</v>
          </cell>
          <cell r="C555" t="str">
            <v>Programa Inversion Regional Region II</v>
          </cell>
        </row>
        <row r="556">
          <cell r="A556">
            <v>201944580</v>
          </cell>
          <cell r="B556">
            <v>3302003</v>
          </cell>
          <cell r="C556" t="str">
            <v>Programa Inversion Regional Region III</v>
          </cell>
        </row>
        <row r="557">
          <cell r="A557">
            <v>201944581</v>
          </cell>
          <cell r="B557">
            <v>3302004</v>
          </cell>
          <cell r="C557" t="str">
            <v>Programa Inversion Regional Region IV</v>
          </cell>
        </row>
        <row r="558">
          <cell r="A558">
            <v>201944582</v>
          </cell>
          <cell r="B558">
            <v>3302005</v>
          </cell>
          <cell r="C558" t="str">
            <v>Programa Inversion Regional Region V</v>
          </cell>
        </row>
        <row r="559">
          <cell r="A559">
            <v>201944583</v>
          </cell>
          <cell r="B559">
            <v>3302006</v>
          </cell>
          <cell r="C559" t="str">
            <v>Programa Inversion Regional Region VI</v>
          </cell>
        </row>
        <row r="560">
          <cell r="A560">
            <v>201944584</v>
          </cell>
          <cell r="B560">
            <v>3302007</v>
          </cell>
          <cell r="C560" t="str">
            <v>Programa Inversion Regional Region VII</v>
          </cell>
        </row>
        <row r="561">
          <cell r="A561">
            <v>201944585</v>
          </cell>
          <cell r="B561">
            <v>3302008</v>
          </cell>
          <cell r="C561" t="str">
            <v>Programa Inversion Regional Region VIII</v>
          </cell>
        </row>
        <row r="562">
          <cell r="A562">
            <v>201944586</v>
          </cell>
          <cell r="B562">
            <v>3302009</v>
          </cell>
          <cell r="C562" t="str">
            <v>Programa Inversion Regional Region IX</v>
          </cell>
        </row>
        <row r="563">
          <cell r="A563">
            <v>201944587</v>
          </cell>
          <cell r="B563">
            <v>3302010</v>
          </cell>
          <cell r="C563" t="str">
            <v>Programa Inversion Regional Region X</v>
          </cell>
        </row>
        <row r="564">
          <cell r="A564">
            <v>201944658</v>
          </cell>
          <cell r="B564">
            <v>3302011</v>
          </cell>
          <cell r="C564" t="str">
            <v>Programa Inversion Regional Region XI</v>
          </cell>
        </row>
        <row r="565">
          <cell r="A565">
            <v>201944588</v>
          </cell>
          <cell r="B565">
            <v>3302012</v>
          </cell>
          <cell r="C565" t="str">
            <v>Programa Inversion Regional Region XII</v>
          </cell>
        </row>
        <row r="566">
          <cell r="A566">
            <v>201944642</v>
          </cell>
          <cell r="B566">
            <v>3302013</v>
          </cell>
          <cell r="C566" t="str">
            <v>Programa Inversion Regional Region Metropolitana</v>
          </cell>
        </row>
        <row r="567">
          <cell r="A567">
            <v>201944656</v>
          </cell>
          <cell r="B567">
            <v>3302014</v>
          </cell>
          <cell r="C567" t="str">
            <v>Programa Inversion Regional Region XIV</v>
          </cell>
        </row>
        <row r="568">
          <cell r="A568">
            <v>201944657</v>
          </cell>
          <cell r="B568">
            <v>3302015</v>
          </cell>
          <cell r="C568" t="str">
            <v>Programa Inversion Regional Region XV</v>
          </cell>
        </row>
        <row r="569">
          <cell r="A569">
            <v>201946403</v>
          </cell>
          <cell r="B569">
            <v>3302016</v>
          </cell>
          <cell r="C569" t="str">
            <v>Al Consejo Nacional De La Cultura Y Las Artes</v>
          </cell>
        </row>
        <row r="570">
          <cell r="A570">
            <v>201947079</v>
          </cell>
          <cell r="B570">
            <v>3302017</v>
          </cell>
          <cell r="C570" t="str">
            <v>Subsecretaria de Desarrollo Regional y Administrativo - Programa 03</v>
          </cell>
        </row>
        <row r="571">
          <cell r="A571">
            <v>201947104</v>
          </cell>
          <cell r="B571">
            <v>3302018</v>
          </cell>
          <cell r="C571" t="str">
            <v>Subsecretaria de Desarrollo Regional y Administrativo - Programa 01</v>
          </cell>
        </row>
        <row r="572">
          <cell r="A572">
            <v>201947167</v>
          </cell>
          <cell r="B572">
            <v>3302019</v>
          </cell>
          <cell r="C572" t="str">
            <v>Subsecretaria del Interior - Programa 01</v>
          </cell>
        </row>
        <row r="573">
          <cell r="A573">
            <v>201944486</v>
          </cell>
          <cell r="B573">
            <v>3303</v>
          </cell>
          <cell r="C573" t="str">
            <v>A Otras Entidades Publicas</v>
          </cell>
        </row>
        <row r="574">
          <cell r="A574">
            <v>201944643</v>
          </cell>
          <cell r="B574">
            <v>3303001</v>
          </cell>
          <cell r="C574" t="str">
            <v>Provision Fondo Nacional de Desarrollo Regional</v>
          </cell>
        </row>
        <row r="575">
          <cell r="A575">
            <v>201944644</v>
          </cell>
          <cell r="B575">
            <v>3303003</v>
          </cell>
          <cell r="C575" t="str">
            <v>Provision Infraestructura Educacional</v>
          </cell>
        </row>
        <row r="576">
          <cell r="A576">
            <v>201944645</v>
          </cell>
          <cell r="B576">
            <v>3303005</v>
          </cell>
          <cell r="C576" t="str">
            <v>Municipalidades (Programa Mejoramiento Urbano y Equipamiento Comunal)</v>
          </cell>
        </row>
        <row r="577">
          <cell r="A577">
            <v>201944650</v>
          </cell>
          <cell r="B577">
            <v>3303005001</v>
          </cell>
          <cell r="C577" t="str">
            <v>Emergencia</v>
          </cell>
        </row>
        <row r="578">
          <cell r="A578">
            <v>201944651</v>
          </cell>
          <cell r="B578">
            <v>3303005002</v>
          </cell>
          <cell r="C578" t="str">
            <v>Tradicional</v>
          </cell>
        </row>
        <row r="579">
          <cell r="A579">
            <v>201944652</v>
          </cell>
          <cell r="B579">
            <v>3303005003</v>
          </cell>
          <cell r="C579" t="str">
            <v>Emergencia FIE</v>
          </cell>
        </row>
        <row r="580">
          <cell r="A580">
            <v>201944646</v>
          </cell>
          <cell r="B580">
            <v>3303006</v>
          </cell>
          <cell r="C580" t="str">
            <v>Municipalidades (Programa Mejoramiento de Barrios)</v>
          </cell>
        </row>
        <row r="581">
          <cell r="A581">
            <v>201944571</v>
          </cell>
          <cell r="B581">
            <v>3303016</v>
          </cell>
          <cell r="C581" t="str">
            <v>Municipalidades - Sistema Informacion Financiera Municipal</v>
          </cell>
        </row>
        <row r="582">
          <cell r="A582">
            <v>201944647</v>
          </cell>
          <cell r="B582">
            <v>3303017</v>
          </cell>
          <cell r="C582" t="str">
            <v>Provision Programa Infraestructura Rural</v>
          </cell>
        </row>
        <row r="583">
          <cell r="A583">
            <v>201944659</v>
          </cell>
          <cell r="B583">
            <v>3303021</v>
          </cell>
          <cell r="C583" t="str">
            <v>Provision Puesta en Valor del Patrimonio</v>
          </cell>
        </row>
        <row r="584">
          <cell r="A584">
            <v>201944654</v>
          </cell>
          <cell r="B584">
            <v>3303024</v>
          </cell>
          <cell r="C584" t="str">
            <v>Provision Programa Fondo de Innovacion para la Competitividad</v>
          </cell>
        </row>
        <row r="585">
          <cell r="A585">
            <v>201944655</v>
          </cell>
          <cell r="B585">
            <v>3303025</v>
          </cell>
          <cell r="C585" t="str">
            <v>Provision de Apoyo a la Gestion Subnacional</v>
          </cell>
        </row>
        <row r="586">
          <cell r="A586">
            <v>201944565</v>
          </cell>
          <cell r="B586">
            <v>3303100</v>
          </cell>
          <cell r="C586" t="str">
            <v>Municipalidades (Fondo Recuperacion de Ciudades)</v>
          </cell>
        </row>
        <row r="587">
          <cell r="A587">
            <v>201944666</v>
          </cell>
          <cell r="B587">
            <v>3303110</v>
          </cell>
          <cell r="C587" t="str">
            <v>Municipalidades (Fondo de Incentivo al Mejoramiento de la Gestion Municipal)</v>
          </cell>
        </row>
        <row r="588">
          <cell r="A588">
            <v>201944648</v>
          </cell>
          <cell r="B588">
            <v>3303130</v>
          </cell>
          <cell r="C588" t="str">
            <v>Provision Programa Saneamiento Sanitario</v>
          </cell>
        </row>
        <row r="589">
          <cell r="A589">
            <v>201944649</v>
          </cell>
          <cell r="B589">
            <v>3303190</v>
          </cell>
          <cell r="C589" t="str">
            <v>Provision Programa Residuos Solidos</v>
          </cell>
        </row>
        <row r="590">
          <cell r="A590">
            <v>201944660</v>
          </cell>
          <cell r="B590">
            <v>3303418</v>
          </cell>
          <cell r="C590" t="str">
            <v>Provision Ley N 20.378 - Fondo de Apoyo Regional (FAR)</v>
          </cell>
        </row>
        <row r="591">
          <cell r="A591">
            <v>201944564</v>
          </cell>
          <cell r="B591">
            <v>3303421</v>
          </cell>
          <cell r="C591" t="str">
            <v>Provision Incorporacion Mayores Ingresos Propios</v>
          </cell>
        </row>
        <row r="592">
          <cell r="A592">
            <v>201944563</v>
          </cell>
          <cell r="B592">
            <v>3303423</v>
          </cell>
          <cell r="C592" t="str">
            <v>Provision Recuperacion Infraestructura Local Zona Centro Sur</v>
          </cell>
        </row>
        <row r="593">
          <cell r="A593">
            <v>201944562</v>
          </cell>
          <cell r="B593">
            <v>3303426</v>
          </cell>
          <cell r="C593" t="str">
            <v>Provision Energizacion</v>
          </cell>
        </row>
        <row r="594">
          <cell r="A594">
            <v>201947134</v>
          </cell>
          <cell r="B594">
            <v>3303500</v>
          </cell>
          <cell r="C594" t="str">
            <v>Recuperacion y Desarrollo Urbano de Valparaiso</v>
          </cell>
        </row>
        <row r="595">
          <cell r="A595">
            <v>201944487</v>
          </cell>
          <cell r="B595">
            <v>3304</v>
          </cell>
          <cell r="C595" t="str">
            <v>A Empresas Publicas no Financieras</v>
          </cell>
        </row>
        <row r="596">
          <cell r="A596">
            <v>201944488</v>
          </cell>
          <cell r="B596">
            <v>3305</v>
          </cell>
          <cell r="C596" t="str">
            <v>A Empresas Publicas Financieras</v>
          </cell>
        </row>
        <row r="597">
          <cell r="A597">
            <v>201944489</v>
          </cell>
          <cell r="B597">
            <v>3306</v>
          </cell>
          <cell r="C597" t="str">
            <v>A Gobiernos Extranjeros</v>
          </cell>
        </row>
        <row r="598">
          <cell r="A598">
            <v>201944490</v>
          </cell>
          <cell r="B598">
            <v>3307</v>
          </cell>
          <cell r="C598" t="str">
            <v>A Organismos Internacionales</v>
          </cell>
        </row>
        <row r="599">
          <cell r="A599">
            <v>201944491</v>
          </cell>
          <cell r="B599">
            <v>34</v>
          </cell>
          <cell r="C599" t="str">
            <v>SERVICIO DE LA DEUDA</v>
          </cell>
        </row>
        <row r="600">
          <cell r="A600">
            <v>201944492</v>
          </cell>
          <cell r="B600">
            <v>3401</v>
          </cell>
          <cell r="C600" t="str">
            <v>Amortizacion Deuda Interna</v>
          </cell>
        </row>
        <row r="601">
          <cell r="A601">
            <v>201944589</v>
          </cell>
          <cell r="B601">
            <v>3401001</v>
          </cell>
          <cell r="C601" t="str">
            <v>Rescate de Valores</v>
          </cell>
        </row>
        <row r="602">
          <cell r="A602">
            <v>201944590</v>
          </cell>
          <cell r="B602">
            <v>3401002</v>
          </cell>
          <cell r="C602" t="str">
            <v>Emprestitos</v>
          </cell>
        </row>
        <row r="603">
          <cell r="A603">
            <v>201944591</v>
          </cell>
          <cell r="B603">
            <v>3401003</v>
          </cell>
          <cell r="C603" t="str">
            <v>Creditos de Proveedores</v>
          </cell>
        </row>
        <row r="604">
          <cell r="A604">
            <v>201944592</v>
          </cell>
          <cell r="B604">
            <v>3402</v>
          </cell>
          <cell r="C604" t="str">
            <v>Amortizacion Deuda Externa</v>
          </cell>
        </row>
        <row r="605">
          <cell r="A605">
            <v>201944593</v>
          </cell>
          <cell r="B605">
            <v>3402001</v>
          </cell>
          <cell r="C605" t="str">
            <v>Rescate de Valores</v>
          </cell>
        </row>
        <row r="606">
          <cell r="A606">
            <v>201944594</v>
          </cell>
          <cell r="B606">
            <v>3402002</v>
          </cell>
          <cell r="C606" t="str">
            <v>Emprestitos</v>
          </cell>
        </row>
        <row r="607">
          <cell r="A607">
            <v>201944595</v>
          </cell>
          <cell r="B607">
            <v>3402003</v>
          </cell>
          <cell r="C607" t="str">
            <v>Creditos de Proveedores</v>
          </cell>
        </row>
        <row r="608">
          <cell r="A608">
            <v>201944596</v>
          </cell>
          <cell r="B608">
            <v>3403</v>
          </cell>
          <cell r="C608" t="str">
            <v>Intereses Deuda Interna</v>
          </cell>
        </row>
        <row r="609">
          <cell r="A609">
            <v>201944597</v>
          </cell>
          <cell r="B609">
            <v>3403001</v>
          </cell>
          <cell r="C609" t="str">
            <v>Por Emision de Valores</v>
          </cell>
        </row>
        <row r="610">
          <cell r="A610">
            <v>201944598</v>
          </cell>
          <cell r="B610">
            <v>3403002</v>
          </cell>
          <cell r="C610" t="str">
            <v>Emprestitos</v>
          </cell>
        </row>
        <row r="611">
          <cell r="A611">
            <v>201944599</v>
          </cell>
          <cell r="B611">
            <v>3403003</v>
          </cell>
          <cell r="C611" t="str">
            <v>Creditos de Proveedores</v>
          </cell>
        </row>
        <row r="612">
          <cell r="A612">
            <v>201944600</v>
          </cell>
          <cell r="B612">
            <v>3404</v>
          </cell>
          <cell r="C612" t="str">
            <v>Intereses Deuda Externa</v>
          </cell>
        </row>
        <row r="613">
          <cell r="A613">
            <v>201944601</v>
          </cell>
          <cell r="B613">
            <v>3404001</v>
          </cell>
          <cell r="C613" t="str">
            <v>Por Emision de Valores</v>
          </cell>
        </row>
        <row r="614">
          <cell r="A614">
            <v>201944602</v>
          </cell>
          <cell r="B614">
            <v>3404002</v>
          </cell>
          <cell r="C614" t="str">
            <v>Emprestitos</v>
          </cell>
        </row>
        <row r="615">
          <cell r="A615">
            <v>201944661</v>
          </cell>
          <cell r="B615">
            <v>3404002001</v>
          </cell>
          <cell r="C615" t="str">
            <v>Intereses Deuda Publica</v>
          </cell>
        </row>
        <row r="616">
          <cell r="A616">
            <v>201944662</v>
          </cell>
          <cell r="B616">
            <v>3404002002</v>
          </cell>
          <cell r="C616" t="str">
            <v>Comisiones Deuda Publica</v>
          </cell>
        </row>
        <row r="617">
          <cell r="A617">
            <v>201944603</v>
          </cell>
          <cell r="B617">
            <v>3404003</v>
          </cell>
          <cell r="C617" t="str">
            <v>Creditos de Proveedores</v>
          </cell>
        </row>
        <row r="618">
          <cell r="A618">
            <v>201944604</v>
          </cell>
          <cell r="B618">
            <v>3405</v>
          </cell>
          <cell r="C618" t="str">
            <v>Otros Gastos Financieros Deuda Interna</v>
          </cell>
        </row>
        <row r="619">
          <cell r="A619">
            <v>201944605</v>
          </cell>
          <cell r="B619">
            <v>3405001</v>
          </cell>
          <cell r="C619" t="str">
            <v>Por Emision de Valores</v>
          </cell>
        </row>
        <row r="620">
          <cell r="A620">
            <v>201944606</v>
          </cell>
          <cell r="B620">
            <v>3405002</v>
          </cell>
          <cell r="C620" t="str">
            <v>Emprestitos</v>
          </cell>
        </row>
        <row r="621">
          <cell r="A621">
            <v>201944607</v>
          </cell>
          <cell r="B621">
            <v>3405003</v>
          </cell>
          <cell r="C621" t="str">
            <v>Creditos de Proveedores</v>
          </cell>
        </row>
        <row r="622">
          <cell r="A622">
            <v>201944608</v>
          </cell>
          <cell r="B622">
            <v>3406</v>
          </cell>
          <cell r="C622" t="str">
            <v>Otros Gastos Financieros Deuda Externa</v>
          </cell>
        </row>
        <row r="623">
          <cell r="A623">
            <v>201944609</v>
          </cell>
          <cell r="B623">
            <v>3406001</v>
          </cell>
          <cell r="C623" t="str">
            <v>Por Emision de Valores</v>
          </cell>
        </row>
        <row r="624">
          <cell r="A624">
            <v>201944610</v>
          </cell>
          <cell r="B624">
            <v>3406002</v>
          </cell>
          <cell r="C624" t="str">
            <v>Emprestitos</v>
          </cell>
        </row>
        <row r="625">
          <cell r="A625">
            <v>201944611</v>
          </cell>
          <cell r="B625">
            <v>3406003</v>
          </cell>
          <cell r="C625" t="str">
            <v>Creditos de Proveedores</v>
          </cell>
        </row>
        <row r="626">
          <cell r="A626">
            <v>201944612</v>
          </cell>
          <cell r="B626">
            <v>3407</v>
          </cell>
          <cell r="C626" t="str">
            <v>Deuda Flotante</v>
          </cell>
        </row>
        <row r="627">
          <cell r="A627">
            <v>201944613</v>
          </cell>
          <cell r="B627">
            <v>35</v>
          </cell>
          <cell r="C627" t="str">
            <v>SALDO FINAL DE CAJA</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OnLoad="1" refreshedBy="Juan Ignacio Cancino Pacheco" refreshedDate="45204.870553009256" createdVersion="6" refreshedVersion="5" minRefreshableVersion="3" recordCount="274">
  <cacheSource type="worksheet">
    <worksheetSource ref="B8:R282" sheet="CONSOLIDADO"/>
  </cacheSource>
  <cacheFields count="17">
    <cacheField name="Subtitulo" numFmtId="0">
      <sharedItems containsBlank="1" containsMixedTypes="1" containsNumber="1" containsInteger="1" minValue="22" maxValue="35" count="15">
        <s v="Sub."/>
        <s v="21."/>
        <m/>
        <n v="22"/>
        <n v="23"/>
        <n v="24"/>
        <s v="  "/>
        <n v="25"/>
        <n v="26"/>
        <n v="29"/>
        <n v="30"/>
        <n v="32"/>
        <n v="33"/>
        <n v="34"/>
        <n v="35"/>
      </sharedItems>
    </cacheField>
    <cacheField name="Item." numFmtId="0">
      <sharedItems containsBlank="1" containsMixedTypes="1" containsNumber="1" containsInteger="1" minValue="1" maxValue="99"/>
    </cacheField>
    <cacheField name="Asig." numFmtId="0">
      <sharedItems containsBlank="1" containsMixedTypes="1" containsNumber="1" containsInteger="1" minValue="6" maxValue="6"/>
    </cacheField>
    <cacheField name="Sub" numFmtId="168">
      <sharedItems containsBlank="1" containsMixedTypes="1" containsNumber="1" containsInteger="1" minValue="1" maxValue="999"/>
    </cacheField>
    <cacheField name="." numFmtId="0">
      <sharedItems containsBlank="1" containsMixedTypes="1" containsNumber="1" minValue="34.06" maxValue="34.06"/>
    </cacheField>
    <cacheField name="nombre" numFmtId="0">
      <sharedItems count="244">
        <s v="CONSOLIDADO PROGRAMAS"/>
        <s v="GASTOS EN PERSONAL"/>
        <s v="Personal de Planta"/>
        <s v="Sueldos y Sobresueldos"/>
        <s v="Sueldo Bases"/>
        <s v="Asignación de Antigüedad"/>
        <s v="Asignación Profesional"/>
        <s v="Asig. Del DL N° 3,551, de 1981"/>
        <s v="Gastos de Representación"/>
        <s v="Asignación de Dirección Superior"/>
        <s v="Asignaciones Compensatorias"/>
        <s v="Asignaciones Sustitutivas"/>
        <s v="Componente Base Asignación de Desempeño"/>
        <s v="Asignación de Responsabilidad Superior"/>
        <s v="Aplicación inciso 5to del Artículo 1 de la Ley N° "/>
        <s v="Otras Asignaciones"/>
        <s v="Aportes del Empleador"/>
        <s v="A Servicios de Bienestar"/>
        <s v="Otras Cotizaciones Previsionales"/>
        <s v="Asignaciones por Desempeño"/>
        <s v="Desempeño Institucional"/>
        <s v="Desempeño Colectivo"/>
        <s v="Desempeño Individual"/>
        <s v="Remuneraciones Variables"/>
        <s v="Asignación por Desempeño de Funciones Críticas"/>
        <s v="Trabajos Extraordinarios"/>
        <s v="Comisiones de Servicios en el País"/>
        <s v="Comisiones de Servicios en el Exterior"/>
        <s v="Aguinaldos"/>
        <s v="Bono de Escolaridad"/>
        <s v="Bonos Especiales "/>
        <s v="Personal a Contrata"/>
        <s v="sueldos base"/>
        <s v="Asignación de Zona"/>
        <s v="Asignaciónes del DL N° 2.411, de 1978"/>
        <s v="Asignaciónes del DL N° 3.551, de 1981"/>
        <s v="Asignación Zonas Extremas"/>
        <s v="Asignación de Responsabilidad Superior "/>
        <s v="Otras Remuneraciones "/>
        <s v="Honorarios a Suma Alzada - Personas Naturales"/>
        <s v="Honorarios a Suma Alzada-Honorarios"/>
        <s v="Honorarios a Suma Alzada-Viaticos"/>
        <s v="Suplencias y Reemplazos"/>
        <s v="Alumnos en Práctica"/>
        <s v="BIENES Y SERVICIOS DE CONSUMO"/>
        <s v="Textiles, Vestuario y Calzado"/>
        <s v="Textiles y Acabados Textiles"/>
        <s v="Vestuario, Accesorios y Prendas Diversas"/>
        <s v="Calzado"/>
        <s v="Combustibles y Lubricantes"/>
        <s v="Para Vehículos "/>
        <s v="Materiales de Uso o Consumo"/>
        <s v="Materiales de Oficina "/>
        <s v="Productos Químicos"/>
        <s v="Productos Farmacéuticos"/>
        <s v="Materiales y Útiles Quirúrgicos"/>
        <s v="Materiales y útiles de Aseo "/>
        <s v="Menaje para Oficina, Casino y Otros "/>
        <s v="Insumos, Repuestos y Accesorios Computacionales"/>
        <s v="Materiales para Mantenimiento y Reparaciones de Inmuebles"/>
        <s v="Repuestos y Accesorios para Mantenimiento y Reparaciones de Vehículos"/>
        <s v="Otros Materiales, Repuestos y Útiles Diversos para Mantenimiento "/>
        <s v="Equipos Menores "/>
        <s v="Otros "/>
        <s v="Servicios Básicos"/>
        <s v="Electricidad"/>
        <s v="Agua"/>
        <s v="Gas"/>
        <s v="Correo"/>
        <s v="Telefonía Fija"/>
        <s v="Telefonía Celular"/>
        <s v="Acceso a Internet"/>
        <s v="Enlaces de Telecomunicaciones"/>
        <s v="Mantenimiento y Reparaciones."/>
        <s v="Mantenimiento y Reparación de Edificaciones."/>
        <s v="Mantenimiento y Reparación de Vehículos"/>
        <s v="Mantenimiento y Reparación de Máquinas y Equipos d"/>
        <s v="Mantenimiento y Reparación de Mobiliarios y Otros."/>
        <s v="Mantenimiento y Reparación de Máquinas y Equipos de Oficina"/>
        <s v="Mantenimiento y Reparación de Equipos Informáticos"/>
        <s v="Otros"/>
        <s v="Publicidad y Difusión"/>
        <s v="Servicios de Publicidad"/>
        <s v="Servicios de Impresión"/>
        <s v="Servicios Generales"/>
        <s v="Servicios de Aseo"/>
        <s v="Servicios de Vigilancia"/>
        <s v="Pasajes, Fletes y Bodegaje."/>
        <s v="Salas Cunas y/o Jardines Infantiles."/>
        <s v="Servicios de Suscripción y Similares"/>
        <s v="Arriendo"/>
        <s v="Arriendo de Edificios"/>
        <s v="Arriendo de Máquinas  y Equipos "/>
        <s v="Arriendo de Equipos Informaticos"/>
        <s v="Servicios Financieros y de Seguros "/>
        <s v="Primas y Gastos de Seguros "/>
        <s v="Gastos Bancarios"/>
        <s v="Servicios Técnicos y Profesionales"/>
        <s v="Estudios e Investigaciones"/>
        <s v="Cursos de Capacitación"/>
        <s v="Sercicios Informáticos"/>
        <s v="Otros Gastos en Bienes y Servicios de Consumo"/>
        <s v="Gastos Menores"/>
        <s v=" Gastos de Representación, Protocolo y Ceremonial"/>
        <s v="PRESTACIONES DE SEGURIDAD SOCIAL"/>
        <s v=" Prestaciones Sociales del Empleador"/>
        <s v="Fondo Retiro Funcionarios Públicos Ley N° 19.882"/>
        <s v="TRANSFERENCIAS CORRIENTES "/>
        <s v=" Al Sector Privado"/>
        <s v="Fundación para la Promoción y Desarrollo de la Muj"/>
        <s v="Universidad del Desarrollo"/>
        <s v="Fundación Chile Descentralizado Desarrollado"/>
        <s v="Universidad Adolfo Ibañez - Índice de bienestar "/>
        <s v="Universidad Católica-Centro Latinoamericano"/>
        <s v="Fortalecimiento y Apoyo Técnico a los Gobiernos Re"/>
        <s v="Fortalecimiento de Capacidades de Intervención en "/>
        <s v=" Al Gobierno Central "/>
        <s v="A la Dirección de Arquitectura - MOP"/>
        <s v="Al Consejo de Monumentos Nacionales"/>
        <s v="Al Servicio Nacional del Patrimonio Cultural"/>
        <s v="Programa Gastos de Funcionamiento Región de Tarapacá"/>
        <s v="Programa Gastos de Funcionamiento Región de Antofa"/>
        <s v="Programa Gastos de Funcionamiento Región de Atacama"/>
        <s v="Programa Gastos de Funcionamiento Región de Coquimbo"/>
        <s v="Programa Gasto de Funcionamiento Región de Valparaíso"/>
        <s v="Programa Gasto de Funcionamiento Región del Libertador B. O'Higgins"/>
        <s v="Programa Gasto de Funcionamiento Región del Maule"/>
        <s v="Programa Gastos de Funcionamiento Región del Bio Bio"/>
        <s v="Programa Gastos de Funcionamiento Región de La Araucanía"/>
        <s v="Programa Gasto de Funcionamiento Región de Los Lagos"/>
        <s v="Programa Gastos de Funcionamiento Región de Aysén del General Carlos Ibañez del Campo "/>
        <s v="Programa Gasto de Funcionamiento Región de Magallanes"/>
        <s v="Programa Gasto de Funcionamiento Región Metropolitana"/>
        <s v="Programa Gastos de Funcionamiento Región de Los Ríos"/>
        <s v="Programa Gastos de Funcionamiento Región de Arica Parinacota"/>
        <s v="Programa Gastos de Funcionamiento Región de Ñuble"/>
        <s v="Servicio Nacional de Prevención y Respuesta Ante D"/>
        <s v="A la Subsecretaría de Bienes Nacionales"/>
        <s v=" A Otras Entidades Públicas "/>
        <s v="Capacitacion en Desarrollo Regional y Comunal"/>
        <s v="Programa Academia Capacitación Muncipal y Regional"/>
        <s v="Aceleración de Carteras de Planes de Zonas Rezagad"/>
        <s v="Fondo Concursable Becas - Ley N°20.742"/>
        <s v="Programa de Apoyo a la Acreditación de Calidad de Servicios Municipales "/>
        <s v="Municipalidades (Compensación por Predios Exentos) "/>
        <s v="Municipalidades (Programa Esterilización y Atención Sanitaria de Animales de Compañía)"/>
        <s v="Oficina Revitalización de Barrios e Infraestructural Patrimonial"/>
        <s v="Universidad de Chile - Fortalecimiento Organización"/>
        <s v="Oficina de Donación Española"/>
        <s v="Municipalidades (Prevención y Mitigación de Riesgos)"/>
        <s v="Programa de Modernización Municipal"/>
        <s v=" A Organismos Internacionales"/>
        <s v="A Comisión Económica Para América Latina y el Caribe"/>
        <s v="A Banco Interamericano de Desarrollo (BID)"/>
        <s v="A Banco Mundial"/>
        <s v="A Organización de las Naciones Unidas para la Alimentación"/>
        <s v="A Facultad Latinoamericana de Ciencias Sociales"/>
        <s v="INGRESOS AL FISCO"/>
        <s v="Otros Ingresos al Fisco"/>
        <s v="Integros por Recuperación de Licencias Médicas"/>
        <s v="OTROS GASTOS CORRIENTES"/>
        <s v="Devoluciones"/>
        <s v="ADQUISICIÓN DE ACTIVOS NO FINANCIEROS"/>
        <s v="Vehículo"/>
        <s v="Mobiliario y Otros"/>
        <s v="Equipos Computacionales y Periféricos"/>
        <s v="Programas Informáticos"/>
        <s v="ADQUISICIÓN DE ACTIVOS FINANCIEROS "/>
        <s v="PRESTAMOS "/>
        <s v="De Fomento"/>
        <s v="Municipalidades"/>
        <s v="Aporte Reembolsable Especial a Municipalidades"/>
        <s v="Aporte Reembolsable Compensación Ingresos Propios "/>
        <s v="TRANSFERENCIAS DE CAPITAL "/>
        <s v="Al Gobierno Central"/>
        <s v="Programa Inversión Regional Región I  Tarapacá"/>
        <s v="Programa Inversión Regional Región II  Antofagasta"/>
        <s v="Programa Inversión Regional Región III Atacama"/>
        <s v="Programa Inversión Regional Región IV Coquimbo"/>
        <s v="Programa Inversión Regional Región V Valparaíso"/>
        <s v="Programa Inversión Regional Región VI del Libertador "/>
        <s v="Programa Inversión Regional Región VII  Maule"/>
        <s v="Programa Inversión Regional Región VIII  Bío Bío"/>
        <s v="Programa Inversión Regional Región IX La Araucanía"/>
        <s v="Programa Inversión Regional Región X  Los Lagos"/>
        <s v="Programa Inversión Regional Región XI  Aysén"/>
        <s v="Programa Inversión Regional Región XII Magallanes "/>
        <s v="Programa Inversión Regional Región Metropolitana"/>
        <s v="Programa Inversión Regional Región XIV Los Ríos"/>
        <s v="Programa Inversión Regional Región XV  Arica y Parinacota"/>
        <s v="Programa Inversión Regional Región XVI  Ñuble"/>
        <s v="Subsecretaría de Desarrollo Regional y Administrativo"/>
        <s v="Gobiernos Regionales - Programas de Inversión"/>
        <s v="Al Serviu VIII"/>
        <s v="Servicio Nacional del Patrimonio Cultural"/>
        <s v="Programa Financiamiento Gobiernos Regionales"/>
        <s v="A Otras Entidades Publicas"/>
        <s v="Provisión Fondo Nacional de Desarrollo Regional"/>
        <s v="Municipalidades (PMU)"/>
        <s v="Tradicional (PMU)"/>
        <s v="Emergencia (PMU)"/>
        <s v="Cuenca del Carbón (PMU)"/>
        <s v="Emergencia S.P.D."/>
        <s v="Municipalidades (PMB)"/>
        <s v="Asistencia Técnica (PMB)"/>
        <s v="Terrenos (PMB)"/>
        <s v="Otras Transferencias (PMB)"/>
        <s v="Estudios y diseños (PMB)"/>
        <s v="IRAL Inversión Regional de Asignación Local (PMB)"/>
        <s v="Obras (PMB)"/>
        <s v="3303010 Programa de Mejoramiento Urbano y Equipamiento Com"/>
        <s v="3303017 Provisión Programa Infraestructura Rural"/>
        <s v="3303020 Programa de Mejoramiento de Barrios FET-Covid-19"/>
        <s v="3303021 Provisión Puesta en Valor del Patrimonio"/>
        <s v="3303025 Provisión de Apoyo a la Gestión Subnacional"/>
        <s v="Fondo Recuperación de  (FRC)"/>
        <s v="3303110 Municipalidades (Fondo de Incentivo al Mejoramient"/>
        <s v="3303111 Municipalidades (Progr. Revital de Barrios e Infra"/>
        <s v="Municipalidades (Programa Recuperación Espacios de"/>
        <s v="Provisión Programa Saneamiento Sanitario"/>
        <s v="Provisión Programa Residuos Sólidos"/>
        <s v="Provisión Ley N° 20.378 - Fondo de Apoyo Regional "/>
        <s v="Provisión Incorporación Mayores Ingresos Propios"/>
        <s v="Provisión Energización"/>
        <s v="Provisión Regiones Extremas"/>
        <s v="Provisión Territorios Rezagados"/>
        <s v="Fondo de Desarrollo Local"/>
        <s v="Provisión Programas de Apoyo al Empleo"/>
        <s v="Fondo de Apoyo Contingencia Regional"/>
        <s v="Fondo de Equidad Interregional"/>
        <s v="Municipalidades (Programa de Modernización)"/>
        <s v="Sistema Información Financiera Municipal"/>
        <s v="Unidad de Gobierno Electrónico Local"/>
        <s v="Sistema Información Municipal (SIM )"/>
        <s v="Plataforma Unidad de RRHH"/>
        <s v="Servicios SINIM"/>
        <s v="SERVICIO DE LA DEUDA"/>
        <s v="Amortizacion de la Deuda Externa"/>
        <s v="Intereses Deuda Externa"/>
        <s v="Otros Gastos Financieros Deuda Externa"/>
        <s v="Deuda Flotante"/>
        <s v="SALDO FINAL DE CAJA"/>
        <s v="3303001 Provisión Fondo Nacional de Desarrollo Regional" u="1"/>
        <s v="Fondo de Desarrollo Municipal (PMU - PMB - FRC)" u="1"/>
      </sharedItems>
    </cacheField>
    <cacheField name="Presupuesto Inicial 2022 M$" numFmtId="3">
      <sharedItems containsMixedTypes="1" containsNumber="1" minValue="0" maxValue="431131509.99800003"/>
    </cacheField>
    <cacheField name="Presupuesto  Vigente 2022 M$" numFmtId="3">
      <sharedItems containsString="0" containsBlank="1" containsNumber="1" minValue="0" maxValue="456278382"/>
    </cacheField>
    <cacheField name="Ejecución M$" numFmtId="3">
      <sharedItems containsBlank="1" containsMixedTypes="1" containsNumber="1" minValue="0" maxValue="274294049.25700003"/>
    </cacheField>
    <cacheField name="% de Ejecución  2022 M$" numFmtId="172">
      <sharedItems containsMixedTypes="1" containsNumber="1" minValue="0" maxValue="20.422634949171972"/>
    </cacheField>
    <cacheField name="Presupuesto comprometido M$" numFmtId="0">
      <sharedItems containsString="0" containsBlank="1" containsNumber="1" minValue="0" maxValue="306236187.54900002"/>
    </cacheField>
    <cacheField name="% Presupuesto comprometido M$" numFmtId="172">
      <sharedItems containsSemiMixedTypes="0" containsString="0" containsNumber="1" minValue="0" maxValue="20.422634949171972"/>
    </cacheField>
    <cacheField name="Saldo disponible M$" numFmtId="0">
      <sharedItems containsString="0" containsBlank="1" containsNumber="1" minValue="-3219398.8560000001" maxValue="150042194.45100001"/>
    </cacheField>
    <cacheField name="% Saldo disponible " numFmtId="172">
      <sharedItems containsSemiMixedTypes="0" containsString="0" containsNumber="1" minValue="-19.422634949171972" maxValue="1"/>
    </cacheField>
    <cacheField name="Presupuesto  Vigente  M$" numFmtId="3">
      <sharedItems containsSemiMixedTypes="0" containsString="0" containsNumber="1" minValue="0" maxValue="431180288.12763"/>
    </cacheField>
    <cacheField name="Ejecución  M$" numFmtId="3">
      <sharedItems containsSemiMixedTypes="0" containsString="0" containsNumber="1" minValue="0" maxValue="232908852.095772"/>
    </cacheField>
    <cacheField name="%                            Ejecución 2021 M$" numFmtId="172">
      <sharedItems containsMixedTypes="1" containsNumber="1" minValue="0" maxValue="7.4628100253263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Juan Ignacio Cancino Pacheco" refreshedDate="45204.870553587964" createdVersion="6" refreshedVersion="5" minRefreshableVersion="3" recordCount="4">
  <cacheSource type="worksheet">
    <worksheetSource ref="B288:S292" sheet="CONSOLIDADO"/>
  </cacheSource>
  <cacheFields count="18">
    <cacheField name="1" numFmtId="0">
      <sharedItems count="6">
        <s v="PROGRAMA 01 - SUBSECRETARIA "/>
        <s v="PROGRAMA 02 - SUBNACIONAL"/>
        <s v="PROGRAMA 03 - DESARROLLO LOCAL"/>
        <s v="PROGRAMA 05 - TRANSFERENCIA GORES"/>
        <s v="PROGRAMA 50 - FET COVID-19" u="1"/>
        <s v="PROGRAMA 06 - PROGRAMAS DE CONVERGENCIA" u="1"/>
      </sharedItems>
    </cacheField>
    <cacheField name="." numFmtId="0">
      <sharedItems containsNonDate="0" containsString="0" containsBlank="1"/>
    </cacheField>
    <cacheField name=".2" numFmtId="0">
      <sharedItems containsNonDate="0" containsString="0" containsBlank="1"/>
    </cacheField>
    <cacheField name=".3" numFmtId="0">
      <sharedItems containsNonDate="0" containsString="0" containsBlank="1"/>
    </cacheField>
    <cacheField name=".4" numFmtId="0">
      <sharedItems containsNonDate="0" containsString="0" containsBlank="1"/>
    </cacheField>
    <cacheField name=".5" numFmtId="0">
      <sharedItems containsNonDate="0" containsString="0" containsBlank="1"/>
    </cacheField>
    <cacheField name="Presupuesto Inicial 2022 M$" numFmtId="3">
      <sharedItems containsSemiMixedTypes="0" containsString="0" containsNumber="1" minValue="7798353" maxValue="271469048"/>
    </cacheField>
    <cacheField name="Presupuesto  Vigente 2022 M$" numFmtId="3">
      <sharedItems containsSemiMixedTypes="0" containsString="0" containsNumber="1" containsInteger="1" minValue="8243810" maxValue="371478226"/>
    </cacheField>
    <cacheField name="Ejecución M$" numFmtId="3">
      <sharedItems containsSemiMixedTypes="0" containsString="0" containsNumber="1" minValue="3398639.63" maxValue="225251512.493"/>
    </cacheField>
    <cacheField name="% de Ejecución  2022 M$" numFmtId="172">
      <sharedItems containsSemiMixedTypes="0" containsString="0" containsNumber="1" minValue="0.32997146125438709" maxValue="0.81954736795355865"/>
    </cacheField>
    <cacheField name="Presupuesto comprometido M$" numFmtId="0">
      <sharedItems containsSemiMixedTypes="0" containsString="0" containsNumber="1" minValue="5342523.6840000004" maxValue="253919674.15099999"/>
    </cacheField>
    <cacheField name="% Presupuesto comprometido M$" numFmtId="172">
      <sharedItems containsSemiMixedTypes="0" containsString="0" containsNumber="1" minValue="0.32997146125438709" maxValue="0.85149544455740789"/>
    </cacheField>
    <cacheField name="Saldo disponible M$" numFmtId="41">
      <sharedItems containsSemiMixedTypes="0" containsString="0" containsNumber="1" minValue="2901286.3159999996" maxValue="117558551.84900001"/>
    </cacheField>
    <cacheField name="% Saldo disponible " numFmtId="172">
      <sharedItems containsSemiMixedTypes="0" containsString="0" containsNumber="1" minValue="0.14850455544259211" maxValue="0.67002853874561297"/>
    </cacheField>
    <cacheField name="Presupuesto  Vigente M$" numFmtId="3">
      <sharedItems containsSemiMixedTypes="0" containsString="0" containsNumber="1" minValue="9893319.7399999984" maxValue="311956056.67399997"/>
    </cacheField>
    <cacheField name="Ejecución al   M$" numFmtId="3">
      <sharedItems containsSemiMixedTypes="0" containsString="0" containsNumber="1" minValue="1587151.4810000001" maxValue="202008714.49826798"/>
    </cacheField>
    <cacheField name="%                            Ejecución    2021 M$" numFmtId="172">
      <sharedItems containsSemiMixedTypes="0" containsString="0" containsNumber="1" minValue="2.1772148765050525E-2" maxValue="0.70002092991079556"/>
    </cacheField>
    <cacheField name="Saldo por ejecutar M$" numFmtId="41">
      <sharedItems containsSemiMixedTypes="0" containsString="0" containsNumber="1" minValue="0" maxValue="28668161.65799999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4">
  <r>
    <x v="0"/>
    <s v="Item."/>
    <s v="Asig."/>
    <s v="Sub"/>
    <s v="."/>
    <x v="0"/>
    <n v="431131509.99800003"/>
    <n v="456278382"/>
    <n v="274294049.25700003"/>
    <n v="0.60115504060194558"/>
    <n v="306236187.54900002"/>
    <n v="0.67116085186126573"/>
    <n v="150042194.45100001"/>
    <n v="0.32883914813873433"/>
    <n v="431180288.12763"/>
    <n v="232908852.095772"/>
    <n v="0.5401658158056396"/>
  </r>
  <r>
    <x v="1"/>
    <m/>
    <m/>
    <m/>
    <m/>
    <x v="1"/>
    <n v="17419021"/>
    <n v="17374205"/>
    <n v="13594888.455"/>
    <n v="0.78247542578207174"/>
    <n v="13594888.455"/>
    <n v="0.78247542578207174"/>
    <n v="3779316.5450000004"/>
    <n v="0.21752457421792826"/>
    <n v="16432199.475"/>
    <n v="12571039.013038998"/>
    <n v="0.76502473282195826"/>
  </r>
  <r>
    <x v="2"/>
    <s v="01."/>
    <m/>
    <m/>
    <m/>
    <x v="2"/>
    <n v="1085491.78"/>
    <n v="1109233.8419999999"/>
    <n v="628913.06400000001"/>
    <n v="0.56697969371908152"/>
    <n v="628913.06400000001"/>
    <n v="0.56697969371908152"/>
    <n v="480320.77799999993"/>
    <n v="0.43302030628091848"/>
    <n v="973920.43417199992"/>
    <n v="654756.49871299998"/>
    <n v="0.67228951743851206"/>
  </r>
  <r>
    <x v="2"/>
    <m/>
    <s v="001."/>
    <m/>
    <m/>
    <x v="3"/>
    <n v="769096.17999999993"/>
    <n v="792328.17999999993"/>
    <n v="473757.12199999992"/>
    <n v="0.59793042070016988"/>
    <n v="473757.12199999992"/>
    <n v="0.59793042070016988"/>
    <n v="318571.05799999996"/>
    <n v="0.40206957929983"/>
    <n v="707179.65226599993"/>
    <n v="490971.65699699998"/>
    <n v="0.69426722817008446"/>
  </r>
  <r>
    <x v="2"/>
    <m/>
    <m/>
    <n v="1"/>
    <s v="21.01.001.001"/>
    <x v="4"/>
    <n v="144602.905"/>
    <n v="144602.905"/>
    <n v="83593.831999999995"/>
    <n v="0.57809234192079328"/>
    <n v="83593.831999999995"/>
    <n v="0.57809234192079328"/>
    <n v="61009.072999999997"/>
    <n v="0.4219076580792066"/>
    <n v="132840.44187000001"/>
    <n v="91472.658396999992"/>
    <n v="0.68859044060179164"/>
  </r>
  <r>
    <x v="2"/>
    <m/>
    <m/>
    <n v="2"/>
    <s v="21.01.001.002"/>
    <x v="5"/>
    <n v="18480.027999999998"/>
    <n v="18480.027999999998"/>
    <n v="11840.041000000001"/>
    <n v="0.64069388855904341"/>
    <n v="11840.040999999999"/>
    <n v="0.6406938885590433"/>
    <n v="6639.9870000000001"/>
    <n v="0.3593061114409567"/>
    <n v="17054.645503"/>
    <n v="12176.857402999998"/>
    <n v="0.71399064852201277"/>
  </r>
  <r>
    <x v="2"/>
    <m/>
    <m/>
    <n v="3"/>
    <s v="21.01.001.003"/>
    <x v="6"/>
    <n v="100269.412"/>
    <n v="100269.412"/>
    <n v="63522.558000000005"/>
    <n v="0.63351880431890839"/>
    <n v="63522.557999999997"/>
    <n v="0.63351880431890839"/>
    <n v="36746.853999999999"/>
    <n v="0.36648119568109166"/>
    <n v="92535.537214999989"/>
    <n v="66518.384732999984"/>
    <n v="0.71884150386947088"/>
  </r>
  <r>
    <x v="2"/>
    <m/>
    <m/>
    <n v="7"/>
    <s v="21.01.001.007"/>
    <x v="7"/>
    <n v="9704.8359999999993"/>
    <n v="9704.8359999999993"/>
    <n v="7005.6989999999996"/>
    <n v="0.72187711363695384"/>
    <n v="7005.6989999999996"/>
    <n v="0.72187711363695384"/>
    <n v="2699.1370000000002"/>
    <n v="0.27812288636304627"/>
    <n v="8919.0876809999991"/>
    <n v="6649.1606699999984"/>
    <n v="0.74549784774113814"/>
  </r>
  <r>
    <x v="2"/>
    <m/>
    <m/>
    <n v="12"/>
    <s v="21.01.001.012"/>
    <x v="8"/>
    <n v="3624.1959999999999"/>
    <n v="3624.1959999999999"/>
    <n v="1597.1940000000002"/>
    <n v="0.44070298626233245"/>
    <n v="1597.194"/>
    <n v="0.4407029862623324"/>
    <n v="2027.002"/>
    <n v="0.5592970137376676"/>
    <n v="3344.6582789999998"/>
    <n v="1697.8172219999999"/>
    <n v="0.50762053410957741"/>
  </r>
  <r>
    <x v="2"/>
    <m/>
    <m/>
    <n v="13"/>
    <s v="21.01.001.013"/>
    <x v="9"/>
    <n v="63244.34"/>
    <n v="63244.34"/>
    <n v="37735.716999999997"/>
    <n v="0.59666551979196869"/>
    <n v="37735.716999999997"/>
    <n v="0.59666551979196869"/>
    <n v="25508.623"/>
    <n v="0.40333448020803125"/>
    <n v="58366.244111"/>
    <n v="40054.880676999994"/>
    <n v="0.68626791542084253"/>
  </r>
  <r>
    <x v="2"/>
    <m/>
    <m/>
    <n v="14"/>
    <s v="21.01.001.014"/>
    <x v="10"/>
    <n v="94261.555999999997"/>
    <n v="94261.555999999997"/>
    <n v="57338.796000000002"/>
    <n v="0.60829460527895385"/>
    <n v="57338.796000000002"/>
    <n v="0.60829460527895385"/>
    <n v="36922.76"/>
    <n v="0.39170539472104621"/>
    <n v="86991.072719999996"/>
    <n v="61932.318911999995"/>
    <n v="0.7119387883782381"/>
  </r>
  <r>
    <x v="2"/>
    <m/>
    <m/>
    <n v="15"/>
    <s v="21.01.001.015"/>
    <x v="11"/>
    <n v="234364.65100000001"/>
    <n v="234364.65100000001"/>
    <n v="141086.11199999999"/>
    <n v="0.60199399268620923"/>
    <n v="141086.11199999999"/>
    <n v="0.60199399268620923"/>
    <n v="93278.539000000004"/>
    <n v="0.39800600731379066"/>
    <n v="216287.88290799997"/>
    <n v="152497.79397499998"/>
    <n v="0.70506859619069051"/>
  </r>
  <r>
    <x v="2"/>
    <m/>
    <m/>
    <n v="22"/>
    <s v="21.01.001.022"/>
    <x v="12"/>
    <n v="75479.017000000007"/>
    <n v="75479.017000000007"/>
    <n v="45271.597000000002"/>
    <n v="0.59979049541675933"/>
    <n v="45271.597000000002"/>
    <n v="0.59979049541675933"/>
    <n v="30207.42"/>
    <n v="0.40020950458324062"/>
    <n v="69657.24833799999"/>
    <n v="48890.729080000005"/>
    <n v="0.70187568769248576"/>
  </r>
  <r>
    <x v="2"/>
    <m/>
    <m/>
    <n v="39"/>
    <s v="21.01.001.039"/>
    <x v="13"/>
    <n v="22953.239000000001"/>
    <n v="22953.239000000001"/>
    <n v="7869.576"/>
    <n v="0.34285252726205656"/>
    <n v="7869.576"/>
    <n v="0.34285252726205656"/>
    <n v="15083.663"/>
    <n v="0.65714747273794338"/>
    <n v="21182.833640999997"/>
    <n v="9081.0559279999998"/>
    <n v="0.42869882669631831"/>
  </r>
  <r>
    <x v="2"/>
    <m/>
    <m/>
    <n v="998"/>
    <s v="21.01.001.0998"/>
    <x v="14"/>
    <n v="2112"/>
    <n v="25344"/>
    <n v="16896"/>
    <n v="0.66666666666666663"/>
    <n v="16896"/>
    <n v="0.66666666666666663"/>
    <n v="8448"/>
    <n v="0.33333333333333331"/>
    <n v="0"/>
    <n v="0"/>
    <s v="0.00%"/>
  </r>
  <r>
    <x v="2"/>
    <m/>
    <m/>
    <n v="999"/>
    <s v="21.01.001.0999"/>
    <x v="15"/>
    <n v="0"/>
    <n v="0"/>
    <n v="0"/>
    <s v="0.00%"/>
    <n v="0"/>
    <n v="0"/>
    <n v="0"/>
    <n v="0"/>
    <n v="0"/>
    <n v="0"/>
    <s v="0.00%"/>
  </r>
  <r>
    <x v="2"/>
    <m/>
    <s v="002."/>
    <m/>
    <m/>
    <x v="16"/>
    <n v="31358.285"/>
    <n v="31358.285"/>
    <n v="15908.844000000001"/>
    <n v="0.50732506576810565"/>
    <n v="15908.843999999999"/>
    <n v="0.50732506576810554"/>
    <n v="15449.440999999999"/>
    <n v="0.49267493423189435"/>
    <n v="28939.590349999995"/>
    <n v="17122.125806"/>
    <n v="0.59165059349224691"/>
  </r>
  <r>
    <x v="2"/>
    <m/>
    <m/>
    <n v="1"/>
    <s v="21.01.002.001"/>
    <x v="17"/>
    <n v="7117.165"/>
    <n v="7117.165"/>
    <n v="1008.8"/>
    <n v="0.14174183119261671"/>
    <n v="1008.8"/>
    <n v="0.14174183119261671"/>
    <n v="6108.3649999999998"/>
    <n v="0.85825816880738326"/>
    <n v="6568.2110939999993"/>
    <n v="1219.80313"/>
    <n v="0.18571314358551586"/>
  </r>
  <r>
    <x v="2"/>
    <m/>
    <m/>
    <n v="2"/>
    <s v="21.01.002.002"/>
    <x v="18"/>
    <n v="24241.119999999999"/>
    <n v="24241.119999999999"/>
    <n v="14900.044000000002"/>
    <n v="0.61465988370174329"/>
    <n v="14900.044"/>
    <n v="0.61465988370174318"/>
    <n v="9341.0759999999991"/>
    <n v="0.38534011629825682"/>
    <n v="22371.379255999997"/>
    <n v="15902.322676"/>
    <n v="0.71083335962555827"/>
  </r>
  <r>
    <x v="2"/>
    <m/>
    <s v="003."/>
    <m/>
    <m/>
    <x v="19"/>
    <n v="73869.233999999997"/>
    <n v="73869.233999999997"/>
    <n v="43050.794999999998"/>
    <n v="0.5827973659507556"/>
    <n v="43050.794999999998"/>
    <n v="0.5827973659507556"/>
    <n v="30818.438999999998"/>
    <n v="0.41720263404924435"/>
    <n v="68171.63036499999"/>
    <n v="44711.442531999994"/>
    <n v="0.65586582413547945"/>
  </r>
  <r>
    <x v="2"/>
    <m/>
    <m/>
    <n v="1"/>
    <s v="21.01.003.001"/>
    <x v="20"/>
    <n v="36552.784"/>
    <n v="36552.784"/>
    <n v="21946.735999999997"/>
    <n v="0.60041216012438337"/>
    <n v="21946.736000000001"/>
    <n v="0.60041216012438348"/>
    <n v="14606.048000000001"/>
    <n v="0.39958783987561663"/>
    <n v="33733.433339999996"/>
    <n v="23730.387550999996"/>
    <n v="0.70346790117154434"/>
  </r>
  <r>
    <x v="2"/>
    <m/>
    <m/>
    <n v="2"/>
    <s v="21.01.003.002"/>
    <x v="21"/>
    <n v="37316.449999999997"/>
    <n v="37316.449999999997"/>
    <n v="21104.059000000001"/>
    <n v="0.56554305138886474"/>
    <n v="21104.059000000001"/>
    <n v="0.56554305138886474"/>
    <n v="16212.391"/>
    <n v="0.43445694861113532"/>
    <n v="34438.197024999994"/>
    <n v="20981.054980999997"/>
    <n v="0.60923790423084734"/>
  </r>
  <r>
    <x v="2"/>
    <m/>
    <m/>
    <n v="3"/>
    <s v="21.01.003.003"/>
    <x v="22"/>
    <n v="0"/>
    <n v="0"/>
    <n v="0"/>
    <s v="0.00%"/>
    <n v="0"/>
    <n v="0"/>
    <n v="0"/>
    <n v="0"/>
    <n v="0"/>
    <n v="0"/>
    <s v="0.00%"/>
  </r>
  <r>
    <x v="2"/>
    <m/>
    <s v="004."/>
    <m/>
    <m/>
    <x v="23"/>
    <n v="206697.50700000001"/>
    <n v="207207.56899999999"/>
    <n v="95686.512999999992"/>
    <n v="0.46179062599783699"/>
    <n v="95686.512999999992"/>
    <n v="0.46179062599783699"/>
    <n v="111521.05600000001"/>
    <n v="0.53820937400216307"/>
    <n v="167948.70626000001"/>
    <n v="100922.58489199998"/>
    <n v="0.60091314270538387"/>
  </r>
  <r>
    <x v="2"/>
    <m/>
    <m/>
    <n v="4"/>
    <s v="21.01.004.004"/>
    <x v="24"/>
    <n v="187398.5"/>
    <n v="187398.5"/>
    <n v="89506.733999999997"/>
    <n v="0.47762780385115139"/>
    <n v="89506.733999999997"/>
    <n v="0.47762780385115139"/>
    <n v="97891.766000000003"/>
    <n v="0.52237219614884856"/>
    <n v="154892.60010000001"/>
    <n v="94551.523092999982"/>
    <n v="0.61043279686671081"/>
  </r>
  <r>
    <x v="2"/>
    <m/>
    <m/>
    <n v="5"/>
    <s v="21.01.004.005"/>
    <x v="25"/>
    <n v="7599"/>
    <n v="7599"/>
    <n v="503.41499999999996"/>
    <n v="6.6247532570074999E-2"/>
    <n v="503.41500000000002"/>
    <n v="6.6247532570075013E-2"/>
    <n v="7095.585"/>
    <n v="0.93375246742992501"/>
    <n v="3778.3271999999997"/>
    <n v="0"/>
    <n v="0"/>
  </r>
  <r>
    <x v="2"/>
    <m/>
    <m/>
    <n v="6"/>
    <s v="21.01.004.006"/>
    <x v="26"/>
    <n v="9200.0069999999996"/>
    <n v="9710.0689999999995"/>
    <n v="5503.4439999999995"/>
    <n v="0.56677702290272081"/>
    <n v="5503.4440000000004"/>
    <n v="0.56677702290272092"/>
    <n v="4206.625"/>
    <n v="0.43322297709727914"/>
    <n v="9086.5239999999994"/>
    <n v="6371.0617990000001"/>
    <n v="0.70115500701918587"/>
  </r>
  <r>
    <x v="2"/>
    <m/>
    <m/>
    <n v="7"/>
    <s v="21.01.004.007"/>
    <x v="27"/>
    <n v="2500"/>
    <n v="2500"/>
    <n v="172.92"/>
    <n v="6.9167999999999993E-2"/>
    <n v="172.92"/>
    <n v="6.9167999999999993E-2"/>
    <n v="2327.08"/>
    <n v="0.93083199999999999"/>
    <n v="191.25495999999998"/>
    <n v="0"/>
    <n v="0"/>
  </r>
  <r>
    <x v="2"/>
    <m/>
    <s v="005."/>
    <m/>
    <m/>
    <x v="23"/>
    <n v="4470.5740000000005"/>
    <n v="4470.5740000000005"/>
    <n v="509.78999999999996"/>
    <n v="0.11403233678717764"/>
    <n v="509.78999999999996"/>
    <n v="0.11403233678717764"/>
    <n v="3960.7839999999997"/>
    <n v="0.88596766321282217"/>
    <n v="1680.8549309999999"/>
    <n v="1028.688486"/>
    <n v="0.61200313425501685"/>
  </r>
  <r>
    <x v="2"/>
    <m/>
    <m/>
    <n v="1"/>
    <s v="21.01.005.001"/>
    <x v="28"/>
    <n v="803.73599999999999"/>
    <n v="803.73599999999999"/>
    <n v="193.92599999999999"/>
    <n v="0.24128071904207352"/>
    <n v="193.92599999999999"/>
    <n v="0.24128071904207352"/>
    <n v="609.80999999999995"/>
    <n v="0.7587192809579264"/>
    <n v="422.84332899999998"/>
    <n v="206.14333799999997"/>
    <n v="0.48751706332347028"/>
  </r>
  <r>
    <x v="2"/>
    <m/>
    <m/>
    <n v="2"/>
    <s v="21.01.005.002"/>
    <x v="29"/>
    <n v="545.73800000000006"/>
    <n v="545.73800000000006"/>
    <n v="315.86399999999998"/>
    <n v="0.57878322565040352"/>
    <n v="315.86399999999998"/>
    <n v="0.57878322565040352"/>
    <n v="229.874"/>
    <n v="0.42121677434959626"/>
    <n v="503.64514799999995"/>
    <n v="503.64514799999995"/>
    <n v="1"/>
  </r>
  <r>
    <x v="2"/>
    <m/>
    <m/>
    <n v="3"/>
    <s v="21.01.005.003"/>
    <x v="30"/>
    <n v="3121.1"/>
    <n v="3121.1"/>
    <n v="0"/>
    <n v="0"/>
    <n v="0"/>
    <n v="0"/>
    <n v="3121.1"/>
    <n v="1"/>
    <n v="754.36645399999998"/>
    <n v="318.89999999999998"/>
    <n v="0.4227388403991782"/>
  </r>
  <r>
    <x v="2"/>
    <s v="02."/>
    <m/>
    <m/>
    <m/>
    <x v="31"/>
    <n v="14824050.877"/>
    <n v="14755492.815000001"/>
    <n v="12091614.278000001"/>
    <n v="0.8194652953717696"/>
    <n v="12091614.278000001"/>
    <n v="0.8194652953717696"/>
    <n v="2663878.5370000005"/>
    <n v="0.18053470462823035"/>
    <n v="14179531.170423999"/>
    <n v="11020145.916719999"/>
    <n v="0.77718690302723681"/>
  </r>
  <r>
    <x v="2"/>
    <m/>
    <s v="001."/>
    <m/>
    <m/>
    <x v="3"/>
    <n v="12418776.130000001"/>
    <n v="12275728.169000002"/>
    <n v="10281690.256999999"/>
    <n v="0.83756255559360115"/>
    <n v="10281690.256999999"/>
    <n v="0.83756255559360115"/>
    <n v="1994037.912"/>
    <n v="0.16243744440639868"/>
    <n v="11924055.795369999"/>
    <n v="9364270.7554389983"/>
    <n v="0.78532597600516585"/>
  </r>
  <r>
    <x v="2"/>
    <m/>
    <m/>
    <n v="1"/>
    <s v="21.02.001.001"/>
    <x v="32"/>
    <n v="2971337.7"/>
    <n v="2284444.9389999998"/>
    <n v="2127893.423"/>
    <n v="0.93147065471907187"/>
    <n v="2127893.423"/>
    <n v="0.93147065471907187"/>
    <n v="156551.516"/>
    <n v="6.8529345280928231E-2"/>
    <n v="2696615.1801729999"/>
    <n v="1970129.9969119998"/>
    <n v="0.7305936758783681"/>
  </r>
  <r>
    <x v="2"/>
    <m/>
    <m/>
    <n v="2"/>
    <s v="21.02.001.002"/>
    <x v="5"/>
    <n v="126648.201"/>
    <n v="126648.201"/>
    <n v="93440.675999999992"/>
    <n v="0.7377971045952717"/>
    <n v="93440.676000000007"/>
    <n v="0.73779710459527181"/>
    <n v="33207.525000000001"/>
    <n v="0.26220289540472824"/>
    <n v="100952.095898"/>
    <n v="86428.089848999996"/>
    <n v="0.85612972252032515"/>
  </r>
  <r>
    <x v="2"/>
    <m/>
    <m/>
    <n v="3"/>
    <s v="21.02.001.003"/>
    <x v="6"/>
    <n v="1992107.1370000001"/>
    <n v="1992107.1370000001"/>
    <n v="1494781.2219999998"/>
    <n v="0.75035182307064829"/>
    <n v="1494781.2220000001"/>
    <n v="0.7503518230706484"/>
    <n v="497325.91499999998"/>
    <n v="0.24964817692935154"/>
    <n v="1656983.7639810001"/>
    <n v="1356092.5689139997"/>
    <n v="0.81841029368683027"/>
  </r>
  <r>
    <x v="2"/>
    <m/>
    <m/>
    <n v="4"/>
    <s v="21.02.001.004"/>
    <x v="33"/>
    <n v="278309.69799999997"/>
    <n v="278309.69799999997"/>
    <n v="200708.39"/>
    <n v="0.72116922781469162"/>
    <n v="200708.39"/>
    <n v="0.72116922781469162"/>
    <n v="77601.308000000005"/>
    <n v="0.2788307721853085"/>
    <n v="231712.34137499999"/>
    <n v="188541.28363900003"/>
    <n v="0.81368684343777564"/>
  </r>
  <r>
    <x v="2"/>
    <m/>
    <m/>
    <n v="6"/>
    <s v="21.02.001.006"/>
    <x v="34"/>
    <n v="24.742000000000001"/>
    <n v="24.742000000000001"/>
    <n v="0"/>
    <n v="0"/>
    <n v="0"/>
    <n v="0"/>
    <n v="24.742000000000001"/>
    <n v="1"/>
    <n v="22.83324"/>
    <n v="22.833239999999996"/>
    <n v="0.99999999999999989"/>
  </r>
  <r>
    <x v="2"/>
    <m/>
    <m/>
    <n v="7"/>
    <s v="21.02.001.007"/>
    <x v="35"/>
    <n v="144924.04"/>
    <n v="144924.04"/>
    <n v="101055.76300000001"/>
    <n v="0.6973015864034704"/>
    <n v="101055.76300000001"/>
    <n v="0.6973015864034704"/>
    <n v="43868.277000000002"/>
    <n v="0.3026984135965296"/>
    <n v="133745.91164800001"/>
    <n v="78898.108244999996"/>
    <n v="0.5899104299550364"/>
  </r>
  <r>
    <x v="2"/>
    <m/>
    <m/>
    <n v="13"/>
    <s v="21.02.001.013"/>
    <x v="10"/>
    <n v="2269566.5950000002"/>
    <n v="2269566.5950000002"/>
    <n v="1670697.486"/>
    <n v="0.73613062938124529"/>
    <n v="1670697.486"/>
    <n v="0.73613062938124529"/>
    <n v="598869.10900000005"/>
    <n v="0.26386937061875465"/>
    <n v="1859589.7685739999"/>
    <n v="1538020.6382909999"/>
    <n v="0.82707523147452533"/>
  </r>
  <r>
    <x v="2"/>
    <m/>
    <m/>
    <n v="14"/>
    <s v="21.02.001.014"/>
    <x v="11"/>
    <n v="3085589.9109999998"/>
    <n v="3485589.9109999998"/>
    <n v="3387681.7090000003"/>
    <n v="0.97191057912721868"/>
    <n v="3387681.7089999998"/>
    <n v="0.97191057912721845"/>
    <n v="97908.202000000005"/>
    <n v="2.80894208727815E-2"/>
    <n v="3801761.2422849997"/>
    <n v="3119318.4312849999"/>
    <n v="0.82049298535385506"/>
  </r>
  <r>
    <x v="2"/>
    <m/>
    <m/>
    <n v="21"/>
    <s v="21.02.001.021"/>
    <x v="12"/>
    <n v="1431430.2450000001"/>
    <n v="1431430.2450000001"/>
    <n v="1065233.7450000001"/>
    <n v="0.74417440089789355"/>
    <n v="1065233.7450000001"/>
    <n v="0.74417440089789355"/>
    <n v="366196.5"/>
    <n v="0.25582559910210639"/>
    <n v="1305715.471383"/>
    <n v="0"/>
    <n v="0"/>
  </r>
  <r>
    <x v="2"/>
    <m/>
    <m/>
    <n v="37"/>
    <s v="21.02.001.037"/>
    <x v="36"/>
    <n v="50666.758999999998"/>
    <n v="50666.758999999998"/>
    <n v="36982.643000000004"/>
    <n v="0.72991925534451507"/>
    <n v="36982.642999999996"/>
    <n v="0.72991925534451485"/>
    <n v="13684.116"/>
    <n v="0.27008074465548509"/>
    <n v="46651.420721000002"/>
    <n v="34800.138957999996"/>
    <n v="0.74596096796543676"/>
  </r>
  <r>
    <x v="2"/>
    <m/>
    <m/>
    <n v="38"/>
    <s v="21.02.001.038"/>
    <x v="37"/>
    <n v="55235.101999999999"/>
    <n v="55235.101999999999"/>
    <n v="0"/>
    <n v="0"/>
    <n v="0"/>
    <n v="0"/>
    <n v="55235.101999999999"/>
    <n v="1"/>
    <n v="90305.766091999991"/>
    <n v="15399.821316000001"/>
    <n v="0.17052976772614126"/>
  </r>
  <r>
    <x v="2"/>
    <m/>
    <m/>
    <n v="998"/>
    <s v="21.02.001.0998"/>
    <x v="14"/>
    <n v="12936"/>
    <n v="156780.79999999999"/>
    <n v="103215.2"/>
    <n v="0.6583408172429277"/>
    <n v="103215.2"/>
    <n v="0.6583408172429277"/>
    <n v="53565.599999999999"/>
    <n v="0.3416591827570723"/>
    <n v="0"/>
    <n v="0"/>
    <s v="0.00%"/>
  </r>
  <r>
    <x v="2"/>
    <m/>
    <m/>
    <n v="999"/>
    <s v="21.02.001.0999"/>
    <x v="15"/>
    <n v="0"/>
    <n v="0"/>
    <n v="0"/>
    <s v="0.00%"/>
    <n v="0"/>
    <n v="0"/>
    <n v="0"/>
    <n v="0"/>
    <n v="0"/>
    <n v="0"/>
    <s v="0.00%"/>
  </r>
  <r>
    <x v="2"/>
    <m/>
    <s v="002."/>
    <m/>
    <m/>
    <x v="16"/>
    <n v="584702.25399999996"/>
    <n v="584702.25399999996"/>
    <n v="418752.35500000004"/>
    <n v="0.71618050406899936"/>
    <n v="418752.35499999998"/>
    <n v="0.71618050406899925"/>
    <n v="165949.899"/>
    <n v="0.28381949593100081"/>
    <n v="517280.61360899999"/>
    <n v="397867.18517399998"/>
    <n v="0.76915154890134396"/>
  </r>
  <r>
    <x v="2"/>
    <m/>
    <m/>
    <n v="1"/>
    <s v="21.02.002.001"/>
    <x v="17"/>
    <n v="45733.139000000003"/>
    <n v="45733.139000000003"/>
    <n v="27187.16"/>
    <n v="0.59447395465244579"/>
    <n v="27187.16"/>
    <n v="0.59447395465244579"/>
    <n v="18545.978999999999"/>
    <n v="0.40552604534755415"/>
    <n v="42205.698537999997"/>
    <n v="25280.754980000002"/>
    <n v="0.5989891378586808"/>
  </r>
  <r>
    <x v="2"/>
    <m/>
    <m/>
    <n v="2"/>
    <s v="21.02.002.002"/>
    <x v="18"/>
    <n v="538969.11499999999"/>
    <n v="538969.11499999999"/>
    <n v="391565.19500000007"/>
    <n v="0.72650766825479429"/>
    <n v="391565.19500000001"/>
    <n v="0.72650766825479418"/>
    <n v="147403.92000000001"/>
    <n v="0.27349233174520587"/>
    <n v="475074.915071"/>
    <n v="372586.43019399996"/>
    <n v="0.78426879292988327"/>
  </r>
  <r>
    <x v="2"/>
    <m/>
    <s v="003."/>
    <m/>
    <m/>
    <x v="19"/>
    <n v="1366172.385"/>
    <n v="1366172.385"/>
    <n v="1026793.819"/>
    <n v="0.75158437564231695"/>
    <n v="1026793.819"/>
    <n v="0.75158437564231695"/>
    <n v="339378.56599999999"/>
    <n v="0.24841562435768308"/>
    <n v="1252134.7618539999"/>
    <n v="931377.09600699996"/>
    <n v="0.74383135456437344"/>
  </r>
  <r>
    <x v="2"/>
    <m/>
    <m/>
    <n v="1"/>
    <s v="21.02.003.001"/>
    <x v="20"/>
    <n v="726222.69299999997"/>
    <n v="726222.69299999997"/>
    <n v="539718.07400000002"/>
    <n v="0.74318536063702989"/>
    <n v="539718.07400000002"/>
    <n v="0.74318536063702989"/>
    <n v="186504.61900000001"/>
    <n v="0.25681463936297017"/>
    <n v="661544.99742299994"/>
    <n v="494802.650532"/>
    <n v="0.74795010537373496"/>
  </r>
  <r>
    <x v="2"/>
    <m/>
    <m/>
    <n v="2"/>
    <s v="21.02.003.002"/>
    <x v="21"/>
    <n v="639949.69200000004"/>
    <n v="639949.69200000004"/>
    <n v="487075.745"/>
    <n v="0.76111568001192187"/>
    <n v="487075.745"/>
    <n v="0.76111568001192187"/>
    <n v="152873.94699999999"/>
    <n v="0.23888431998807802"/>
    <n v="590589.76443099999"/>
    <n v="436574.44547499996"/>
    <n v="0.73921776462823541"/>
  </r>
  <r>
    <x v="2"/>
    <m/>
    <m/>
    <n v="3"/>
    <s v="21.02.003.003"/>
    <x v="22"/>
    <n v="0"/>
    <n v="0"/>
    <n v="0"/>
    <s v="0.00%"/>
    <n v="0"/>
    <n v="0"/>
    <n v="0"/>
    <n v="0"/>
    <n v="0"/>
    <n v="0"/>
    <s v="0.00%"/>
  </r>
  <r>
    <x v="2"/>
    <m/>
    <s v="004."/>
    <m/>
    <m/>
    <x v="23"/>
    <n v="290726.53200000001"/>
    <n v="365216.43099999998"/>
    <n v="325927.29700000002"/>
    <n v="0.89242232642046715"/>
    <n v="325927.29700000002"/>
    <n v="0.89242232642046715"/>
    <n v="39289.134000000005"/>
    <n v="0.10757767357953292"/>
    <n v="374341.72169999999"/>
    <n v="267148.39457099995"/>
    <n v="0.71364846364919621"/>
  </r>
  <r>
    <x v="2"/>
    <m/>
    <m/>
    <n v="4"/>
    <s v="21.02.004.004"/>
    <x v="24"/>
    <n v="187398.5"/>
    <n v="187398.5"/>
    <n v="185359.609"/>
    <n v="0.98912002497351903"/>
    <n v="185359.609"/>
    <n v="0.98912002497351903"/>
    <n v="2038.8910000000001"/>
    <n v="1.0879975026481001E-2"/>
    <n v="213899.30489999999"/>
    <n v="172570.77270199996"/>
    <n v="0.80678510284396898"/>
  </r>
  <r>
    <x v="2"/>
    <m/>
    <m/>
    <n v="5"/>
    <s v="21.02.004.005"/>
    <x v="25"/>
    <n v="50000"/>
    <n v="50000"/>
    <n v="46392.087000000007"/>
    <n v="0.92784174000000008"/>
    <n v="46392.087"/>
    <n v="0.92784173999999997"/>
    <n v="3607.913"/>
    <n v="7.2158260000000002E-2"/>
    <n v="59193.792799999996"/>
    <n v="28922.851288999995"/>
    <n v="0.4886129089028402"/>
  </r>
  <r>
    <x v="2"/>
    <m/>
    <m/>
    <n v="6"/>
    <s v="21.02.004.006"/>
    <x v="26"/>
    <n v="52828.031999999999"/>
    <n v="127317.931"/>
    <n v="94175.60100000001"/>
    <n v="0.73968843398813955"/>
    <n v="94175.600999999995"/>
    <n v="0.73968843398813944"/>
    <n v="33142.33"/>
    <n v="0.26031156601186051"/>
    <n v="101248.624"/>
    <n v="65654.770579999997"/>
    <n v="0.64845099109692594"/>
  </r>
  <r>
    <x v="2"/>
    <m/>
    <m/>
    <n v="7"/>
    <m/>
    <x v="27"/>
    <n v="500"/>
    <n v="500"/>
    <n v="0"/>
    <n v="0"/>
    <n v="0"/>
    <n v="0"/>
    <n v="500"/>
    <n v="0"/>
    <n v="0"/>
    <n v="0"/>
    <n v="0"/>
  </r>
  <r>
    <x v="2"/>
    <m/>
    <s v="005."/>
    <m/>
    <m/>
    <x v="23"/>
    <n v="163673.576"/>
    <n v="163673.576"/>
    <n v="38450.550000000003"/>
    <n v="0.23492215994596466"/>
    <n v="38450.550000000003"/>
    <n v="0.23492215994596466"/>
    <n v="125223.026"/>
    <n v="0.76507784005403534"/>
    <n v="111718.27789100001"/>
    <n v="59482.485528999998"/>
    <n v="0.53243288969272495"/>
  </r>
  <r>
    <x v="2"/>
    <m/>
    <m/>
    <n v="1"/>
    <s v="21.02.005.001"/>
    <x v="28"/>
    <n v="47688.317999999999"/>
    <n v="47688.317999999999"/>
    <n v="21354.411"/>
    <n v="0.44779123893612688"/>
    <n v="21354.411"/>
    <n v="0.44779123893612688"/>
    <n v="26333.906999999999"/>
    <n v="0.55220876106387307"/>
    <n v="44010.073005999999"/>
    <n v="22005.036502999999"/>
    <n v="0.5"/>
  </r>
  <r>
    <x v="2"/>
    <m/>
    <m/>
    <n v="2"/>
    <s v="21.02.005.002"/>
    <x v="29"/>
    <n v="17918.413"/>
    <n v="17918.413"/>
    <n v="17096.138999999999"/>
    <n v="0.95411011008620006"/>
    <n v="17096.138999999999"/>
    <n v="0.95411011008620006"/>
    <n v="822.274"/>
    <n v="4.5889889913799845E-2"/>
    <n v="16536.349026"/>
    <n v="16536.349026"/>
    <n v="1"/>
  </r>
  <r>
    <x v="2"/>
    <m/>
    <m/>
    <n v="3"/>
    <s v="21.02.005.003"/>
    <x v="30"/>
    <n v="98066.845000000001"/>
    <n v="98066.845000000001"/>
    <n v="0"/>
    <n v="0"/>
    <n v="0"/>
    <n v="0"/>
    <n v="98066.845000000001"/>
    <n v="1"/>
    <n v="51171.855858999996"/>
    <n v="20941.099999999999"/>
    <n v="0.40923080956261476"/>
  </r>
  <r>
    <x v="2"/>
    <s v="03."/>
    <m/>
    <m/>
    <m/>
    <x v="38"/>
    <n v="1509478.3430000001"/>
    <n v="1509478.3430000001"/>
    <n v="874361.11300000013"/>
    <n v="0.57924720619857217"/>
    <n v="874361.11300000001"/>
    <n v="0.57924720619857206"/>
    <n v="635117.2300000001"/>
    <n v="0.42075279380142788"/>
    <n v="1278747.8704039997"/>
    <n v="896136.59760599991"/>
    <n v="0.70079225025249114"/>
  </r>
  <r>
    <x v="2"/>
    <m/>
    <s v="001."/>
    <m/>
    <m/>
    <x v="39"/>
    <n v="1472012"/>
    <n v="1471592"/>
    <n v="851485.00100000016"/>
    <n v="0.57861486132025741"/>
    <n v="851485.00100000005"/>
    <n v="0.5786148613202573"/>
    <n v="620106.99900000007"/>
    <n v="0.42138513867974281"/>
    <n v="1243559.0539999998"/>
    <n v="878357.72913999995"/>
    <n v="0.70632570790642979"/>
  </r>
  <r>
    <x v="2"/>
    <m/>
    <m/>
    <n v="1"/>
    <s v="21.03.001.001"/>
    <x v="40"/>
    <n v="1461411.9890000001"/>
    <n v="1457938.9920000001"/>
    <n v="840834.68500000017"/>
    <n v="0.57672830592626068"/>
    <n v="840834.68500000006"/>
    <n v="0.57672830592626056"/>
    <n v="617104.30700000003"/>
    <n v="0.42327169407373938"/>
    <n v="1230749.9039999999"/>
    <n v="868811.131299"/>
    <n v="0.70592012924422709"/>
  </r>
  <r>
    <x v="2"/>
    <m/>
    <m/>
    <n v="2"/>
    <s v="21.03.001.002"/>
    <x v="41"/>
    <n v="10600.011"/>
    <n v="13653.008"/>
    <n v="10650.315999999999"/>
    <n v="0.78007102903623871"/>
    <n v="10650.316000000001"/>
    <n v="0.78007102903623882"/>
    <n v="3002.692"/>
    <n v="0.21992897096376124"/>
    <n v="12809.15"/>
    <n v="9546.5978409999989"/>
    <n v="0.74529518672199169"/>
  </r>
  <r>
    <x v="2"/>
    <m/>
    <s v="005"/>
    <m/>
    <s v="21.03.005"/>
    <x v="42"/>
    <n v="37466.343000000001"/>
    <n v="37466.343000000001"/>
    <n v="22556.112000000001"/>
    <n v="0.60203665994303213"/>
    <n v="22556.112000000001"/>
    <n v="0.60203665994303213"/>
    <n v="14910.231"/>
    <n v="0.39796334005696793"/>
    <n v="34576.528403999997"/>
    <n v="17357.920466"/>
    <n v="0.50201455343307233"/>
  </r>
  <r>
    <x v="2"/>
    <m/>
    <m/>
    <m/>
    <s v="21.03.007"/>
    <x v="43"/>
    <n v="0"/>
    <n v="420"/>
    <n v="320"/>
    <n v="0.76190476190476186"/>
    <n v="320"/>
    <n v="0.76190476190476186"/>
    <n v="100"/>
    <n v="0.23809523809523808"/>
    <n v="612.28800000000001"/>
    <n v="420.94799999999998"/>
    <n v="0.6875"/>
  </r>
  <r>
    <x v="3"/>
    <m/>
    <m/>
    <m/>
    <m/>
    <x v="44"/>
    <n v="2322767.9980000001"/>
    <n v="4638697"/>
    <n v="2534536.1550000003"/>
    <n v="0.54638967688555651"/>
    <n v="3834470.8649999998"/>
    <n v="0.82662671543323474"/>
    <n v="804226.13500000001"/>
    <n v="0.17337328456676521"/>
    <n v="2305947.8290000004"/>
    <n v="1766205.255779"/>
    <n v="0.76593461203540514"/>
  </r>
  <r>
    <x v="2"/>
    <s v=".02"/>
    <m/>
    <m/>
    <m/>
    <x v="45"/>
    <n v="21440"/>
    <n v="30971.743999999999"/>
    <n v="29104.263999999996"/>
    <n v="0.93970375061862832"/>
    <n v="30971.736000000001"/>
    <n v="0.99999974170004768"/>
    <n v="8.0000000000000002E-3"/>
    <n v="2.5829995236948881E-7"/>
    <n v="20200.265535999999"/>
    <n v="9040.7001959999998"/>
    <n v="0.44755353239728818"/>
  </r>
  <r>
    <x v="2"/>
    <m/>
    <s v=".001"/>
    <m/>
    <s v="22.02.001"/>
    <x v="46"/>
    <n v="0"/>
    <n v="0"/>
    <n v="0"/>
    <s v="0.00%"/>
    <n v="0"/>
    <n v="0"/>
    <n v="0"/>
    <n v="0"/>
    <n v="382.02094"/>
    <n v="0"/>
    <n v="0"/>
  </r>
  <r>
    <x v="2"/>
    <m/>
    <s v=".002"/>
    <m/>
    <s v="22.02.002"/>
    <x v="47"/>
    <n v="18040"/>
    <n v="22047.844000000001"/>
    <n v="20180.367999999999"/>
    <n v="0.91529892900185605"/>
    <n v="22047.84"/>
    <n v="0.99999981857636511"/>
    <n v="4.0000000000000001E-3"/>
    <n v="1.8142363489146604E-7"/>
    <n v="18176.547396000002"/>
    <n v="7399.0029960000002"/>
    <n v="0.40706316963298828"/>
  </r>
  <r>
    <x v="2"/>
    <m/>
    <s v=".003"/>
    <m/>
    <s v="22.02.003"/>
    <x v="48"/>
    <n v="3400"/>
    <n v="8923.9"/>
    <n v="8923.8959999999988"/>
    <n v="0.99999955176548361"/>
    <n v="8923.8960000000006"/>
    <n v="0.99999955176548383"/>
    <n v="4.0000000000000001E-3"/>
    <n v="4.4823451629892762E-7"/>
    <n v="1641.6972000000001"/>
    <n v="1641.6972000000001"/>
    <n v="1"/>
  </r>
  <r>
    <x v="2"/>
    <s v=".03"/>
    <m/>
    <m/>
    <m/>
    <x v="49"/>
    <n v="0"/>
    <n v="70000"/>
    <n v="70000"/>
    <n v="1"/>
    <n v="70000"/>
    <n v="1"/>
    <n v="0"/>
    <n v="0"/>
    <n v="31890"/>
    <n v="31890"/>
    <n v="1"/>
  </r>
  <r>
    <x v="2"/>
    <m/>
    <s v=".001"/>
    <m/>
    <s v="22.03.001"/>
    <x v="50"/>
    <n v="0"/>
    <n v="70000"/>
    <n v="70000"/>
    <n v="1"/>
    <n v="70000"/>
    <n v="1"/>
    <n v="0"/>
    <n v="0"/>
    <n v="31890"/>
    <n v="31890"/>
    <n v="1"/>
  </r>
  <r>
    <x v="2"/>
    <s v=".04"/>
    <m/>
    <m/>
    <m/>
    <x v="51"/>
    <n v="17964.188000000002"/>
    <n v="73818.565000000002"/>
    <n v="58422.126999999993"/>
    <n v="0.79142864670967239"/>
    <n v="61378.046000000002"/>
    <n v="0.83147167653557075"/>
    <n v="12440.519"/>
    <n v="0.16852832346442931"/>
    <n v="52582.116698999991"/>
    <n v="48011.278352999987"/>
    <n v="0.91307237834936883"/>
  </r>
  <r>
    <x v="2"/>
    <m/>
    <s v=".001"/>
    <m/>
    <s v="22.04.001"/>
    <x v="52"/>
    <n v="3403.8980000000001"/>
    <n v="12073.163"/>
    <n v="10866.575000000001"/>
    <n v="0.90006032387701551"/>
    <n v="12073.163"/>
    <n v="1"/>
    <n v="0"/>
    <n v="0"/>
    <n v="5470.430797"/>
    <n v="4756.9866540000003"/>
    <n v="0.86958172592344019"/>
  </r>
  <r>
    <x v="2"/>
    <m/>
    <s v=".003"/>
    <m/>
    <s v="22.04.003"/>
    <x v="53"/>
    <n v="0"/>
    <n v="0"/>
    <n v="0"/>
    <s v="0.00%"/>
    <n v="0"/>
    <n v="0"/>
    <n v="0"/>
    <n v="0"/>
    <n v="229.70366999999999"/>
    <n v="229.69304"/>
    <n v="0.99995372298579299"/>
  </r>
  <r>
    <x v="2"/>
    <m/>
    <s v=".004"/>
    <m/>
    <s v="22.04.004"/>
    <x v="54"/>
    <n v="0"/>
    <n v="0"/>
    <n v="0"/>
    <s v="0.00%"/>
    <n v="0"/>
    <n v="0"/>
    <n v="0"/>
    <n v="0"/>
    <n v="9.9390499999999999"/>
    <n v="9.9390499999999999"/>
    <n v="1"/>
  </r>
  <r>
    <x v="2"/>
    <m/>
    <s v=".005"/>
    <m/>
    <s v="22.04.005"/>
    <x v="55"/>
    <n v="0"/>
    <n v="2507.047"/>
    <n v="2507.047"/>
    <n v="1"/>
    <n v="2507.047"/>
    <n v="1"/>
    <n v="0"/>
    <n v="0"/>
    <n v="5891.0418259999997"/>
    <n v="5765.9160959999999"/>
    <n v="0.97875999972572603"/>
  </r>
  <r>
    <x v="2"/>
    <m/>
    <s v=".007"/>
    <m/>
    <s v="22.04.007"/>
    <x v="56"/>
    <n v="5237.07"/>
    <n v="26801.65"/>
    <n v="26801.649999999994"/>
    <n v="0.99999999999999978"/>
    <n v="26801.65"/>
    <n v="1"/>
    <n v="0"/>
    <n v="0"/>
    <n v="19994.485744000001"/>
    <n v="18066.797960999997"/>
    <n v="0.90358902911126526"/>
  </r>
  <r>
    <x v="2"/>
    <m/>
    <s v=".008"/>
    <m/>
    <s v="22.04.008"/>
    <x v="57"/>
    <n v="0"/>
    <n v="582.26700000000005"/>
    <n v="582.26700000000005"/>
    <n v="1"/>
    <n v="582.26700000000005"/>
    <n v="1"/>
    <n v="0"/>
    <n v="0"/>
    <n v="0"/>
    <n v="0"/>
    <s v="0.00%"/>
  </r>
  <r>
    <x v="2"/>
    <m/>
    <s v=".009"/>
    <m/>
    <s v="22.04.009"/>
    <x v="58"/>
    <n v="3600"/>
    <n v="13898.135"/>
    <n v="3296.1950000000002"/>
    <n v="0.23716815241757258"/>
    <n v="4398.1350000000002"/>
    <n v="0.31645504954441728"/>
    <n v="9500"/>
    <n v="0.68354495045558272"/>
    <n v="3085.4637999999995"/>
    <n v="2059.061827"/>
    <n v="0.66734272721008758"/>
  </r>
  <r>
    <x v="2"/>
    <m/>
    <s v=".010"/>
    <m/>
    <s v="22.04.010"/>
    <x v="59"/>
    <n v="500"/>
    <n v="0"/>
    <n v="0"/>
    <s v="0.00%"/>
    <n v="0"/>
    <n v="0"/>
    <n v="0"/>
    <n v="0"/>
    <n v="350.47535199999999"/>
    <n v="350.47535199999999"/>
    <n v="1"/>
  </r>
  <r>
    <x v="2"/>
    <m/>
    <s v=".011"/>
    <m/>
    <s v="22.04.011"/>
    <x v="60"/>
    <n v="5147.8999999999996"/>
    <n v="6948.04"/>
    <n v="4272.8060000000005"/>
    <n v="0.61496565938019943"/>
    <n v="4272.8059999999996"/>
    <n v="0.6149656593801992"/>
    <n v="2675.2339999999999"/>
    <n v="0.38503434061980069"/>
    <n v="3270.3917839999999"/>
    <n v="2670.9639579999998"/>
    <n v="0.81671069841459698"/>
  </r>
  <r>
    <x v="2"/>
    <m/>
    <s v=".012"/>
    <m/>
    <s v="22.04.012"/>
    <x v="61"/>
    <n v="0"/>
    <n v="715.428"/>
    <n v="715.428"/>
    <n v="1"/>
    <n v="715.428"/>
    <n v="1"/>
    <n v="0"/>
    <n v="0"/>
    <n v="1781.5582359999999"/>
    <n v="1602.8179749999997"/>
    <n v="0.89967195156004987"/>
  </r>
  <r>
    <x v="2"/>
    <m/>
    <s v=".013"/>
    <m/>
    <s v="22.04.013"/>
    <x v="62"/>
    <n v="40"/>
    <n v="9939.4050000000007"/>
    <n v="9380.1590000000015"/>
    <n v="0.94373445895403207"/>
    <n v="9674.1200000000008"/>
    <n v="0.97330977055467605"/>
    <n v="265.28500000000003"/>
    <n v="2.669022944532394E-2"/>
    <n v="7870.2595970000002"/>
    <n v="7870.2595970000002"/>
    <n v="1"/>
  </r>
  <r>
    <x v="2"/>
    <m/>
    <s v=".999"/>
    <m/>
    <s v="22.04.999"/>
    <x v="63"/>
    <n v="35.32"/>
    <n v="353.43"/>
    <n v="0"/>
    <n v="0"/>
    <n v="353.43"/>
    <n v="1"/>
    <n v="0"/>
    <n v="0"/>
    <n v="4628.3668429999998"/>
    <n v="4628.3668429999989"/>
    <n v="0.99999999999999978"/>
  </r>
  <r>
    <x v="2"/>
    <s v=".05"/>
    <m/>
    <m/>
    <m/>
    <x v="64"/>
    <n v="168529.769"/>
    <n v="167437.16099999999"/>
    <n v="114874.24399999999"/>
    <n v="0.68607376829567723"/>
    <n v="166187.16099999999"/>
    <n v="0.99253451269398907"/>
    <n v="1250"/>
    <n v="7.4654873060108805E-3"/>
    <n v="156572.11883999998"/>
    <n v="112943.3248"/>
    <n v="0.72135017164464665"/>
  </r>
  <r>
    <x v="2"/>
    <m/>
    <s v=".001"/>
    <m/>
    <s v="22.05.001"/>
    <x v="65"/>
    <n v="13278"/>
    <n v="11504"/>
    <n v="8349.7989999999991"/>
    <n v="0.72581702016689842"/>
    <n v="11504"/>
    <n v="1"/>
    <n v="0"/>
    <n v="0"/>
    <n v="9965.625"/>
    <n v="7587.9066000000012"/>
    <n v="0.76140800000000008"/>
  </r>
  <r>
    <x v="2"/>
    <m/>
    <s v=".002"/>
    <m/>
    <s v="22.05.002"/>
    <x v="66"/>
    <n v="16584"/>
    <n v="18983.955000000002"/>
    <n v="10160.328000000001"/>
    <n v="0.53520607270718878"/>
    <n v="18983.955000000002"/>
    <n v="1"/>
    <n v="0"/>
    <n v="0"/>
    <n v="12029.417176999999"/>
    <n v="7891.028491"/>
    <n v="0.65597762342863009"/>
  </r>
  <r>
    <x v="2"/>
    <m/>
    <s v=".003"/>
    <m/>
    <s v="22.05.003"/>
    <x v="67"/>
    <n v="2930"/>
    <n v="3287.25"/>
    <n v="1109.1500000000001"/>
    <n v="0.33740968894973006"/>
    <n v="2037.25"/>
    <n v="0.6197429462316526"/>
    <n v="1250"/>
    <n v="0.3802570537683474"/>
    <n v="2128.4353329999999"/>
    <n v="2098.724483"/>
    <n v="0.9860409900459024"/>
  </r>
  <r>
    <x v="2"/>
    <m/>
    <s v=".004"/>
    <m/>
    <s v="22.05.004"/>
    <x v="68"/>
    <n v="18000"/>
    <n v="16240"/>
    <n v="10720.637999999999"/>
    <n v="0.66013780788177334"/>
    <n v="16240"/>
    <n v="1"/>
    <n v="0"/>
    <n v="0"/>
    <n v="16803.12801"/>
    <n v="9198.8490839999995"/>
    <n v="0.54744861067091277"/>
  </r>
  <r>
    <x v="2"/>
    <m/>
    <s v=".005"/>
    <m/>
    <s v="22.05.005"/>
    <x v="69"/>
    <n v="65582"/>
    <n v="65581.751999999993"/>
    <n v="49186.313999999998"/>
    <n v="0.75"/>
    <n v="65581.751999999993"/>
    <n v="1"/>
    <n v="0"/>
    <n v="0"/>
    <n v="69713.402375999984"/>
    <n v="52285.051781999995"/>
    <n v="0.75000000000000011"/>
  </r>
  <r>
    <x v="2"/>
    <m/>
    <s v=".006"/>
    <m/>
    <s v="22.05.006"/>
    <x v="70"/>
    <n v="7155.7690000000002"/>
    <n v="7095.7690000000002"/>
    <n v="5044.08"/>
    <n v="0.71085741376304667"/>
    <n v="7095.7690000000002"/>
    <n v="1"/>
    <n v="0"/>
    <n v="0"/>
    <n v="2461.5402019999997"/>
    <n v="1466.713581"/>
    <n v="0.59585197097666587"/>
  </r>
  <r>
    <x v="2"/>
    <m/>
    <s v=".007"/>
    <m/>
    <s v="22.05.007"/>
    <x v="71"/>
    <n v="6600"/>
    <n v="7114.7629999999999"/>
    <n v="5217.4870000000001"/>
    <n v="0.73333250875679201"/>
    <n v="7114.7629999999999"/>
    <n v="1"/>
    <n v="0"/>
    <n v="0"/>
    <n v="6108.7580449999996"/>
    <n v="4590.3231359999991"/>
    <n v="0.75143312309728238"/>
  </r>
  <r>
    <x v="2"/>
    <m/>
    <s v=".008"/>
    <m/>
    <s v="22.05.008"/>
    <x v="72"/>
    <n v="38400"/>
    <n v="37629.671999999999"/>
    <n v="25086.448"/>
    <n v="0.66666666666666674"/>
    <n v="37629.671999999999"/>
    <n v="1"/>
    <n v="0"/>
    <n v="0"/>
    <n v="37361.812697000001"/>
    <n v="27824.727642999995"/>
    <n v="0.74473708940878569"/>
  </r>
  <r>
    <x v="2"/>
    <s v=".06"/>
    <m/>
    <m/>
    <m/>
    <x v="73"/>
    <n v="64128.5"/>
    <n v="111058.91100000001"/>
    <n v="72550.921999999991"/>
    <n v="0.65326520264546795"/>
    <n v="74045.507000000012"/>
    <n v="0.66672279003348056"/>
    <n v="37013.404000000002"/>
    <n v="0.33327720996651949"/>
    <n v="26668.292069000003"/>
    <n v="23358.753183999997"/>
    <n v="0.87589985603738341"/>
  </r>
  <r>
    <x v="2"/>
    <m/>
    <s v=".001"/>
    <m/>
    <s v="22.06.001"/>
    <x v="74"/>
    <n v="26300"/>
    <n v="90872.881999999998"/>
    <n v="55872.881999999991"/>
    <n v="0.61484659416876419"/>
    <n v="55872.881999999998"/>
    <n v="0.61484659416876419"/>
    <n v="35000"/>
    <n v="0.38515340583123581"/>
    <n v="5226.9697809999998"/>
    <n v="5226.9697809999998"/>
    <n v="1"/>
  </r>
  <r>
    <x v="2"/>
    <m/>
    <s v=".002"/>
    <m/>
    <s v="22.06.002"/>
    <x v="75"/>
    <n v="26512.2"/>
    <n v="13217.822"/>
    <n v="12246.192999999999"/>
    <n v="0.92649099072449292"/>
    <n v="12804.418"/>
    <n v="0.96872374283751128"/>
    <n v="413.404"/>
    <n v="3.1276257162488642E-2"/>
    <n v="10656.698307999999"/>
    <n v="8735.8466779999981"/>
    <n v="0.81975171160114246"/>
  </r>
  <r>
    <x v="2"/>
    <m/>
    <s v=".004"/>
    <m/>
    <s v="22.06.004"/>
    <x v="76"/>
    <n v="916.3"/>
    <n v="1118.5999999999999"/>
    <n v="1118.5999999999999"/>
    <n v="1"/>
    <n v="1118.5999999999999"/>
    <n v="1"/>
    <n v="0"/>
    <n v="0"/>
    <n v="0"/>
    <n v="0"/>
    <s v="0.00%"/>
  </r>
  <r>
    <x v="2"/>
    <m/>
    <s v=".003"/>
    <m/>
    <s v="22.06.003"/>
    <x v="77"/>
    <n v="2000"/>
    <n v="452.2"/>
    <n v="452.2"/>
    <n v="1"/>
    <n v="452.2"/>
    <n v="1"/>
    <n v="0"/>
    <n v="0"/>
    <n v="796.93110000000001"/>
    <n v="0"/>
    <n v="0"/>
  </r>
  <r>
    <x v="2"/>
    <m/>
    <s v=".006"/>
    <m/>
    <s v="22.06.006"/>
    <x v="78"/>
    <n v="0"/>
    <n v="0"/>
    <n v="0"/>
    <s v="0.00%"/>
    <n v="0"/>
    <n v="0"/>
    <n v="0"/>
    <n v="0"/>
    <n v="0"/>
    <n v="0"/>
    <s v="0.00%"/>
  </r>
  <r>
    <x v="2"/>
    <m/>
    <s v=".007"/>
    <m/>
    <s v="22.06.007"/>
    <x v="79"/>
    <n v="8400"/>
    <n v="5397.4070000000002"/>
    <n v="2861.047"/>
    <n v="0.53007805414711173"/>
    <n v="3797.4070000000002"/>
    <n v="0.70356135825962351"/>
    <n v="1600"/>
    <n v="0.29643864174037643"/>
    <n v="9987.6928800000005"/>
    <n v="9395.9367249999996"/>
    <n v="0.94075146661898545"/>
  </r>
  <r>
    <x v="2"/>
    <m/>
    <s v=".999"/>
    <m/>
    <s v="22.06.999"/>
    <x v="80"/>
    <n v="0"/>
    <n v="0"/>
    <n v="0"/>
    <s v="0.00%"/>
    <n v="0"/>
    <n v="0"/>
    <n v="0"/>
    <n v="0"/>
    <n v="0"/>
    <n v="0"/>
    <s v="0.00%"/>
  </r>
  <r>
    <x v="2"/>
    <s v=".07"/>
    <m/>
    <m/>
    <m/>
    <x v="81"/>
    <n v="1912.9669999999999"/>
    <n v="14437.573"/>
    <n v="12776.800999999999"/>
    <n v="0.88496875479001902"/>
    <n v="14437.573"/>
    <n v="1"/>
    <n v="0"/>
    <n v="0"/>
    <n v="12723.339325000001"/>
    <n v="7087.1740719999998"/>
    <n v="0.55702154056949982"/>
  </r>
  <r>
    <x v="2"/>
    <m/>
    <s v=".001"/>
    <m/>
    <s v="22.07.001"/>
    <x v="82"/>
    <n v="1740.4159999999999"/>
    <n v="9495.4809999999998"/>
    <n v="8284.5289999999986"/>
    <n v="0.87247070474892208"/>
    <n v="9495.4809999999998"/>
    <n v="1"/>
    <n v="0"/>
    <n v="0"/>
    <n v="10630"/>
    <n v="4993.8347469999999"/>
    <n v="0.46978690000000001"/>
  </r>
  <r>
    <x v="2"/>
    <m/>
    <s v=".002"/>
    <m/>
    <s v="22.07.002"/>
    <x v="83"/>
    <n v="172.55099999999999"/>
    <n v="4942.0919999999996"/>
    <n v="4492.2719999999999"/>
    <n v="0.90898186436027506"/>
    <n v="4942.0919999999996"/>
    <n v="1"/>
    <n v="0"/>
    <n v="0"/>
    <n v="2093.3393249999999"/>
    <n v="2093.3393249999999"/>
    <n v="1"/>
  </r>
  <r>
    <x v="2"/>
    <s v=".08"/>
    <m/>
    <m/>
    <m/>
    <x v="84"/>
    <n v="336456.99099999998"/>
    <n v="633813.33700000006"/>
    <n v="326111.29399999999"/>
    <n v="0.51452261251485776"/>
    <n v="495492.53799999994"/>
    <n v="0.78176413949459045"/>
    <n v="138320.799"/>
    <n v="0.21823586050540933"/>
    <n v="378658.94844300003"/>
    <n v="249153.47666999997"/>
    <n v="0.65798914219375781"/>
  </r>
  <r>
    <x v="2"/>
    <m/>
    <s v=".001"/>
    <m/>
    <s v="22.08.001"/>
    <x v="85"/>
    <n v="100114.352"/>
    <n v="99099.048999999999"/>
    <n v="63593.488000000012"/>
    <n v="0.64171643059864292"/>
    <n v="93665.349000000002"/>
    <n v="0.94516899955316425"/>
    <n v="5433.7"/>
    <n v="5.4831000446835768E-2"/>
    <n v="97230.432975999996"/>
    <n v="60666.394337999998"/>
    <n v="0.62394450462824402"/>
  </r>
  <r>
    <x v="2"/>
    <m/>
    <s v=".002"/>
    <m/>
    <s v="22.08.002"/>
    <x v="86"/>
    <n v="12000"/>
    <n v="24686.596000000001"/>
    <n v="0"/>
    <n v="0"/>
    <n v="0"/>
    <n v="0"/>
    <n v="24686.596000000001"/>
    <n v="1"/>
    <n v="0"/>
    <n v="0"/>
    <s v="0.00%"/>
  </r>
  <r>
    <x v="2"/>
    <m/>
    <s v=".007"/>
    <m/>
    <s v="22.08.007"/>
    <x v="87"/>
    <n v="159210.45800000001"/>
    <n v="165641.416"/>
    <n v="111301.999"/>
    <n v="0.67194546924182297"/>
    <n v="138363.21299999999"/>
    <n v="0.8353177384090944"/>
    <n v="27278.203000000001"/>
    <n v="0.16468226159090552"/>
    <n v="116542.95957399999"/>
    <n v="91991.173851999993"/>
    <n v="0.78933274209146354"/>
  </r>
  <r>
    <x v="2"/>
    <m/>
    <s v=".008"/>
    <m/>
    <s v="22.08.008"/>
    <x v="88"/>
    <n v="56104.597000000002"/>
    <n v="74324.875"/>
    <n v="48053.701000000001"/>
    <n v="0.64653591412027267"/>
    <n v="72534.875"/>
    <n v="0.9759165420728928"/>
    <n v="1790"/>
    <n v="2.4083457927107175E-2"/>
    <n v="66456.909316999998"/>
    <n v="46036.678253999999"/>
    <n v="0.69272975115957725"/>
  </r>
  <r>
    <x v="2"/>
    <m/>
    <s v=".010"/>
    <m/>
    <s v="22.08.010"/>
    <x v="89"/>
    <n v="3300"/>
    <n v="2580.3589999999999"/>
    <n v="2580.3589999999995"/>
    <n v="0.99999999999999978"/>
    <n v="2580.3589999999999"/>
    <n v="1"/>
    <n v="0"/>
    <n v="0"/>
    <n v="2792.6774580000001"/>
    <n v="2792.6774580000001"/>
    <n v="1"/>
  </r>
  <r>
    <x v="2"/>
    <m/>
    <s v=".999"/>
    <m/>
    <s v="22.08.999"/>
    <x v="63"/>
    <n v="5727.5839999999998"/>
    <n v="267481.04200000002"/>
    <n v="100581.747"/>
    <n v="0.37603318069921382"/>
    <n v="188348.742"/>
    <n v="0.7041573510843433"/>
    <n v="79132.3"/>
    <n v="0.29584264891565659"/>
    <n v="95635.969117999994"/>
    <n v="47666.552767999994"/>
    <n v="0.49841658120478544"/>
  </r>
  <r>
    <x v="2"/>
    <s v=".09"/>
    <m/>
    <m/>
    <m/>
    <x v="90"/>
    <n v="791977.56799999997"/>
    <n v="883897.5290000001"/>
    <n v="777232.57200000004"/>
    <n v="0.87932429552023328"/>
    <n v="876397.5290000001"/>
    <n v="0.99151485352777813"/>
    <n v="7500"/>
    <n v="8.4851464722218942E-3"/>
    <n v="716607.06229499995"/>
    <n v="545924.30302700005"/>
    <n v="0.76181820100771447"/>
  </r>
  <r>
    <x v="2"/>
    <m/>
    <s v=".002"/>
    <m/>
    <s v="22.09.002"/>
    <x v="91"/>
    <n v="656797.56799999997"/>
    <n v="748505.73400000005"/>
    <n v="692369.451"/>
    <n v="0.92500220045074488"/>
    <n v="748505.73400000005"/>
    <n v="1"/>
    <n v="0"/>
    <n v="0"/>
    <n v="598741.4394589999"/>
    <n v="469849.83743000001"/>
    <n v="0.78472911087386654"/>
  </r>
  <r>
    <x v="2"/>
    <m/>
    <s v=".005"/>
    <m/>
    <s v="22.09.005"/>
    <x v="92"/>
    <n v="37080"/>
    <n v="29880"/>
    <n v="25628.505000000001"/>
    <n v="0.85771435742971891"/>
    <n v="29880"/>
    <n v="1"/>
    <n v="0"/>
    <n v="0"/>
    <n v="34668.334398999999"/>
    <n v="19033.440199999997"/>
    <n v="0.54901513239554456"/>
  </r>
  <r>
    <x v="2"/>
    <m/>
    <s v=".006"/>
    <m/>
    <s v="22.09.006"/>
    <x v="93"/>
    <n v="85600"/>
    <n v="81005.544999999998"/>
    <n v="46861.792000000001"/>
    <n v="0.57850103965105104"/>
    <n v="73505.544999999998"/>
    <n v="0.90741374556519561"/>
    <n v="7500"/>
    <n v="9.2586254434804435E-2"/>
    <n v="69909.788436999996"/>
    <n v="48186.235396999997"/>
    <n v="0.68926306994082198"/>
  </r>
  <r>
    <x v="2"/>
    <m/>
    <s v=".999"/>
    <m/>
    <s v="22.09.999"/>
    <x v="63"/>
    <n v="12500"/>
    <n v="24506.25"/>
    <n v="12372.824000000001"/>
    <n v="0.50488442744197914"/>
    <n v="24506.25"/>
    <n v="1"/>
    <n v="0"/>
    <n v="0"/>
    <n v="13287.5"/>
    <n v="8854.7899999999991"/>
    <n v="0.66639999999999988"/>
  </r>
  <r>
    <x v="2"/>
    <s v=".10"/>
    <m/>
    <m/>
    <m/>
    <x v="94"/>
    <n v="37000"/>
    <n v="38670.925000000003"/>
    <n v="38670.925000000003"/>
    <n v="1"/>
    <n v="38670.925000000003"/>
    <n v="1"/>
    <n v="0"/>
    <n v="0"/>
    <n v="13249.664640999999"/>
    <n v="8997.6646410000012"/>
    <n v="0.67908621725847063"/>
  </r>
  <r>
    <x v="2"/>
    <m/>
    <s v=".002"/>
    <m/>
    <s v="22.10.002"/>
    <x v="95"/>
    <n v="37000"/>
    <n v="38670.925000000003"/>
    <n v="38670.925000000003"/>
    <n v="1"/>
    <n v="38670.925000000003"/>
    <n v="1"/>
    <n v="0"/>
    <n v="0"/>
    <n v="13249.664640999999"/>
    <n v="8997.6646410000012"/>
    <n v="0.67908621725847063"/>
  </r>
  <r>
    <x v="2"/>
    <m/>
    <s v=".004"/>
    <m/>
    <s v="22.10.004"/>
    <x v="96"/>
    <n v="0"/>
    <n v="0"/>
    <n v="0"/>
    <s v="0.00%"/>
    <n v="0"/>
    <n v="0"/>
    <n v="0"/>
    <n v="0"/>
    <n v="0"/>
    <n v="0"/>
    <s v="0.00%"/>
  </r>
  <r>
    <x v="2"/>
    <s v=".11"/>
    <m/>
    <m/>
    <m/>
    <x v="97"/>
    <n v="882367.00200000009"/>
    <n v="2594026.5609999998"/>
    <n v="1021092.7620000002"/>
    <n v="0.39363234646539935"/>
    <n v="1993009.4169999997"/>
    <n v="0.76830725134583533"/>
    <n v="601017.14399999997"/>
    <n v="0.23169274865416462"/>
    <n v="889384.33762899996"/>
    <n v="723544.15139699995"/>
    <n v="0.81353372303124705"/>
  </r>
  <r>
    <x v="2"/>
    <m/>
    <s v=".001"/>
    <m/>
    <s v="22.11.001"/>
    <x v="98"/>
    <n v="24323.001"/>
    <n v="999803.49899999995"/>
    <n v="364787.59"/>
    <n v="0.36485928521440397"/>
    <n v="577226.91700000002"/>
    <n v="0.57734036495905483"/>
    <n v="422576.58199999999"/>
    <n v="0.42265963504094517"/>
    <n v="172706.67299999998"/>
    <n v="156761.67300000001"/>
    <n v="0.90767583137913854"/>
  </r>
  <r>
    <x v="2"/>
    <m/>
    <s v=".002"/>
    <m/>
    <s v="22.11.002"/>
    <x v="99"/>
    <n v="52663"/>
    <n v="52663"/>
    <n v="5647"/>
    <n v="0.10722898429637506"/>
    <n v="31957.672999999999"/>
    <n v="0.60683350739608455"/>
    <n v="20705.327000000001"/>
    <n v="0.39316649260391551"/>
    <n v="58418.838162"/>
    <n v="8078.7999999999993"/>
    <n v="0.13829100773276004"/>
  </r>
  <r>
    <x v="2"/>
    <m/>
    <s v=".003"/>
    <m/>
    <s v="22.11.003"/>
    <x v="100"/>
    <n v="799881.00100000005"/>
    <n v="1419554.4169999999"/>
    <n v="638339.2620000001"/>
    <n v="0.44967579569723543"/>
    <n v="1354519.9169999999"/>
    <n v="0.95418668053779865"/>
    <n v="65034.5"/>
    <n v="4.5813319462201359E-2"/>
    <n v="651707.69565699995"/>
    <n v="556670.19128699997"/>
    <n v="0.85417157875634608"/>
  </r>
  <r>
    <x v="2"/>
    <m/>
    <s v=".999"/>
    <m/>
    <s v="22.11.999"/>
    <x v="63"/>
    <n v="5500"/>
    <n v="122005.645"/>
    <n v="12318.91"/>
    <n v="0.10097000019958093"/>
    <n v="29304.91"/>
    <n v="0.24019306647655522"/>
    <n v="92700.735000000001"/>
    <n v="0.75980693352344475"/>
    <n v="6551.1308099999997"/>
    <n v="2033.4871099999998"/>
    <n v="0.31040245859477805"/>
  </r>
  <r>
    <x v="2"/>
    <s v=".12"/>
    <m/>
    <m/>
    <m/>
    <x v="101"/>
    <n v="991.01299999999992"/>
    <n v="20564.694"/>
    <n v="13700.243999999999"/>
    <n v="0.66620218127242736"/>
    <n v="13880.432999999999"/>
    <n v="0.67496423725050314"/>
    <n v="6684.2610000000004"/>
    <n v="0.3250357627494968"/>
    <n v="7411.6835229999988"/>
    <n v="6254.4294389999995"/>
    <n v="0.84386083399152179"/>
  </r>
  <r>
    <x v="2"/>
    <m/>
    <s v=".002"/>
    <m/>
    <s v="22.12.002"/>
    <x v="102"/>
    <n v="991.01099999999997"/>
    <n v="8295.8819999999996"/>
    <n v="8115.6929999999984"/>
    <n v="0.97827970552136578"/>
    <n v="8295.8819999999996"/>
    <n v="1"/>
    <n v="0"/>
    <n v="0"/>
    <n v="4896.0855189999993"/>
    <n v="4845.8162489999995"/>
    <n v="0.98973276308084845"/>
  </r>
  <r>
    <x v="2"/>
    <m/>
    <s v=".003"/>
    <m/>
    <s v="22.12.003"/>
    <x v="103"/>
    <n v="1E-3"/>
    <n v="5533.5"/>
    <n v="5533.5"/>
    <n v="1"/>
    <n v="5533.5"/>
    <n v="1"/>
    <n v="0"/>
    <n v="0"/>
    <n v="1094.8262199999999"/>
    <n v="1094.8262199999999"/>
    <n v="1"/>
  </r>
  <r>
    <x v="2"/>
    <m/>
    <s v=".999"/>
    <m/>
    <s v="22.12.999"/>
    <x v="80"/>
    <n v="1E-3"/>
    <n v="6735.3119999999999"/>
    <n v="51.051000000000002"/>
    <n v="7.5796043301334824E-3"/>
    <n v="51.051000000000002"/>
    <n v="7.5796043301334824E-3"/>
    <n v="6684.2610000000004"/>
    <n v="0.99242039566986662"/>
    <n v="1420.7717839999998"/>
    <n v="313.78697"/>
    <n v="0.22085670164181698"/>
  </r>
  <r>
    <x v="4"/>
    <m/>
    <m/>
    <m/>
    <m/>
    <x v="104"/>
    <n v="10"/>
    <n v="183168"/>
    <n v="183168"/>
    <n v="1"/>
    <n v="183168"/>
    <n v="1"/>
    <n v="0"/>
    <n v="0"/>
    <n v="4634.6799999999994"/>
    <n v="4634.6799999999994"/>
    <n v="1"/>
  </r>
  <r>
    <x v="2"/>
    <s v="03."/>
    <m/>
    <m/>
    <s v="23.03"/>
    <x v="105"/>
    <n v="10"/>
    <n v="183168"/>
    <n v="183168"/>
    <n v="1"/>
    <n v="183168"/>
    <n v="1"/>
    <n v="0"/>
    <n v="0"/>
    <n v="4634.6799999999994"/>
    <n v="4634.6799999999994"/>
    <n v="1"/>
  </r>
  <r>
    <x v="2"/>
    <m/>
    <s v=".003"/>
    <m/>
    <s v="23.03.003"/>
    <x v="106"/>
    <n v="10"/>
    <n v="183168"/>
    <n v="183168"/>
    <n v="1"/>
    <n v="183168"/>
    <n v="1"/>
    <n v="0"/>
    <n v="0"/>
    <n v="4634.6799999999994"/>
    <n v="4634.6799999999994"/>
    <n v="1"/>
  </r>
  <r>
    <x v="5"/>
    <s v="  "/>
    <m/>
    <m/>
    <m/>
    <x v="107"/>
    <n v="85436322"/>
    <n v="85818758"/>
    <n v="79129213.866000012"/>
    <n v="0.92205032687608934"/>
    <n v="81146291.747999981"/>
    <n v="0.94555425456052367"/>
    <n v="4672466.2520000059"/>
    <n v="5.4445745439476133E-2"/>
    <n v="88217402.669999987"/>
    <n v="79722170.205770984"/>
    <n v="0.90370117225047286"/>
  </r>
  <r>
    <x v="6"/>
    <s v=".01"/>
    <m/>
    <m/>
    <m/>
    <x v="108"/>
    <n v="0"/>
    <n v="90000"/>
    <n v="90000"/>
    <n v="1"/>
    <n v="90000"/>
    <n v="1"/>
    <n v="0"/>
    <n v="0"/>
    <n v="0"/>
    <n v="0"/>
    <s v="0.00%"/>
  </r>
  <r>
    <x v="2"/>
    <m/>
    <m/>
    <m/>
    <s v="24.01.010"/>
    <x v="109"/>
    <n v="0"/>
    <n v="90000"/>
    <n v="90000"/>
    <n v="1"/>
    <n v="90000"/>
    <n v="1"/>
    <n v="0"/>
    <n v="0"/>
    <n v="0"/>
    <n v="0"/>
    <n v="0"/>
  </r>
  <r>
    <x v="2"/>
    <m/>
    <m/>
    <m/>
    <s v="24.01.100"/>
    <x v="110"/>
    <n v="0"/>
    <n v="0"/>
    <n v="0"/>
    <s v="0.00%"/>
    <n v="0"/>
    <n v="0"/>
    <n v="0"/>
    <n v="0"/>
    <n v="0"/>
    <n v="0"/>
    <s v="0.00%"/>
  </r>
  <r>
    <x v="2"/>
    <m/>
    <m/>
    <m/>
    <s v="24.01.101"/>
    <x v="111"/>
    <n v="0"/>
    <n v="0"/>
    <n v="0"/>
    <s v="0.00%"/>
    <n v="0"/>
    <n v="0"/>
    <n v="0"/>
    <n v="0"/>
    <n v="0"/>
    <n v="0"/>
    <s v="0.00%"/>
  </r>
  <r>
    <x v="2"/>
    <m/>
    <m/>
    <m/>
    <s v="24.01.102"/>
    <x v="112"/>
    <n v="0"/>
    <n v="0"/>
    <n v="0"/>
    <s v="0.00%"/>
    <n v="0"/>
    <n v="0"/>
    <n v="0"/>
    <n v="0"/>
    <n v="0"/>
    <n v="0"/>
    <s v="0.00%"/>
  </r>
  <r>
    <x v="2"/>
    <m/>
    <m/>
    <m/>
    <s v="24.01.103"/>
    <x v="113"/>
    <n v="0"/>
    <n v="0"/>
    <n v="0"/>
    <s v="0.00%"/>
    <n v="0"/>
    <n v="0"/>
    <n v="0"/>
    <n v="0"/>
    <n v="0"/>
    <n v="0"/>
    <s v="0.00%"/>
  </r>
  <r>
    <x v="2"/>
    <m/>
    <m/>
    <m/>
    <s v="24.01.104"/>
    <x v="114"/>
    <n v="0"/>
    <n v="0"/>
    <n v="0"/>
    <s v="0.00%"/>
    <n v="0"/>
    <n v="0"/>
    <n v="0"/>
    <n v="0"/>
    <n v="0"/>
    <n v="0"/>
    <s v="0.00%"/>
  </r>
  <r>
    <x v="2"/>
    <m/>
    <m/>
    <m/>
    <s v="24.01.105"/>
    <x v="115"/>
    <n v="0"/>
    <n v="0"/>
    <n v="0"/>
    <s v="0.00%"/>
    <n v="0"/>
    <n v="0"/>
    <n v="0"/>
    <n v="0"/>
    <n v="0"/>
    <n v="0"/>
    <s v="0.00%"/>
  </r>
  <r>
    <x v="6"/>
    <s v=".02"/>
    <m/>
    <m/>
    <m/>
    <x v="116"/>
    <n v="192906"/>
    <n v="192906"/>
    <n v="192906"/>
    <n v="1"/>
    <n v="192906"/>
    <n v="1"/>
    <n v="0"/>
    <n v="0"/>
    <n v="0"/>
    <n v="0"/>
    <s v="0.00%"/>
  </r>
  <r>
    <x v="2"/>
    <m/>
    <m/>
    <m/>
    <s v="24.02.004"/>
    <x v="117"/>
    <n v="0"/>
    <n v="0"/>
    <n v="0"/>
    <s v="0.00%"/>
    <n v="0"/>
    <n v="0"/>
    <n v="0"/>
    <n v="0"/>
    <n v="0"/>
    <n v="0"/>
    <s v="0.00%"/>
  </r>
  <r>
    <x v="2"/>
    <m/>
    <m/>
    <m/>
    <s v="24.02.006"/>
    <x v="118"/>
    <n v="0"/>
    <n v="0"/>
    <n v="0"/>
    <s v="0.00%"/>
    <n v="0"/>
    <n v="0"/>
    <n v="0"/>
    <n v="0"/>
    <n v="0"/>
    <n v="0"/>
    <s v="0.00%"/>
  </r>
  <r>
    <x v="2"/>
    <m/>
    <m/>
    <m/>
    <s v="24.02.007"/>
    <x v="119"/>
    <n v="0"/>
    <n v="0"/>
    <n v="0"/>
    <s v="0.00%"/>
    <n v="0"/>
    <n v="0"/>
    <n v="0"/>
    <n v="0"/>
    <n v="0"/>
    <n v="0"/>
    <s v="0.00%"/>
  </r>
  <r>
    <x v="2"/>
    <m/>
    <m/>
    <m/>
    <s v="24.02.101"/>
    <x v="120"/>
    <n v="0"/>
    <n v="0"/>
    <n v="0"/>
    <s v="0.00%"/>
    <n v="0"/>
    <n v="0"/>
    <n v="0"/>
    <n v="0"/>
    <n v="0"/>
    <n v="0"/>
    <s v="0.00%"/>
  </r>
  <r>
    <x v="2"/>
    <m/>
    <m/>
    <m/>
    <s v="24.02.102"/>
    <x v="121"/>
    <n v="0"/>
    <n v="0"/>
    <n v="0"/>
    <s v="0.00%"/>
    <n v="0"/>
    <n v="0"/>
    <n v="0"/>
    <n v="0"/>
    <n v="0"/>
    <n v="0"/>
    <s v="0.00%"/>
  </r>
  <r>
    <x v="2"/>
    <m/>
    <m/>
    <m/>
    <s v="24.02.103"/>
    <x v="122"/>
    <n v="0"/>
    <n v="0"/>
    <n v="0"/>
    <s v="0.00%"/>
    <n v="0"/>
    <n v="0"/>
    <n v="0"/>
    <n v="0"/>
    <n v="0"/>
    <n v="0"/>
    <s v="0.00%"/>
  </r>
  <r>
    <x v="2"/>
    <m/>
    <m/>
    <m/>
    <s v="24.02.104"/>
    <x v="123"/>
    <n v="0"/>
    <n v="0"/>
    <n v="0"/>
    <s v="0.00%"/>
    <n v="0"/>
    <n v="0"/>
    <n v="0"/>
    <n v="0"/>
    <n v="0"/>
    <n v="0"/>
    <s v="0.00%"/>
  </r>
  <r>
    <x v="2"/>
    <m/>
    <m/>
    <m/>
    <s v="24.02.105"/>
    <x v="124"/>
    <n v="0"/>
    <n v="0"/>
    <n v="0"/>
    <s v="0.00%"/>
    <n v="0"/>
    <n v="0"/>
    <n v="0"/>
    <n v="0"/>
    <n v="0"/>
    <n v="0"/>
    <s v="0.00%"/>
  </r>
  <r>
    <x v="2"/>
    <m/>
    <m/>
    <m/>
    <s v="24.02.106"/>
    <x v="125"/>
    <n v="0"/>
    <n v="0"/>
    <n v="0"/>
    <s v="0.00%"/>
    <n v="0"/>
    <n v="0"/>
    <n v="0"/>
    <n v="0"/>
    <n v="0"/>
    <n v="0"/>
    <s v="0.00%"/>
  </r>
  <r>
    <x v="2"/>
    <m/>
    <m/>
    <m/>
    <s v="24.02.107"/>
    <x v="126"/>
    <n v="0"/>
    <n v="0"/>
    <n v="0"/>
    <s v="0.00%"/>
    <n v="0"/>
    <n v="0"/>
    <n v="0"/>
    <n v="0"/>
    <n v="0"/>
    <n v="0"/>
    <s v="0.00%"/>
  </r>
  <r>
    <x v="2"/>
    <m/>
    <m/>
    <m/>
    <s v="24.02.108"/>
    <x v="127"/>
    <n v="0"/>
    <n v="0"/>
    <n v="0"/>
    <s v="0.00%"/>
    <n v="0"/>
    <n v="0"/>
    <n v="0"/>
    <n v="0"/>
    <n v="0"/>
    <n v="0"/>
    <s v="0.00%"/>
  </r>
  <r>
    <x v="2"/>
    <m/>
    <m/>
    <m/>
    <s v="24.02.109"/>
    <x v="128"/>
    <n v="0"/>
    <n v="0"/>
    <n v="0"/>
    <s v="0.00%"/>
    <n v="0"/>
    <n v="0"/>
    <n v="0"/>
    <n v="0"/>
    <n v="0"/>
    <n v="0"/>
    <s v="0.00%"/>
  </r>
  <r>
    <x v="2"/>
    <m/>
    <m/>
    <m/>
    <s v="24.02.110"/>
    <x v="129"/>
    <n v="0"/>
    <n v="0"/>
    <n v="0"/>
    <s v="0.00%"/>
    <n v="0"/>
    <n v="0"/>
    <n v="0"/>
    <n v="0"/>
    <n v="0"/>
    <n v="0"/>
    <s v="0.00%"/>
  </r>
  <r>
    <x v="2"/>
    <m/>
    <m/>
    <m/>
    <s v="24.02.111"/>
    <x v="130"/>
    <n v="0"/>
    <n v="0"/>
    <n v="0"/>
    <s v="0.00%"/>
    <n v="0"/>
    <n v="0"/>
    <n v="0"/>
    <n v="0"/>
    <n v="0"/>
    <n v="0"/>
    <s v="0.00%"/>
  </r>
  <r>
    <x v="2"/>
    <m/>
    <m/>
    <m/>
    <s v="24.02.112"/>
    <x v="131"/>
    <n v="0"/>
    <n v="0"/>
    <n v="0"/>
    <s v="0.00%"/>
    <n v="0"/>
    <n v="0"/>
    <n v="0"/>
    <n v="0"/>
    <n v="0"/>
    <n v="0"/>
    <s v="0.00%"/>
  </r>
  <r>
    <x v="2"/>
    <m/>
    <m/>
    <m/>
    <s v="24.02.113"/>
    <x v="132"/>
    <n v="0"/>
    <n v="0"/>
    <n v="0"/>
    <s v="0.00%"/>
    <n v="0"/>
    <n v="0"/>
    <n v="0"/>
    <n v="0"/>
    <n v="0"/>
    <n v="0"/>
    <s v="0.00%"/>
  </r>
  <r>
    <x v="2"/>
    <m/>
    <m/>
    <m/>
    <s v="24.02.114"/>
    <x v="133"/>
    <n v="0"/>
    <n v="0"/>
    <n v="0"/>
    <s v="0.00%"/>
    <n v="0"/>
    <n v="0"/>
    <n v="0"/>
    <n v="0"/>
    <n v="0"/>
    <n v="0"/>
    <s v="0.00%"/>
  </r>
  <r>
    <x v="2"/>
    <m/>
    <m/>
    <m/>
    <s v="24.02.115"/>
    <x v="134"/>
    <n v="0"/>
    <n v="0"/>
    <n v="0"/>
    <s v="0.00%"/>
    <n v="0"/>
    <n v="0"/>
    <n v="0"/>
    <n v="0"/>
    <n v="0"/>
    <n v="0"/>
    <s v="0.00%"/>
  </r>
  <r>
    <x v="2"/>
    <m/>
    <m/>
    <m/>
    <s v="24.02.116"/>
    <x v="135"/>
    <n v="0"/>
    <n v="0"/>
    <n v="0"/>
    <s v="0.00%"/>
    <n v="0"/>
    <n v="0"/>
    <n v="0"/>
    <n v="0"/>
    <n v="0"/>
    <n v="0"/>
    <s v="0.00%"/>
  </r>
  <r>
    <x v="2"/>
    <m/>
    <m/>
    <m/>
    <s v="24.02.500"/>
    <x v="136"/>
    <n v="192906"/>
    <n v="192906"/>
    <n v="192906"/>
    <n v="1"/>
    <n v="192906"/>
    <n v="1"/>
    <n v="0"/>
    <n v="0"/>
    <n v="0"/>
    <n v="0"/>
    <s v="0.00%"/>
  </r>
  <r>
    <x v="2"/>
    <m/>
    <m/>
    <m/>
    <s v="24.02.914"/>
    <x v="137"/>
    <n v="0"/>
    <n v="0"/>
    <n v="0"/>
    <s v="0.00%"/>
    <n v="0"/>
    <n v="0"/>
    <n v="0"/>
    <n v="0"/>
    <n v="0"/>
    <n v="0"/>
    <s v="0.00%"/>
  </r>
  <r>
    <x v="6"/>
    <s v=".03"/>
    <m/>
    <m/>
    <m/>
    <x v="138"/>
    <n v="85243416"/>
    <n v="85243416"/>
    <n v="78846307.866000012"/>
    <n v="0.92495481253355694"/>
    <n v="80863385.747999981"/>
    <n v="0.94861737765178233"/>
    <n v="4380030.2520000059"/>
    <n v="5.1382622348217555E-2"/>
    <n v="88217402.669999987"/>
    <n v="79722170.205770984"/>
    <n v="0.90370117225047286"/>
  </r>
  <r>
    <x v="2"/>
    <m/>
    <s v=".024"/>
    <m/>
    <s v="24.03.024"/>
    <x v="139"/>
    <n v="10"/>
    <n v="10"/>
    <n v="0"/>
    <n v="0"/>
    <n v="0"/>
    <n v="0"/>
    <n v="10"/>
    <n v="1"/>
    <n v="58475.63"/>
    <n v="23386"/>
    <n v="0.39992728594800947"/>
  </r>
  <r>
    <x v="2"/>
    <m/>
    <s v=".026"/>
    <m/>
    <s v="24.03.026"/>
    <x v="140"/>
    <n v="1534002"/>
    <n v="1534002"/>
    <n v="415096.59299999999"/>
    <n v="0.27059716545350004"/>
    <n v="1049531.5930000001"/>
    <n v="0.68417876443446624"/>
    <n v="484470.40699999989"/>
    <n v="0.31582123556553376"/>
    <n v="1385181.4809999999"/>
    <n v="483227.04399999999"/>
    <n v="0.34885468123003299"/>
  </r>
  <r>
    <x v="2"/>
    <m/>
    <s v=".027"/>
    <m/>
    <s v="24.03.027"/>
    <x v="141"/>
    <n v="0"/>
    <n v="0"/>
    <n v="0"/>
    <s v="0.00%"/>
    <n v="0"/>
    <n v="0"/>
    <n v="0"/>
    <n v="0"/>
    <n v="0"/>
    <n v="0"/>
    <s v="0.00%"/>
  </r>
  <r>
    <x v="2"/>
    <m/>
    <s v=".033"/>
    <m/>
    <s v="24.03.033"/>
    <x v="142"/>
    <n v="2696418"/>
    <n v="2696418"/>
    <n v="1008525.1630000001"/>
    <n v="0.374024043379031"/>
    <n v="1929107.8070000003"/>
    <n v="0.71543351475921024"/>
    <n v="767310.19299999974"/>
    <n v="0.2845664852407897"/>
    <n v="2773855.9799999995"/>
    <n v="886771.44536100002"/>
    <n v="0.31968907245177169"/>
  </r>
  <r>
    <x v="2"/>
    <m/>
    <s v=".034"/>
    <m/>
    <s v="24.03.034"/>
    <x v="143"/>
    <n v="58398"/>
    <n v="58398"/>
    <n v="34677.466"/>
    <n v="0.59381256207404365"/>
    <n v="52242.966"/>
    <n v="0.89460197267029695"/>
    <n v="6155.0339999999997"/>
    <n v="0.10539802732970306"/>
    <n v="96186.618000000002"/>
    <n v="22585.8799"/>
    <n v="0.23481312026169793"/>
  </r>
  <r>
    <x v="2"/>
    <m/>
    <s v=".015"/>
    <m/>
    <s v="24.03.015"/>
    <x v="115"/>
    <n v="0"/>
    <n v="0"/>
    <n v="0"/>
    <s v="0.00%"/>
    <n v="0"/>
    <n v="0"/>
    <n v="0"/>
    <n v="0"/>
    <n v="0"/>
    <n v="0"/>
    <s v="0.00%"/>
  </r>
  <r>
    <x v="2"/>
    <m/>
    <s v=".403"/>
    <m/>
    <s v="24.03.403"/>
    <x v="144"/>
    <n v="74875016"/>
    <n v="74905999"/>
    <n v="74905998.225000009"/>
    <n v="0.99999998965369929"/>
    <n v="74905998.224999994"/>
    <n v="0.99999998965369907"/>
    <n v="0.77500000596046448"/>
    <n v="1.0346300914569799E-8"/>
    <n v="75042659.332000002"/>
    <n v="74875001.303089991"/>
    <n v="0.99776583039030819"/>
  </r>
  <r>
    <x v="6"/>
    <m/>
    <s v=".406"/>
    <m/>
    <s v="24.03.406"/>
    <x v="145"/>
    <n v="3810757"/>
    <n v="3810757"/>
    <n v="1603656.7479999997"/>
    <n v="0.42082367046757369"/>
    <n v="1813738.0160000001"/>
    <n v="0.47595215753720327"/>
    <n v="1997018.9839999999"/>
    <n v="0.52404784246279679"/>
    <n v="5209702.409"/>
    <n v="2239431.321525"/>
    <n v="0.42985782021949653"/>
  </r>
  <r>
    <x v="6"/>
    <m/>
    <s v=".409"/>
    <m/>
    <s v="24.03.409"/>
    <x v="146"/>
    <n v="136421"/>
    <n v="136421"/>
    <n v="70413.670999999988"/>
    <n v="0.51614979365346969"/>
    <n v="95984.040999999997"/>
    <n v="0.70358699173880856"/>
    <n v="40436.959000000003"/>
    <n v="0.29641300826119149"/>
    <n v="221616.36599999998"/>
    <n v="128203.82189499999"/>
    <n v="0.57849437841156548"/>
  </r>
  <r>
    <x v="2"/>
    <m/>
    <s v=".410"/>
    <m/>
    <s v="24.03.410"/>
    <x v="147"/>
    <n v="0"/>
    <m/>
    <m/>
    <s v="0.00%"/>
    <m/>
    <n v="0"/>
    <m/>
    <n v="0"/>
    <n v="0"/>
    <n v="0"/>
    <s v="0.00%"/>
  </r>
  <r>
    <x v="6"/>
    <m/>
    <s v=".415"/>
    <m/>
    <s v="24.03.415"/>
    <x v="148"/>
    <n v="0"/>
    <n v="0"/>
    <n v="0"/>
    <s v="0.00%"/>
    <n v="0"/>
    <n v="0"/>
    <n v="0"/>
    <n v="0"/>
    <n v="48246.380999999994"/>
    <n v="44943.64"/>
    <n v="0.93154427479234148"/>
  </r>
  <r>
    <x v="6"/>
    <m/>
    <s v=".500"/>
    <m/>
    <s v="24.03.500"/>
    <x v="149"/>
    <n v="0"/>
    <n v="0"/>
    <n v="0"/>
    <s v="0.00%"/>
    <n v="0"/>
    <n v="0"/>
    <n v="0"/>
    <n v="0"/>
    <n v="192905.799"/>
    <n v="0"/>
    <n v="0"/>
  </r>
  <r>
    <x v="6"/>
    <m/>
    <s v=".602"/>
    <m/>
    <s v="24.03.602"/>
    <x v="150"/>
    <n v="2132394"/>
    <n v="2101411"/>
    <n v="807940"/>
    <n v="0.38447500274815349"/>
    <n v="1016783.1"/>
    <n v="0.4838573225323366"/>
    <n v="1084627.8999999999"/>
    <n v="0.5161426774676634"/>
    <n v="3188572.6739999996"/>
    <n v="1018619.75"/>
    <n v="0.31945947423621435"/>
  </r>
  <r>
    <x v="6"/>
    <s v=".07"/>
    <m/>
    <m/>
    <m/>
    <x v="151"/>
    <n v="0"/>
    <n v="292436"/>
    <n v="0"/>
    <n v="0"/>
    <n v="0"/>
    <n v="0"/>
    <n v="292436"/>
    <n v="1"/>
    <n v="0"/>
    <n v="0"/>
    <s v="0.00%"/>
  </r>
  <r>
    <x v="2"/>
    <m/>
    <m/>
    <m/>
    <s v="24.07.002"/>
    <x v="152"/>
    <n v="0"/>
    <n v="165000"/>
    <n v="0"/>
    <n v="0"/>
    <n v="0"/>
    <n v="0"/>
    <n v="165000"/>
    <n v="1"/>
    <n v="0"/>
    <n v="0"/>
    <s v="0.00%"/>
  </r>
  <r>
    <x v="2"/>
    <m/>
    <m/>
    <m/>
    <s v="24.07.003"/>
    <x v="153"/>
    <n v="0"/>
    <n v="51678"/>
    <n v="0"/>
    <n v="0"/>
    <n v="0"/>
    <n v="0"/>
    <n v="51678"/>
    <n v="1"/>
    <n v="0"/>
    <n v="0"/>
    <s v="0.00%"/>
  </r>
  <r>
    <x v="2"/>
    <m/>
    <m/>
    <m/>
    <s v="24.07.006"/>
    <x v="154"/>
    <n v="0"/>
    <n v="0"/>
    <n v="0"/>
    <s v="0.00%"/>
    <n v="0"/>
    <n v="0"/>
    <n v="0"/>
    <n v="0"/>
    <n v="0"/>
    <n v="0"/>
    <s v="0.00%"/>
  </r>
  <r>
    <x v="2"/>
    <m/>
    <m/>
    <m/>
    <s v="24.07.007"/>
    <x v="155"/>
    <n v="0"/>
    <n v="75758"/>
    <n v="0"/>
    <n v="0"/>
    <n v="0"/>
    <n v="0"/>
    <n v="75758"/>
    <n v="1"/>
    <n v="0"/>
    <n v="0"/>
    <s v="0.00%"/>
  </r>
  <r>
    <x v="2"/>
    <m/>
    <m/>
    <m/>
    <s v="24.07.008 "/>
    <x v="156"/>
    <n v="0"/>
    <n v="0"/>
    <n v="0"/>
    <s v="0.00%"/>
    <n v="0"/>
    <n v="0"/>
    <n v="0"/>
    <n v="0"/>
    <n v="0"/>
    <n v="0"/>
    <s v="0.00%"/>
  </r>
  <r>
    <x v="7"/>
    <m/>
    <m/>
    <m/>
    <m/>
    <x v="157"/>
    <n v="165399"/>
    <n v="165755"/>
    <n v="3385153.8560000001"/>
    <n v="20.422634949171972"/>
    <n v="3385153.8560000001"/>
    <n v="20.422634949171972"/>
    <n v="-3219398.8560000001"/>
    <n v="-19.422634949171972"/>
    <n v="288847.93763"/>
    <n v="2155617.28474"/>
    <n v="7.462810025326335"/>
  </r>
  <r>
    <x v="2"/>
    <n v="99"/>
    <m/>
    <m/>
    <m/>
    <x v="158"/>
    <n v="165399"/>
    <n v="165755"/>
    <n v="3385153.8560000001"/>
    <n v="20.422634949171972"/>
    <n v="3385153.8560000001"/>
    <n v="20.422634949171972"/>
    <n v="-3219398.8560000001"/>
    <n v="-19.422634949171972"/>
    <n v="288847.93763"/>
    <n v="2155617.28474"/>
    <n v="7.462810025326335"/>
  </r>
  <r>
    <x v="2"/>
    <m/>
    <m/>
    <m/>
    <s v="25.99.001"/>
    <x v="159"/>
    <n v="0"/>
    <n v="0"/>
    <n v="169256.06100000002"/>
    <s v="0.00%"/>
    <n v="169256.06099999999"/>
    <n v="0"/>
    <n v="-169256.06099999999"/>
    <n v="0"/>
    <n v="0"/>
    <n v="0"/>
    <n v="0"/>
  </r>
  <r>
    <x v="8"/>
    <m/>
    <m/>
    <m/>
    <m/>
    <x v="160"/>
    <n v="0"/>
    <n v="0"/>
    <n v="0"/>
    <s v="0.00%"/>
    <n v="0"/>
    <n v="0"/>
    <n v="0"/>
    <n v="0"/>
    <n v="0"/>
    <n v="0"/>
    <s v="0.00%"/>
  </r>
  <r>
    <x v="2"/>
    <n v="1"/>
    <m/>
    <m/>
    <s v="26.01"/>
    <x v="161"/>
    <n v="0"/>
    <m/>
    <m/>
    <s v="0.00%"/>
    <m/>
    <n v="0"/>
    <m/>
    <n v="0"/>
    <n v="0"/>
    <n v="0"/>
    <s v="0.00%"/>
  </r>
  <r>
    <x v="9"/>
    <s v="  "/>
    <m/>
    <m/>
    <m/>
    <x v="162"/>
    <n v="332151"/>
    <n v="332151"/>
    <n v="166156.31399999998"/>
    <n v="0.50024330500284508"/>
    <n v="170743.81400000001"/>
    <n v="0.51405479435557933"/>
    <n v="161407.18600000002"/>
    <n v="0.48594520564442079"/>
    <n v="178095.02"/>
    <n v="111430.597138"/>
    <n v="0.62568058970992002"/>
  </r>
  <r>
    <x v="2"/>
    <n v="3"/>
    <m/>
    <m/>
    <s v="29.03"/>
    <x v="163"/>
    <n v="82914"/>
    <n v="82914"/>
    <n v="76393.801999999996"/>
    <n v="0.92136191716718518"/>
    <n v="76393.801999999996"/>
    <n v="0.92136191716718518"/>
    <n v="6520.1980000000003"/>
    <n v="7.8638082832814732E-2"/>
    <n v="0"/>
    <n v="0"/>
    <s v="0.00%"/>
  </r>
  <r>
    <x v="2"/>
    <n v="4"/>
    <m/>
    <m/>
    <m/>
    <x v="164"/>
    <n v="16508"/>
    <n v="16508"/>
    <n v="0"/>
    <n v="0"/>
    <n v="0"/>
    <n v="0"/>
    <n v="16508"/>
    <n v="0"/>
    <n v="0"/>
    <n v="0"/>
    <n v="0"/>
  </r>
  <r>
    <x v="2"/>
    <s v="06    "/>
    <m/>
    <m/>
    <s v="29.06"/>
    <x v="165"/>
    <n v="0"/>
    <n v="0"/>
    <n v="0"/>
    <s v="0.00%"/>
    <n v="0"/>
    <n v="0"/>
    <n v="0"/>
    <n v="0"/>
    <n v="8982.35"/>
    <n v="8845.3781980000003"/>
    <n v="0.98475100591715981"/>
  </r>
  <r>
    <x v="6"/>
    <s v="07    "/>
    <m/>
    <m/>
    <s v="29.07"/>
    <x v="166"/>
    <n v="232729"/>
    <n v="232729"/>
    <n v="89762.511999999988"/>
    <n v="0.38569543116672178"/>
    <n v="94350.012000000002"/>
    <n v="0.40540719893094546"/>
    <n v="138378.98800000001"/>
    <n v="0.59459280106905466"/>
    <n v="169112.66999999998"/>
    <n v="102585.21893999999"/>
    <n v="0.60660871204978317"/>
  </r>
  <r>
    <x v="10"/>
    <m/>
    <m/>
    <m/>
    <m/>
    <x v="167"/>
    <n v="0"/>
    <n v="0"/>
    <n v="0"/>
    <s v="0.00%"/>
    <n v="0"/>
    <n v="0"/>
    <n v="0"/>
    <n v="0"/>
    <n v="0"/>
    <n v="0"/>
    <s v="0.00%"/>
  </r>
  <r>
    <x v="11"/>
    <s v="  "/>
    <m/>
    <m/>
    <m/>
    <x v="168"/>
    <n v="5667935"/>
    <n v="5667935"/>
    <n v="2527610.1009999998"/>
    <n v="0.44594902746767556"/>
    <n v="2527610.1009999998"/>
    <n v="0.44594902746767556"/>
    <n v="3140324.8990000002"/>
    <n v="0.55405097253232438"/>
    <n v="9728520.7239999995"/>
    <n v="0"/>
    <n v="0"/>
  </r>
  <r>
    <x v="6"/>
    <n v="4"/>
    <m/>
    <m/>
    <s v="32.04.002"/>
    <x v="169"/>
    <n v="5667935"/>
    <n v="5667935"/>
    <n v="2527610.1009999998"/>
    <n v="0.44594902746767556"/>
    <n v="2527610.1009999998"/>
    <n v="0.44594902746767556"/>
    <n v="3140324.8990000002"/>
    <n v="0.55405097253232438"/>
    <n v="9728520.7239999995"/>
    <n v="0"/>
    <n v="0"/>
  </r>
  <r>
    <x v="2"/>
    <m/>
    <m/>
    <m/>
    <m/>
    <x v="170"/>
    <n v="5667935"/>
    <n v="5667935"/>
    <n v="0"/>
    <n v="0"/>
    <m/>
    <n v="0"/>
    <n v="3140324.8990000002"/>
    <n v="0.55405097253232438"/>
    <n v="9728520.7239999995"/>
    <n v="0"/>
    <n v="0"/>
  </r>
  <r>
    <x v="2"/>
    <m/>
    <m/>
    <m/>
    <s v="32.04.003"/>
    <x v="171"/>
    <n v="0"/>
    <n v="0"/>
    <n v="0"/>
    <s v="0.00%"/>
    <n v="0"/>
    <n v="0"/>
    <n v="0"/>
    <n v="0"/>
    <n v="0"/>
    <n v="0"/>
    <s v="0.00%"/>
  </r>
  <r>
    <x v="2"/>
    <m/>
    <m/>
    <m/>
    <s v="32.04.004"/>
    <x v="172"/>
    <n v="0"/>
    <n v="0"/>
    <n v="0"/>
    <s v="0.00%"/>
    <n v="0"/>
    <n v="0"/>
    <n v="0"/>
    <n v="0"/>
    <n v="0"/>
    <n v="0"/>
    <s v="0.00%"/>
  </r>
  <r>
    <x v="12"/>
    <s v="  "/>
    <m/>
    <m/>
    <m/>
    <x v="173"/>
    <n v="301825406"/>
    <n v="322962944"/>
    <n v="154936627.17399999"/>
    <n v="0.47973499762870625"/>
    <n v="183557165.37400001"/>
    <n v="0.56835364175402125"/>
    <n v="139405778.62599999"/>
    <n v="0.4316463582459788"/>
    <n v="295490705.41799998"/>
    <n v="124780966.17888999"/>
    <n v="0.42228389553700285"/>
  </r>
  <r>
    <x v="2"/>
    <s v=".02"/>
    <m/>
    <m/>
    <m/>
    <x v="174"/>
    <n v="0"/>
    <n v="30570604"/>
    <n v="11523725"/>
    <n v="0.3769544429020768"/>
    <n v="11523725"/>
    <n v="0.3769544429020768"/>
    <n v="19046879"/>
    <n v="0.6230455570979232"/>
    <n v="26729363.544999998"/>
    <n v="0"/>
    <n v="0"/>
  </r>
  <r>
    <x v="2"/>
    <m/>
    <s v=".001"/>
    <m/>
    <s v="33.02.001"/>
    <x v="175"/>
    <n v="0"/>
    <n v="0"/>
    <n v="0"/>
    <s v="0.00%"/>
    <n v="0"/>
    <n v="0"/>
    <n v="0"/>
    <n v="0"/>
    <n v="0"/>
    <n v="0"/>
    <s v="0.00%"/>
  </r>
  <r>
    <x v="2"/>
    <m/>
    <s v=".002"/>
    <m/>
    <s v="33.02.002"/>
    <x v="176"/>
    <n v="0"/>
    <n v="0"/>
    <n v="0"/>
    <s v="0.00%"/>
    <n v="0"/>
    <n v="0"/>
    <n v="0"/>
    <n v="0"/>
    <n v="0"/>
    <n v="0"/>
    <s v="0.00%"/>
  </r>
  <r>
    <x v="2"/>
    <m/>
    <s v=".003"/>
    <m/>
    <s v="33.02.003"/>
    <x v="177"/>
    <n v="0"/>
    <n v="0"/>
    <n v="0"/>
    <s v="0.00%"/>
    <n v="0"/>
    <n v="0"/>
    <n v="0"/>
    <n v="0"/>
    <n v="0"/>
    <n v="0"/>
    <s v="0.00%"/>
  </r>
  <r>
    <x v="2"/>
    <m/>
    <s v=".004"/>
    <m/>
    <s v="33.02.004"/>
    <x v="178"/>
    <n v="0"/>
    <n v="0"/>
    <n v="0"/>
    <s v="0.00%"/>
    <n v="0"/>
    <n v="0"/>
    <n v="0"/>
    <n v="0"/>
    <n v="0"/>
    <n v="0"/>
    <s v="0.00%"/>
  </r>
  <r>
    <x v="2"/>
    <m/>
    <s v=".005"/>
    <m/>
    <s v="33.02.005"/>
    <x v="179"/>
    <n v="0"/>
    <n v="0"/>
    <n v="0"/>
    <s v="0.00%"/>
    <n v="0"/>
    <n v="0"/>
    <n v="0"/>
    <n v="0"/>
    <n v="0"/>
    <n v="0"/>
    <s v="0.00%"/>
  </r>
  <r>
    <x v="2"/>
    <m/>
    <s v=".006"/>
    <m/>
    <s v="33.02.006"/>
    <x v="180"/>
    <n v="0"/>
    <n v="0"/>
    <n v="0"/>
    <s v="0.00%"/>
    <n v="0"/>
    <n v="0"/>
    <n v="0"/>
    <n v="0"/>
    <n v="0"/>
    <n v="0"/>
    <s v="0.00%"/>
  </r>
  <r>
    <x v="2"/>
    <m/>
    <s v=".007"/>
    <m/>
    <s v="33.02.007"/>
    <x v="181"/>
    <n v="0"/>
    <n v="0"/>
    <n v="0"/>
    <s v="0.00%"/>
    <n v="0"/>
    <n v="0"/>
    <n v="0"/>
    <n v="0"/>
    <n v="0"/>
    <n v="0"/>
    <s v="0.00%"/>
  </r>
  <r>
    <x v="2"/>
    <m/>
    <s v=".008"/>
    <m/>
    <s v="33.02.008"/>
    <x v="182"/>
    <n v="0"/>
    <n v="0"/>
    <n v="0"/>
    <s v="0.00%"/>
    <n v="0"/>
    <n v="0"/>
    <n v="0"/>
    <n v="0"/>
    <n v="0"/>
    <n v="0"/>
    <s v="0.00%"/>
  </r>
  <r>
    <x v="2"/>
    <m/>
    <s v=".009"/>
    <m/>
    <s v="33.02.009"/>
    <x v="183"/>
    <n v="0"/>
    <n v="0"/>
    <n v="0"/>
    <s v="0.00%"/>
    <n v="0"/>
    <n v="0"/>
    <n v="0"/>
    <n v="0"/>
    <n v="0"/>
    <n v="0"/>
    <s v="0.00%"/>
  </r>
  <r>
    <x v="2"/>
    <m/>
    <s v=".010"/>
    <m/>
    <s v="33.02.010"/>
    <x v="184"/>
    <n v="0"/>
    <n v="0"/>
    <n v="0"/>
    <s v="0.00%"/>
    <n v="0"/>
    <n v="0"/>
    <n v="0"/>
    <n v="0"/>
    <n v="0"/>
    <n v="0"/>
    <s v="0.00%"/>
  </r>
  <r>
    <x v="2"/>
    <m/>
    <s v=".011"/>
    <m/>
    <s v="33.02.011"/>
    <x v="185"/>
    <n v="0"/>
    <n v="0"/>
    <n v="0"/>
    <s v="0.00%"/>
    <n v="0"/>
    <n v="0"/>
    <n v="0"/>
    <n v="0"/>
    <n v="0"/>
    <n v="0"/>
    <s v="0.00%"/>
  </r>
  <r>
    <x v="2"/>
    <m/>
    <s v=".012"/>
    <m/>
    <s v="33.02.012"/>
    <x v="186"/>
    <n v="0"/>
    <n v="0"/>
    <n v="0"/>
    <s v="0.00%"/>
    <n v="0"/>
    <n v="0"/>
    <n v="0"/>
    <n v="0"/>
    <n v="0"/>
    <n v="0"/>
    <s v="0.00%"/>
  </r>
  <r>
    <x v="2"/>
    <m/>
    <s v=".013"/>
    <m/>
    <s v="33.02.013"/>
    <x v="187"/>
    <n v="0"/>
    <n v="0"/>
    <n v="0"/>
    <s v="0.00%"/>
    <n v="0"/>
    <n v="0"/>
    <n v="0"/>
    <n v="0"/>
    <n v="0"/>
    <n v="0"/>
    <s v="0.00%"/>
  </r>
  <r>
    <x v="2"/>
    <m/>
    <s v=".014"/>
    <m/>
    <s v="33.02.014"/>
    <x v="188"/>
    <n v="0"/>
    <n v="0"/>
    <n v="0"/>
    <s v="0.00%"/>
    <n v="0"/>
    <n v="0"/>
    <n v="0"/>
    <n v="0"/>
    <n v="0"/>
    <n v="0"/>
    <s v="0.00%"/>
  </r>
  <r>
    <x v="2"/>
    <m/>
    <s v=".015"/>
    <m/>
    <s v="33.02.015"/>
    <x v="189"/>
    <n v="0"/>
    <n v="0"/>
    <n v="0"/>
    <s v="0.00%"/>
    <n v="0"/>
    <n v="0"/>
    <n v="0"/>
    <n v="0"/>
    <n v="0"/>
    <n v="0"/>
    <s v="0.00%"/>
  </r>
  <r>
    <x v="2"/>
    <m/>
    <s v=".016"/>
    <m/>
    <s v="33.02.016"/>
    <x v="190"/>
    <n v="0"/>
    <n v="0"/>
    <n v="0"/>
    <s v="0.00%"/>
    <n v="0"/>
    <n v="0"/>
    <n v="0"/>
    <n v="0"/>
    <n v="0"/>
    <n v="0"/>
    <s v="0.00%"/>
  </r>
  <r>
    <x v="2"/>
    <m/>
    <s v=".017"/>
    <m/>
    <s v="33.02.017"/>
    <x v="191"/>
    <n v="0"/>
    <n v="0"/>
    <n v="0"/>
    <s v="0.00%"/>
    <n v="0"/>
    <n v="0"/>
    <n v="0"/>
    <n v="0"/>
    <n v="0"/>
    <n v="0"/>
    <s v="0.00%"/>
  </r>
  <r>
    <x v="2"/>
    <m/>
    <s v=".020"/>
    <m/>
    <s v="33.02.020"/>
    <x v="192"/>
    <n v="0"/>
    <n v="30570604"/>
    <n v="11523725"/>
    <n v="0.3769544429020768"/>
    <n v="11523725"/>
    <n v="0.3769544429020768"/>
    <n v="19046879"/>
    <n v="0.6230455570979232"/>
    <n v="0"/>
    <n v="0"/>
    <s v="0.00%"/>
  </r>
  <r>
    <x v="2"/>
    <m/>
    <s v=".018"/>
    <m/>
    <s v="33.02.018"/>
    <x v="193"/>
    <n v="0"/>
    <n v="0"/>
    <n v="0"/>
    <s v="0.00%"/>
    <n v="0"/>
    <n v="0"/>
    <n v="0"/>
    <n v="0"/>
    <n v="0"/>
    <n v="0"/>
    <s v="0.00%"/>
  </r>
  <r>
    <x v="2"/>
    <m/>
    <s v=".107"/>
    <m/>
    <s v="33.02.107"/>
    <x v="194"/>
    <n v="0"/>
    <n v="0"/>
    <n v="0"/>
    <s v="0.00%"/>
    <n v="0"/>
    <n v="0"/>
    <n v="0"/>
    <n v="0"/>
    <n v="0"/>
    <n v="0"/>
    <s v="0.00%"/>
  </r>
  <r>
    <x v="2"/>
    <m/>
    <s v=".914"/>
    <m/>
    <s v="33.02.914"/>
    <x v="137"/>
    <n v="0"/>
    <n v="0"/>
    <n v="0"/>
    <s v="0.00%"/>
    <n v="0"/>
    <n v="0"/>
    <n v="0"/>
    <n v="0"/>
    <n v="0"/>
    <n v="0"/>
    <s v="0.00%"/>
  </r>
  <r>
    <x v="2"/>
    <m/>
    <s v=".916"/>
    <m/>
    <s v="33.02.916"/>
    <x v="118"/>
    <n v="0"/>
    <n v="0"/>
    <n v="0"/>
    <s v="0.00%"/>
    <n v="0"/>
    <n v="0"/>
    <n v="0"/>
    <n v="0"/>
    <n v="0"/>
    <n v="0"/>
    <s v="0.00%"/>
  </r>
  <r>
    <x v="2"/>
    <m/>
    <s v=".020"/>
    <m/>
    <s v="33.02.020"/>
    <x v="195"/>
    <n v="0"/>
    <n v="0"/>
    <n v="0"/>
    <s v="0.00%"/>
    <n v="0"/>
    <n v="0"/>
    <n v="0"/>
    <n v="0"/>
    <n v="26729363.544999998"/>
    <n v="0"/>
    <n v="0"/>
  </r>
  <r>
    <x v="2"/>
    <s v=".03"/>
    <m/>
    <m/>
    <m/>
    <x v="196"/>
    <n v="301825406"/>
    <n v="292392340"/>
    <n v="143412902.17399999"/>
    <n v="0.49048105081685789"/>
    <n v="172033440.37400001"/>
    <n v="0.58836507267598059"/>
    <n v="120358899.62599997"/>
    <n v="0.41163492732401941"/>
    <n v="268761341.87299997"/>
    <n v="124780966.17888999"/>
    <n v="0.46428167573986062"/>
  </r>
  <r>
    <x v="2"/>
    <m/>
    <s v=".001"/>
    <m/>
    <s v="33.03.001"/>
    <x v="197"/>
    <n v="76538652"/>
    <n v="0"/>
    <n v="0"/>
    <s v="0.00%"/>
    <n v="0"/>
    <n v="0"/>
    <n v="0"/>
    <n v="0"/>
    <n v="40378316.497999996"/>
    <n v="0"/>
    <n v="0"/>
  </r>
  <r>
    <x v="2"/>
    <m/>
    <s v=".005"/>
    <m/>
    <m/>
    <x v="198"/>
    <n v="90277278"/>
    <n v="155277278"/>
    <n v="77304713.041999996"/>
    <n v="0.49784948601430273"/>
    <n v="85828829.418000013"/>
    <n v="0.5527455821192333"/>
    <n v="69448448.581999987"/>
    <n v="0.44725441788076675"/>
    <n v="96159192.855119988"/>
    <n v="56190896.248337001"/>
    <n v="0.58435282763862262"/>
  </r>
  <r>
    <x v="2"/>
    <m/>
    <m/>
    <m/>
    <s v="33.03.120.005.01"/>
    <x v="199"/>
    <n v="42112712"/>
    <n v="42112712"/>
    <n v="7996854.629999999"/>
    <n v="0.18989170372119465"/>
    <n v="9142700.1380000003"/>
    <n v="0.21710072098894986"/>
    <n v="32970011.862"/>
    <n v="0.78289927901105016"/>
    <n v="13123731.5625"/>
    <n v="2877623.2836409998"/>
    <n v="0.21926867902903283"/>
  </r>
  <r>
    <x v="2"/>
    <m/>
    <m/>
    <m/>
    <s v="33.03.120.005.02"/>
    <x v="200"/>
    <n v="26521300"/>
    <n v="73944300"/>
    <n v="47305570.348999999"/>
    <n v="0.63974600272096704"/>
    <n v="50643181.997000001"/>
    <n v="0.68488283744656453"/>
    <n v="23301118.002999999"/>
    <n v="0.31511716255343547"/>
    <n v="64023069.194199994"/>
    <n v="39078676.984733999"/>
    <n v="0.61038431110194624"/>
  </r>
  <r>
    <x v="2"/>
    <m/>
    <m/>
    <m/>
    <s v="33.03.120.005.05"/>
    <x v="201"/>
    <n v="16643266"/>
    <n v="17220266"/>
    <n v="13711589.243000001"/>
    <n v="0.79624723816693666"/>
    <n v="17207282.894000001"/>
    <n v="0.99924605659401555"/>
    <n v="12983.105999998748"/>
    <n v="7.539434059844806E-4"/>
    <n v="19012392.098419998"/>
    <n v="14234595.979961999"/>
    <n v="0.7487009475859141"/>
  </r>
  <r>
    <x v="2"/>
    <m/>
    <m/>
    <m/>
    <s v="33.03.120.005.05"/>
    <x v="202"/>
    <n v="5000000"/>
    <n v="22000000"/>
    <n v="8290698.8200000003"/>
    <n v="0.37684994636363639"/>
    <n v="8835664.3890000004"/>
    <n v="0.4016211085909091"/>
    <n v="13164335.611"/>
    <n v="0.59837889140909084"/>
    <n v="0"/>
    <n v="0"/>
    <s v="0.00%"/>
  </r>
  <r>
    <x v="2"/>
    <m/>
    <n v="6"/>
    <m/>
    <m/>
    <x v="203"/>
    <n v="56612173"/>
    <n v="91612173"/>
    <n v="51172728.272"/>
    <n v="0.55858000739705194"/>
    <n v="59936908.894999996"/>
    <n v="0.65424612180086583"/>
    <n v="31675264.104999993"/>
    <n v="0.345753878199134"/>
    <n v="76186060.144879997"/>
    <n v="49244855.333137996"/>
    <n v="0.64637619059826712"/>
  </r>
  <r>
    <x v="2"/>
    <m/>
    <m/>
    <m/>
    <s v="33.03.120.006.01"/>
    <x v="204"/>
    <n v="5736407"/>
    <n v="15653724.908"/>
    <n v="10685876.104"/>
    <n v="0.68264110726379712"/>
    <n v="12114075.704"/>
    <n v="0.77387815201792476"/>
    <n v="3539649.2039999999"/>
    <n v="0.22612184798207519"/>
    <n v="10535561.857549999"/>
    <n v="5454716.0024059983"/>
    <n v="0.51774324674455185"/>
  </r>
  <r>
    <x v="2"/>
    <m/>
    <m/>
    <m/>
    <s v="33.03.120.006.03"/>
    <x v="205"/>
    <n v="7925135"/>
    <n v="8943749.8080000002"/>
    <n v="3992413.1680000001"/>
    <n v="0.44639141900289614"/>
    <n v="6943749.8080000002"/>
    <n v="0.77638014893808394"/>
    <n v="2000000"/>
    <n v="0.22361985106191601"/>
    <n v="3586583.2855119999"/>
    <n v="2013210.7198449997"/>
    <n v="0.56131715328551346"/>
  </r>
  <r>
    <x v="2"/>
    <m/>
    <m/>
    <m/>
    <s v="33.03.120.006.04"/>
    <x v="206"/>
    <n v="1946254"/>
    <n v="5152457.91"/>
    <n v="3652476.341"/>
    <n v="0.7088803838477159"/>
    <n v="3751656.341"/>
    <n v="0.72812944938738955"/>
    <n v="1400801.5690000001"/>
    <n v="0.27187055061261045"/>
    <n v="3891384.9493089993"/>
    <n v="1540903.0276340002"/>
    <n v="0.39597805092698968"/>
  </r>
  <r>
    <x v="2"/>
    <m/>
    <m/>
    <m/>
    <s v="33.03.120.006.05"/>
    <x v="207"/>
    <n v="2260410"/>
    <n v="3219610"/>
    <n v="2236624.8229999999"/>
    <n v="0.69468812154267123"/>
    <n v="2307092.9279999998"/>
    <n v="0.71657527712983871"/>
    <n v="912517.07200000016"/>
    <n v="0.28342472287016135"/>
    <n v="3432051.2571379999"/>
    <n v="688947.31544100004"/>
    <n v="0.2007392267257441"/>
  </r>
  <r>
    <x v="2"/>
    <m/>
    <m/>
    <m/>
    <s v="33.03.120.006.06"/>
    <x v="208"/>
    <n v="21256852"/>
    <n v="21256852"/>
    <n v="2196936.6260000002"/>
    <n v="0.10335192746320104"/>
    <n v="2196936.6260000002"/>
    <n v="0.10335192746320104"/>
    <n v="19059915.373999998"/>
    <n v="0.8966480725367989"/>
    <n v="9627494.2669999991"/>
    <n v="3490372.5342229996"/>
    <n v="0.36254215660110972"/>
  </r>
  <r>
    <x v="2"/>
    <m/>
    <m/>
    <m/>
    <s v="33.03.120.006.07"/>
    <x v="209"/>
    <n v="17487115"/>
    <n v="37385778.373999998"/>
    <n v="28408401.209999997"/>
    <n v="0.75987186693848985"/>
    <n v="32623397.488000002"/>
    <n v="0.87261517365351948"/>
    <n v="4762380.8859999962"/>
    <n v="0.12738482634648052"/>
    <n v="45112984.528370999"/>
    <n v="36056705.733589001"/>
    <n v="0.79925338814401392"/>
  </r>
  <r>
    <x v="2"/>
    <m/>
    <s v=".010"/>
    <m/>
    <s v="33.03.010"/>
    <x v="210"/>
    <n v="0"/>
    <n v="0"/>
    <n v="0"/>
    <s v="0.00%"/>
    <n v="0"/>
    <n v="0"/>
    <n v="0"/>
    <n v="0"/>
    <n v="0"/>
    <n v="0"/>
    <s v="0.00%"/>
  </r>
  <r>
    <x v="2"/>
    <m/>
    <s v=".017"/>
    <m/>
    <s v="33.03.017"/>
    <x v="211"/>
    <n v="0"/>
    <n v="0"/>
    <n v="0"/>
    <s v="0.00%"/>
    <n v="0"/>
    <n v="0"/>
    <n v="0"/>
    <n v="0"/>
    <n v="0"/>
    <n v="0"/>
    <s v="0.00%"/>
  </r>
  <r>
    <x v="2"/>
    <m/>
    <s v=".020"/>
    <m/>
    <s v="33.03.020"/>
    <x v="212"/>
    <n v="0"/>
    <n v="0"/>
    <n v="0"/>
    <s v="0.00%"/>
    <n v="0"/>
    <n v="0"/>
    <n v="0"/>
    <n v="0"/>
    <n v="0"/>
    <n v="0"/>
    <s v="0.00%"/>
  </r>
  <r>
    <x v="2"/>
    <m/>
    <s v=".021"/>
    <m/>
    <s v="33.03.021"/>
    <x v="213"/>
    <n v="0"/>
    <n v="0"/>
    <n v="0"/>
    <s v="0.00%"/>
    <n v="0"/>
    <n v="0"/>
    <n v="0"/>
    <n v="0"/>
    <n v="0"/>
    <n v="0"/>
    <s v="0.00%"/>
  </r>
  <r>
    <x v="2"/>
    <m/>
    <s v=".025"/>
    <m/>
    <s v="33.03.025"/>
    <x v="214"/>
    <n v="0"/>
    <n v="0"/>
    <n v="0"/>
    <s v="0.00%"/>
    <n v="0"/>
    <n v="0"/>
    <n v="0"/>
    <n v="0"/>
    <n v="0"/>
    <n v="0"/>
    <s v="0.00%"/>
  </r>
  <r>
    <x v="2"/>
    <m/>
    <s v=".100"/>
    <m/>
    <s v="33.03.120.100"/>
    <x v="215"/>
    <n v="14656065"/>
    <n v="13367065"/>
    <n v="0"/>
    <n v="0"/>
    <n v="5309309.24"/>
    <n v="0.39719334349013791"/>
    <n v="8057755.7599999998"/>
    <n v="0.60280665650986209"/>
    <n v="14656064.664999999"/>
    <n v="734519.52222299995"/>
    <n v="5.011710435319644E-2"/>
  </r>
  <r>
    <x v="2"/>
    <m/>
    <s v=".110"/>
    <m/>
    <s v="33.03.110"/>
    <x v="216"/>
    <n v="16934493"/>
    <n v="16934493"/>
    <n v="12090974.628"/>
    <n v="0.71398503799316582"/>
    <n v="16934493"/>
    <n v="1"/>
    <n v="0"/>
    <n v="0"/>
    <n v="16934492.487"/>
    <n v="12171483.751975"/>
    <n v="0.7187392100069494"/>
  </r>
  <r>
    <x v="2"/>
    <m/>
    <s v=".111"/>
    <m/>
    <s v="33.03.111"/>
    <x v="217"/>
    <n v="8635311"/>
    <n v="8635311"/>
    <n v="2649707.4369999999"/>
    <n v="0.30684562918463504"/>
    <n v="3666663.216"/>
    <n v="0.42461275754862793"/>
    <n v="4968647.784"/>
    <n v="0.57538724245137207"/>
    <n v="17542835.693999998"/>
    <n v="6059217.1043319991"/>
    <n v="0.34539553410993712"/>
  </r>
  <r>
    <x v="2"/>
    <m/>
    <s v=".112"/>
    <m/>
    <s v="33.03.112"/>
    <x v="218"/>
    <n v="0"/>
    <n v="1249000"/>
    <n v="0"/>
    <n v="0"/>
    <n v="0"/>
    <n v="0"/>
    <n v="1249000"/>
    <n v="1"/>
    <n v="0"/>
    <n v="0"/>
    <n v="0"/>
  </r>
  <r>
    <x v="2"/>
    <m/>
    <s v=".130"/>
    <m/>
    <s v="33.03.130"/>
    <x v="219"/>
    <n v="0"/>
    <n v="0"/>
    <n v="0"/>
    <s v="0.00%"/>
    <n v="0"/>
    <n v="0"/>
    <n v="0"/>
    <n v="0"/>
    <n v="0"/>
    <n v="0"/>
    <s v="0.00%"/>
  </r>
  <r>
    <x v="2"/>
    <m/>
    <s v=".190"/>
    <m/>
    <s v="33.03.190"/>
    <x v="220"/>
    <n v="0"/>
    <n v="0"/>
    <n v="0"/>
    <s v="0.00%"/>
    <n v="0"/>
    <n v="0"/>
    <n v="0"/>
    <n v="0"/>
    <n v="0"/>
    <n v="0"/>
    <s v="0.00%"/>
  </r>
  <r>
    <x v="2"/>
    <m/>
    <s v=".418"/>
    <m/>
    <s v="33.03.418"/>
    <x v="221"/>
    <n v="0"/>
    <n v="0"/>
    <n v="0"/>
    <s v="0.00%"/>
    <n v="0"/>
    <n v="0"/>
    <n v="0"/>
    <n v="0"/>
    <n v="0"/>
    <n v="0"/>
    <s v="0.00%"/>
  </r>
  <r>
    <x v="2"/>
    <m/>
    <s v=".421"/>
    <m/>
    <s v="33.03.421"/>
    <x v="222"/>
    <n v="0"/>
    <n v="0"/>
    <n v="0"/>
    <s v="0.00%"/>
    <n v="0"/>
    <n v="0"/>
    <n v="0"/>
    <n v="0"/>
    <n v="0"/>
    <n v="0"/>
    <s v="0.00%"/>
  </r>
  <r>
    <x v="2"/>
    <m/>
    <s v=".426"/>
    <m/>
    <s v="33.03.426"/>
    <x v="223"/>
    <n v="0"/>
    <n v="0"/>
    <n v="0"/>
    <s v="0.00%"/>
    <n v="0"/>
    <n v="0"/>
    <n v="0"/>
    <n v="0"/>
    <n v="0"/>
    <n v="0"/>
    <s v="0.00%"/>
  </r>
  <r>
    <x v="2"/>
    <m/>
    <s v=".427"/>
    <m/>
    <s v="33.03.427"/>
    <x v="224"/>
    <n v="0"/>
    <n v="0"/>
    <n v="0"/>
    <s v="0.00%"/>
    <n v="0"/>
    <n v="0"/>
    <n v="0"/>
    <n v="0"/>
    <n v="0"/>
    <n v="0"/>
    <s v="0.00%"/>
  </r>
  <r>
    <x v="2"/>
    <m/>
    <s v=".428"/>
    <m/>
    <s v="33.03.428"/>
    <x v="225"/>
    <n v="0"/>
    <n v="0"/>
    <n v="0"/>
    <s v="0.00%"/>
    <n v="0"/>
    <n v="0"/>
    <n v="0"/>
    <n v="0"/>
    <n v="0"/>
    <n v="0"/>
    <s v="0.00%"/>
  </r>
  <r>
    <x v="2"/>
    <m/>
    <s v=".429"/>
    <m/>
    <s v="33.03.429"/>
    <x v="226"/>
    <n v="0"/>
    <n v="0"/>
    <n v="0"/>
    <s v="0.00%"/>
    <n v="0"/>
    <n v="0"/>
    <n v="0"/>
    <n v="0"/>
    <n v="0"/>
    <n v="0"/>
    <s v="0.00%"/>
  </r>
  <r>
    <x v="2"/>
    <m/>
    <s v=".431"/>
    <m/>
    <s v="33.03.431"/>
    <x v="227"/>
    <n v="0"/>
    <n v="0"/>
    <n v="0"/>
    <s v="0.00%"/>
    <n v="0"/>
    <n v="0"/>
    <n v="0"/>
    <n v="0"/>
    <n v="0"/>
    <n v="0"/>
    <s v="0.00%"/>
  </r>
  <r>
    <x v="2"/>
    <m/>
    <s v=".432"/>
    <m/>
    <s v="33.03.432"/>
    <x v="228"/>
    <n v="36987209"/>
    <n v="4352795"/>
    <n v="0"/>
    <n v="0"/>
    <n v="0"/>
    <n v="0"/>
    <n v="4352795"/>
    <n v="1"/>
    <n v="5667118.75"/>
    <n v="0"/>
    <n v="0"/>
  </r>
  <r>
    <x v="2"/>
    <m/>
    <s v=".433"/>
    <m/>
    <s v="33.03.433"/>
    <x v="229"/>
    <n v="0"/>
    <n v="0"/>
    <n v="0"/>
    <s v="0.00%"/>
    <n v="0"/>
    <n v="0"/>
    <n v="0"/>
    <n v="0"/>
    <n v="0"/>
    <n v="0"/>
    <s v="0.00%"/>
  </r>
  <r>
    <x v="2"/>
    <m/>
    <s v=".602"/>
    <m/>
    <s v="33.03.602"/>
    <x v="230"/>
    <n v="1184225"/>
    <n v="964225"/>
    <n v="194778.79499999998"/>
    <n v="0.20200554331198628"/>
    <n v="357236.60500000004"/>
    <n v="0.37049091757629188"/>
    <n v="606988.39500000002"/>
    <n v="0.62950908242370818"/>
    <n v="1237260.7790000001"/>
    <n v="379994.21888499998"/>
    <n v="0.3071254058438071"/>
  </r>
  <r>
    <x v="2"/>
    <m/>
    <s v=".001"/>
    <m/>
    <s v="33.03.001"/>
    <x v="231"/>
    <n v="520000"/>
    <n v="300000"/>
    <n v="7298.8450000000003"/>
    <n v="2.4329483333333336E-2"/>
    <n v="33226.521000000001"/>
    <n v="0.11075507"/>
    <n v="266773.47899999999"/>
    <n v="0.88924492999999993"/>
    <n v="552760"/>
    <n v="138149.410408"/>
    <n v="0.24992656923076922"/>
  </r>
  <r>
    <x v="2"/>
    <m/>
    <s v=".002"/>
    <m/>
    <s v="33.03.002"/>
    <x v="232"/>
    <n v="300292"/>
    <n v="300292"/>
    <n v="144468.73799999998"/>
    <n v="0.48109419498354927"/>
    <n v="210609.46100000001"/>
    <n v="0.70134889041333104"/>
    <n v="89682.53899999999"/>
    <n v="0.29865110958666896"/>
    <n v="297640"/>
    <n v="147560.96047699999"/>
    <n v="0.49576992499999994"/>
  </r>
  <r>
    <x v="2"/>
    <m/>
    <s v=".003"/>
    <m/>
    <s v="33.03.003"/>
    <x v="233"/>
    <n v="278933"/>
    <n v="278933"/>
    <n v="43011.212"/>
    <n v="0.15419908006582225"/>
    <n v="113400.62300000001"/>
    <n v="0.40655147651945095"/>
    <n v="165532.37699999998"/>
    <n v="0.593448523480549"/>
    <n v="296505.77899999998"/>
    <n v="83339.199999999997"/>
    <n v="0.28107108158590055"/>
  </r>
  <r>
    <x v="2"/>
    <m/>
    <s v=".004"/>
    <m/>
    <s v="33.03.004"/>
    <x v="234"/>
    <n v="35000"/>
    <n v="35000"/>
    <n v="0"/>
    <n v="0"/>
    <n v="0"/>
    <n v="0"/>
    <n v="35000"/>
    <n v="1"/>
    <n v="37205"/>
    <n v="10944.647999999999"/>
    <n v="0.29417142857142853"/>
  </r>
  <r>
    <x v="2"/>
    <m/>
    <s v=".005"/>
    <m/>
    <s v="33.03.005"/>
    <x v="235"/>
    <n v="50000"/>
    <n v="50000"/>
    <n v="0"/>
    <n v="0"/>
    <n v="0"/>
    <n v="0"/>
    <n v="50000"/>
    <n v="1"/>
    <n v="53150"/>
    <n v="0"/>
    <n v="0"/>
  </r>
  <r>
    <x v="13"/>
    <m/>
    <m/>
    <m/>
    <m/>
    <x v="236"/>
    <n v="17962498"/>
    <n v="19134769"/>
    <n v="17836695.336000003"/>
    <n v="0.93216151896058963"/>
    <n v="17836695.336000003"/>
    <n v="0.93216151896058963"/>
    <n v="1298073.6639999999"/>
    <n v="6.7838481039410509E-2"/>
    <n v="18533934.373999998"/>
    <n v="11796788.880415"/>
    <n v="0.63649674388422983"/>
  </r>
  <r>
    <x v="2"/>
    <s v="02            "/>
    <m/>
    <m/>
    <s v="34.02"/>
    <x v="237"/>
    <n v="15463357"/>
    <n v="15463357"/>
    <n v="14165285.787"/>
    <n v="0.9160550187776173"/>
    <n v="14165285.787"/>
    <n v="0.9160550187776173"/>
    <n v="1298071.2129999995"/>
    <n v="8.394498122238267E-2"/>
    <n v="14023529.704"/>
    <n v="8016883.6622299999"/>
    <n v="0.5716737391687704"/>
  </r>
  <r>
    <x v="2"/>
    <s v="04            "/>
    <m/>
    <m/>
    <s v="34.04"/>
    <x v="238"/>
    <n v="2499111"/>
    <n v="2499111"/>
    <n v="2499111"/>
    <n v="1"/>
    <n v="2499111"/>
    <n v="1"/>
    <n v="0"/>
    <n v="0"/>
    <n v="2406447.0379999997"/>
    <n v="1805616.7865329995"/>
    <n v="0.75032475596622694"/>
  </r>
  <r>
    <x v="2"/>
    <n v="6"/>
    <m/>
    <m/>
    <n v="34.06"/>
    <x v="239"/>
    <n v="0"/>
    <n v="0"/>
    <n v="0"/>
    <s v="0.00%"/>
    <n v="0"/>
    <n v="0"/>
    <n v="0"/>
    <n v="0"/>
    <n v="231102.57799999998"/>
    <n v="101467.177863"/>
    <n v="0.4390568843546177"/>
  </r>
  <r>
    <x v="2"/>
    <n v="7"/>
    <m/>
    <m/>
    <s v="34.07"/>
    <x v="240"/>
    <e v="#N/A"/>
    <n v="1172301"/>
    <e v="#N/A"/>
    <s v="0.00%"/>
    <n v="1172298.5490000001"/>
    <n v="0.99999790924003318"/>
    <n v="2.450999999884516"/>
    <n v="2.0907599668383087E-6"/>
    <n v="1872855.054"/>
    <n v="1872821.2537889997"/>
    <n v="0.9999819525750655"/>
  </r>
  <r>
    <x v="14"/>
    <m/>
    <m/>
    <m/>
    <m/>
    <x v="241"/>
    <n v="0"/>
    <n v="0"/>
    <n v="0"/>
    <s v="0.00%"/>
    <n v="0"/>
    <n v="0"/>
    <n v="0"/>
    <n v="0"/>
    <n v="0"/>
    <n v="0"/>
    <s v="0.00%"/>
  </r>
</pivotCacheRecords>
</file>

<file path=xl/pivotCache/pivotCacheRecords2.xml><?xml version="1.0" encoding="utf-8"?>
<pivotCacheRecords xmlns="http://schemas.openxmlformats.org/spreadsheetml/2006/main" xmlns:r="http://schemas.openxmlformats.org/officeDocument/2006/relationships" count="4">
  <r>
    <x v="0"/>
    <m/>
    <m/>
    <m/>
    <m/>
    <m/>
    <n v="38338247.997999996"/>
    <n v="41632947"/>
    <n v="34120172.134000003"/>
    <n v="0.81954736795355865"/>
    <n v="35450264.714000002"/>
    <n v="0.85149544455740789"/>
    <n v="6182682.2859999994"/>
    <n v="0.14850455544259211"/>
    <n v="36432664.593999997"/>
    <n v="25503627.748219997"/>
    <n v="0.70002092991079556"/>
    <n v="1330092.5799999982"/>
  </r>
  <r>
    <x v="1"/>
    <m/>
    <m/>
    <m/>
    <m/>
    <m/>
    <n v="7798353"/>
    <n v="8243810"/>
    <n v="3398639.63"/>
    <n v="0.41226564294907331"/>
    <n v="5342523.6840000004"/>
    <n v="0.64806487340198282"/>
    <n v="2901286.3159999996"/>
    <n v="0.35193512659801712"/>
    <n v="9893319.7399999984"/>
    <n v="3809358.3682840001"/>
    <n v="0.38504349079937861"/>
    <n v="1943884.0540000005"/>
  </r>
  <r>
    <x v="2"/>
    <m/>
    <m/>
    <m/>
    <m/>
    <m/>
    <n v="271469048"/>
    <n v="371478226"/>
    <n v="225251512.493"/>
    <n v="0.60636531760814427"/>
    <n v="253919674.15099999"/>
    <n v="0.68353851283601208"/>
    <n v="117558551.84900001"/>
    <n v="0.31646148716398792"/>
    <n v="311956056.67399997"/>
    <n v="202008714.49826798"/>
    <n v="0.64755503275697235"/>
    <n v="28668161.657999992"/>
  </r>
  <r>
    <x v="3"/>
    <m/>
    <m/>
    <m/>
    <m/>
    <m/>
    <n v="113525861"/>
    <n v="34923399"/>
    <n v="11523725"/>
    <n v="0.32997146125438709"/>
    <n v="11523725"/>
    <n v="0.32997146125438709"/>
    <n v="23399674"/>
    <n v="0.67002853874561297"/>
    <n v="72898247.119629994"/>
    <n v="1587151.4810000001"/>
    <n v="2.1772148765050525E-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26" cacheId="11" dataOnRows="1"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chartFormat="1">
  <location ref="B410:C413" firstHeaderRow="1" firstDataRow="1" firstDataCol="1" rowPageCount="1" colPageCount="1"/>
  <pivotFields count="18">
    <pivotField axis="axisPage" multipleItemSelectionAllowed="1" showAll="0">
      <items count="7">
        <item h="1" x="0"/>
        <item h="1" x="1"/>
        <item h="1" x="2"/>
        <item x="3"/>
        <item h="1" m="1" x="5"/>
        <item h="1" m="1" x="4"/>
        <item t="default"/>
      </items>
    </pivotField>
    <pivotField showAll="0"/>
    <pivotField showAll="0"/>
    <pivotField showAll="0"/>
    <pivotField showAll="0"/>
    <pivotField showAll="0"/>
    <pivotField numFmtId="3" showAll="0"/>
    <pivotField numFmtId="3" showAll="0"/>
    <pivotField dataField="1" numFmtId="3" showAll="0" defaultSubtotal="0"/>
    <pivotField numFmtId="172" showAll="0" defaultSubtotal="0"/>
    <pivotField numFmtId="41" showAll="0"/>
    <pivotField numFmtId="172" showAll="0"/>
    <pivotField dataField="1" numFmtId="41" showAll="0"/>
    <pivotField numFmtId="172" showAll="0"/>
    <pivotField numFmtId="3" showAll="0" defaultSubtotal="0"/>
    <pivotField numFmtId="3" showAll="0" defaultSubtotal="0"/>
    <pivotField numFmtId="172" showAll="0" defaultSubtota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1041228240"/>
    <dataField name="Saldo por ejecutar." fld="17" baseField="0" baseItem="1041228240"/>
    <dataField name="Saldo disponible M$." fld="12" baseField="0" baseItem="1041228240"/>
  </dataFields>
  <formats count="1">
    <format dxfId="124">
      <pivotArea outline="0" collapsedLevelsAreSubtotals="1" fieldPosition="0"/>
    </format>
  </formats>
  <chartFormats count="4">
    <chartFormat chart="0" format="11" series="1">
      <pivotArea type="data" outline="0" fieldPosition="0">
        <references count="1">
          <reference field="4294967294" count="1" selected="0">
            <x v="0"/>
          </reference>
        </references>
      </pivotArea>
    </chartFormat>
    <chartFormat chart="0" format="12">
      <pivotArea type="data" outline="0" fieldPosition="0">
        <references count="1">
          <reference field="4294967294" count="1" selected="0">
            <x v="0"/>
          </reference>
        </references>
      </pivotArea>
    </chartFormat>
    <chartFormat chart="0" format="13">
      <pivotArea type="data" outline="0" fieldPosition="0">
        <references count="1">
          <reference field="4294967294" count="1" selected="0">
            <x v="1"/>
          </reference>
        </references>
      </pivotArea>
    </chartFormat>
    <chartFormat chart="0" format="14">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8" cacheId="8"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chartFormat="1">
  <location ref="B3:D15" firstHeaderRow="0" firstDataRow="1" firstDataCol="1" rowPageCount="1" colPageCount="1"/>
  <pivotFields count="17">
    <pivotField axis="axisPage" multipleItemSelectionAllowed="1" showAll="0">
      <items count="16">
        <item x="3"/>
        <item x="4"/>
        <item x="5"/>
        <item x="7"/>
        <item x="9"/>
        <item x="10"/>
        <item x="11"/>
        <item x="12"/>
        <item x="13"/>
        <item x="14"/>
        <item h="1" x="6"/>
        <item x="1"/>
        <item h="1" x="0"/>
        <item h="1" x="2"/>
        <item h="1" x="8"/>
        <item t="default"/>
      </items>
    </pivotField>
    <pivotField showAll="0"/>
    <pivotField showAll="0"/>
    <pivotField showAll="0"/>
    <pivotField showAll="0"/>
    <pivotField axis="axisRow" showAll="0" defaultSubtotal="0">
      <items count="244">
        <item x="103"/>
        <item x="105"/>
        <item x="151"/>
        <item x="138"/>
        <item x="116"/>
        <item x="108"/>
        <item m="1" x="242"/>
        <item x="210"/>
        <item x="211"/>
        <item x="212"/>
        <item x="213"/>
        <item x="214"/>
        <item x="216"/>
        <item x="217"/>
        <item x="153"/>
        <item x="154"/>
        <item x="152"/>
        <item x="117"/>
        <item x="137"/>
        <item x="155"/>
        <item x="196"/>
        <item x="17"/>
        <item x="71"/>
        <item x="167"/>
        <item x="162"/>
        <item x="66"/>
        <item x="28"/>
        <item x="118"/>
        <item x="174"/>
        <item x="119"/>
        <item x="237"/>
        <item x="172"/>
        <item x="171"/>
        <item x="16"/>
        <item x="90"/>
        <item x="91"/>
        <item x="93"/>
        <item x="92"/>
        <item x="7"/>
        <item x="5"/>
        <item x="9"/>
        <item x="13"/>
        <item x="37"/>
        <item x="33"/>
        <item x="24"/>
        <item x="6"/>
        <item x="36"/>
        <item x="10"/>
        <item x="34"/>
        <item x="35"/>
        <item x="19"/>
        <item x="11"/>
        <item x="204"/>
        <item x="44"/>
        <item x="29"/>
        <item x="30"/>
        <item x="48"/>
        <item x="139"/>
        <item x="49"/>
        <item x="27"/>
        <item x="26"/>
        <item x="12"/>
        <item x="0"/>
        <item x="68"/>
        <item x="201"/>
        <item x="99"/>
        <item x="169"/>
        <item x="21"/>
        <item x="20"/>
        <item x="240"/>
        <item x="65"/>
        <item x="200"/>
        <item x="72"/>
        <item x="165"/>
        <item x="62"/>
        <item x="98"/>
        <item x="207"/>
        <item x="142"/>
        <item x="228"/>
        <item x="226"/>
        <item m="1" x="243"/>
        <item x="229"/>
        <item x="215"/>
        <item x="106"/>
        <item x="111"/>
        <item x="67"/>
        <item x="96"/>
        <item x="8"/>
        <item x="1"/>
        <item x="102"/>
        <item x="39"/>
        <item x="40"/>
        <item x="41"/>
        <item x="157"/>
        <item x="58"/>
        <item x="238"/>
        <item x="208"/>
        <item x="74"/>
        <item x="79"/>
        <item x="78"/>
        <item x="77"/>
        <item x="75"/>
        <item x="73"/>
        <item x="52"/>
        <item x="51"/>
        <item x="59"/>
        <item x="56"/>
        <item x="55"/>
        <item x="57"/>
        <item x="144"/>
        <item x="149"/>
        <item x="230"/>
        <item x="145"/>
        <item x="209"/>
        <item x="148"/>
        <item x="146"/>
        <item x="18"/>
        <item x="38"/>
        <item x="206"/>
        <item x="80"/>
        <item x="63"/>
        <item x="101"/>
        <item x="239"/>
        <item x="158"/>
        <item x="61"/>
        <item x="50"/>
        <item x="87"/>
        <item x="31"/>
        <item x="2"/>
        <item x="234"/>
        <item x="104"/>
        <item x="168"/>
        <item x="95"/>
        <item x="53"/>
        <item x="140"/>
        <item x="143"/>
        <item x="150"/>
        <item x="195"/>
        <item x="129"/>
        <item x="131"/>
        <item x="124"/>
        <item x="125"/>
        <item x="126"/>
        <item x="132"/>
        <item x="134"/>
        <item x="122"/>
        <item x="130"/>
        <item x="123"/>
        <item x="128"/>
        <item x="133"/>
        <item x="135"/>
        <item x="120"/>
        <item x="127"/>
        <item x="175"/>
        <item x="176"/>
        <item x="177"/>
        <item x="178"/>
        <item x="183"/>
        <item x="187"/>
        <item x="179"/>
        <item x="180"/>
        <item x="181"/>
        <item x="182"/>
        <item x="184"/>
        <item x="185"/>
        <item x="186"/>
        <item x="188"/>
        <item x="189"/>
        <item x="190"/>
        <item x="166"/>
        <item x="223"/>
        <item x="222"/>
        <item x="221"/>
        <item x="220"/>
        <item x="219"/>
        <item x="227"/>
        <item x="224"/>
        <item x="225"/>
        <item x="81"/>
        <item x="23"/>
        <item x="60"/>
        <item x="88"/>
        <item x="241"/>
        <item x="100"/>
        <item x="236"/>
        <item x="194"/>
        <item x="64"/>
        <item x="85"/>
        <item x="83"/>
        <item x="82"/>
        <item x="89"/>
        <item x="86"/>
        <item x="94"/>
        <item x="84"/>
        <item x="235"/>
        <item x="97"/>
        <item x="231"/>
        <item x="233"/>
        <item x="191"/>
        <item x="4"/>
        <item x="32"/>
        <item x="3"/>
        <item x="42"/>
        <item x="70"/>
        <item x="69"/>
        <item x="205"/>
        <item x="46"/>
        <item x="45"/>
        <item x="25"/>
        <item x="199"/>
        <item x="107"/>
        <item x="173"/>
        <item x="232"/>
        <item x="112"/>
        <item x="113"/>
        <item x="110"/>
        <item x="47"/>
        <item x="43"/>
        <item x="114"/>
        <item x="115"/>
        <item x="170"/>
        <item x="54"/>
        <item x="76"/>
        <item x="202"/>
        <item x="156"/>
        <item x="121"/>
        <item x="193"/>
        <item x="147"/>
        <item x="160"/>
        <item x="161"/>
        <item x="15"/>
        <item x="22"/>
        <item x="163"/>
        <item x="141"/>
        <item x="198"/>
        <item x="203"/>
        <item x="14"/>
        <item x="197"/>
        <item x="164"/>
        <item x="136"/>
        <item x="192"/>
        <item x="109"/>
        <item x="218"/>
        <item x="159"/>
      </items>
    </pivotField>
    <pivotField dataField="1" numFmtId="3" showAll="0"/>
    <pivotField dataField="1" numFmtId="3" showAll="0"/>
    <pivotField numFmtId="3" showAll="0" defaultSubtotal="0"/>
    <pivotField showAll="0" defaultSubtotal="0"/>
    <pivotField showAll="0"/>
    <pivotField showAll="0"/>
    <pivotField showAll="0"/>
    <pivotField numFmtId="172" showAll="0"/>
    <pivotField numFmtId="3" showAll="0" defaultSubtotal="0"/>
    <pivotField numFmtId="3" showAll="0" defaultSubtotal="0"/>
    <pivotField showAll="0" defaultSubtotal="0"/>
  </pivotFields>
  <rowFields count="1">
    <field x="5"/>
  </rowFields>
  <rowItems count="12">
    <i>
      <x v="23"/>
    </i>
    <i>
      <x v="24"/>
    </i>
    <i>
      <x v="53"/>
    </i>
    <i>
      <x v="88"/>
    </i>
    <i>
      <x v="93"/>
    </i>
    <i>
      <x v="130"/>
    </i>
    <i>
      <x v="131"/>
    </i>
    <i>
      <x v="182"/>
    </i>
    <i>
      <x v="184"/>
    </i>
    <i>
      <x v="210"/>
    </i>
    <i>
      <x v="211"/>
    </i>
    <i t="grand">
      <x/>
    </i>
  </rowItems>
  <colFields count="1">
    <field x="-2"/>
  </colFields>
  <colItems count="2">
    <i>
      <x/>
    </i>
    <i i="1">
      <x v="1"/>
    </i>
  </colItems>
  <pageFields count="1">
    <pageField fld="0" hier="-1"/>
  </pageFields>
  <dataFields count="2">
    <dataField name=" Presupuesto Inicial 2023 M$." fld="6" baseField="0" baseItem="2132074096"/>
    <dataField name="Presupuesto Vigente 2023 M$" fld="7" baseField="0" baseItem="2132074096"/>
  </dataFields>
  <chartFormats count="9">
    <chartFormat chart="0" format="14" series="1">
      <pivotArea type="data" outline="0" fieldPosition="0">
        <references count="1">
          <reference field="4294967294" count="1" selected="0">
            <x v="0"/>
          </reference>
        </references>
      </pivotArea>
    </chartFormat>
    <chartFormat chart="0" format="15" series="1">
      <pivotArea type="data" outline="0" fieldPosition="0">
        <references count="1">
          <reference field="4294967294" count="1" selected="0">
            <x v="1"/>
          </reference>
        </references>
      </pivotArea>
    </chartFormat>
    <chartFormat chart="0" format="16">
      <pivotArea type="data" outline="0" fieldPosition="0">
        <references count="2">
          <reference field="4294967294" count="1" selected="0">
            <x v="1"/>
          </reference>
          <reference field="5" count="1" selected="0">
            <x v="211"/>
          </reference>
        </references>
      </pivotArea>
    </chartFormat>
    <chartFormat chart="0" format="17">
      <pivotArea type="data" outline="0" fieldPosition="0">
        <references count="2">
          <reference field="4294967294" count="1" selected="0">
            <x v="1"/>
          </reference>
          <reference field="5" count="1" selected="0">
            <x v="210"/>
          </reference>
        </references>
      </pivotArea>
    </chartFormat>
    <chartFormat chart="0" format="18">
      <pivotArea type="data" outline="0" fieldPosition="0">
        <references count="2">
          <reference field="4294967294" count="1" selected="0">
            <x v="0"/>
          </reference>
          <reference field="5" count="1" selected="0">
            <x v="184"/>
          </reference>
        </references>
      </pivotArea>
    </chartFormat>
    <chartFormat chart="0" format="19">
      <pivotArea type="data" outline="0" fieldPosition="0">
        <references count="2">
          <reference field="4294967294" count="1" selected="0">
            <x v="1"/>
          </reference>
          <reference field="5" count="1" selected="0">
            <x v="184"/>
          </reference>
        </references>
      </pivotArea>
    </chartFormat>
    <chartFormat chart="0" format="20">
      <pivotArea type="data" outline="0" fieldPosition="0">
        <references count="2">
          <reference field="4294967294" count="1" selected="0">
            <x v="1"/>
          </reference>
          <reference field="5" count="1" selected="0">
            <x v="131"/>
          </reference>
        </references>
      </pivotArea>
    </chartFormat>
    <chartFormat chart="0" format="21">
      <pivotArea type="data" outline="0" fieldPosition="0">
        <references count="2">
          <reference field="4294967294" count="1" selected="0">
            <x v="1"/>
          </reference>
          <reference field="5" count="1" selected="0">
            <x v="88"/>
          </reference>
        </references>
      </pivotArea>
    </chartFormat>
    <chartFormat chart="0" format="22">
      <pivotArea type="data" outline="0" fieldPosition="0">
        <references count="2">
          <reference field="4294967294" count="1" selected="0">
            <x v="1"/>
          </reference>
          <reference field="5" count="1" selected="0">
            <x v="5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24" cacheId="11" dataOnRows="1"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chartFormat="1">
  <location ref="B349:C352" firstHeaderRow="1" firstDataRow="1" firstDataCol="1" rowPageCount="1" colPageCount="1"/>
  <pivotFields count="18">
    <pivotField axis="axisPage" multipleItemSelectionAllowed="1" showAll="0">
      <items count="7">
        <item h="1" x="0"/>
        <item x="1"/>
        <item h="1" x="2"/>
        <item h="1" x="3"/>
        <item h="1" m="1" x="5"/>
        <item h="1" m="1" x="4"/>
        <item t="default"/>
      </items>
    </pivotField>
    <pivotField showAll="0"/>
    <pivotField showAll="0"/>
    <pivotField showAll="0"/>
    <pivotField showAll="0"/>
    <pivotField showAll="0"/>
    <pivotField numFmtId="3" showAll="0"/>
    <pivotField numFmtId="3" showAll="0"/>
    <pivotField dataField="1" numFmtId="3" showAll="0" defaultSubtotal="0"/>
    <pivotField numFmtId="172" showAll="0" defaultSubtotal="0"/>
    <pivotField numFmtId="41" showAll="0"/>
    <pivotField numFmtId="172" showAll="0"/>
    <pivotField dataField="1" numFmtId="41" showAll="0"/>
    <pivotField numFmtId="172" showAll="0"/>
    <pivotField numFmtId="3" showAll="0" defaultSubtotal="0"/>
    <pivotField numFmtId="3" showAll="0" defaultSubtotal="0"/>
    <pivotField numFmtId="172" showAll="0" defaultSubtota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1041228240"/>
    <dataField name="Saldo por ejecutar." fld="17" baseField="0" baseItem="1041228240"/>
    <dataField name="Saldo disponible." fld="12" baseField="0" baseItem="1041228240"/>
  </dataFields>
  <formats count="1">
    <format dxfId="125">
      <pivotArea outline="0" collapsedLevelsAreSubtotals="1" fieldPosition="0"/>
    </format>
  </formats>
  <chartFormats count="5">
    <chartFormat chart="0" format="19" series="1">
      <pivotArea type="data" outline="0" fieldPosition="0">
        <references count="1">
          <reference field="4294967294" count="1" selected="0">
            <x v="1"/>
          </reference>
        </references>
      </pivotArea>
    </chartFormat>
    <chartFormat chart="0" format="20" series="1">
      <pivotArea type="data" outline="0" fieldPosition="0">
        <references count="1">
          <reference field="4294967294" count="1" selected="0">
            <x v="0"/>
          </reference>
        </references>
      </pivotArea>
    </chartFormat>
    <chartFormat chart="0" format="21">
      <pivotArea type="data" outline="0" fieldPosition="0">
        <references count="1">
          <reference field="4294967294" count="1" selected="0">
            <x v="0"/>
          </reference>
        </references>
      </pivotArea>
    </chartFormat>
    <chartFormat chart="0" format="22">
      <pivotArea type="data" outline="0" fieldPosition="0">
        <references count="1">
          <reference field="4294967294" count="1" selected="0">
            <x v="1"/>
          </reference>
        </references>
      </pivotArea>
    </chartFormat>
    <chartFormat chart="0" format="23">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0" cacheId="11"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chartFormat="1">
  <location ref="B287:D292" firstHeaderRow="0" firstDataRow="1" firstDataCol="1"/>
  <pivotFields count="18">
    <pivotField axis="axisRow" showAll="0">
      <items count="7">
        <item x="0"/>
        <item x="1"/>
        <item x="2"/>
        <item x="3"/>
        <item m="1" x="5"/>
        <item m="1" x="4"/>
        <item t="default"/>
      </items>
    </pivotField>
    <pivotField showAll="0"/>
    <pivotField showAll="0"/>
    <pivotField showAll="0"/>
    <pivotField showAll="0"/>
    <pivotField showAll="0"/>
    <pivotField numFmtId="3" showAll="0"/>
    <pivotField numFmtId="3" showAll="0"/>
    <pivotField numFmtId="3" showAll="0" defaultSubtotal="0"/>
    <pivotField dataField="1" numFmtId="172" showAll="0" defaultSubtotal="0"/>
    <pivotField numFmtId="41" showAll="0"/>
    <pivotField numFmtId="172" showAll="0"/>
    <pivotField numFmtId="41" showAll="0"/>
    <pivotField numFmtId="172" showAll="0"/>
    <pivotField numFmtId="3" showAll="0" defaultSubtotal="0"/>
    <pivotField numFmtId="3" showAll="0" defaultSubtotal="0"/>
    <pivotField dataField="1" numFmtId="172" showAll="0" defaultSubtotal="0"/>
    <pivotField numFmtId="41" showAll="0"/>
  </pivotFields>
  <rowFields count="1">
    <field x="0"/>
  </rowFields>
  <rowItems count="5">
    <i>
      <x/>
    </i>
    <i>
      <x v="1"/>
    </i>
    <i>
      <x v="2"/>
    </i>
    <i>
      <x v="3"/>
    </i>
    <i t="grand">
      <x/>
    </i>
  </rowItems>
  <colFields count="1">
    <field x="-2"/>
  </colFields>
  <colItems count="2">
    <i>
      <x/>
    </i>
    <i i="1">
      <x v="1"/>
    </i>
  </colItems>
  <dataFields count="2">
    <dataField name=" % de Ejecución 2023 M$." fld="9" baseField="0" baseItem="2132074096"/>
    <dataField name="% Ejecución 2022 M$." fld="16" baseField="0" baseItem="2132074096"/>
  </dataFields>
  <formats count="1">
    <format dxfId="126">
      <pivotArea outline="0" collapsedLevelsAreSubtotals="1" fieldPosition="0"/>
    </format>
  </formats>
  <chartFormats count="3">
    <chartFormat chart="0" format="14" series="1">
      <pivotArea type="data" outline="0" fieldPosition="0">
        <references count="1">
          <reference field="4294967294" count="1" selected="0">
            <x v="0"/>
          </reference>
        </references>
      </pivotArea>
    </chartFormat>
    <chartFormat chart="0" format="15" series="1">
      <pivotArea type="data" outline="0" fieldPosition="0">
        <references count="1">
          <reference field="4294967294" count="1" selected="0">
            <x v="1"/>
          </reference>
        </references>
      </pivotArea>
    </chartFormat>
    <chartFormat chart="0" format="16">
      <pivotArea type="data" outline="0" fieldPosition="0">
        <references count="2">
          <reference field="4294967294" count="1" selected="0">
            <x v="0"/>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7" cacheId="8"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chartFormat="1">
  <location ref="B136:D146" firstHeaderRow="0" firstDataRow="1" firstDataCol="1" rowPageCount="1" colPageCount="1"/>
  <pivotFields count="17">
    <pivotField axis="axisPage" multipleItemSelectionAllowed="1" showAll="0" defaultSubtotal="0">
      <items count="15">
        <item x="3"/>
        <item x="4"/>
        <item x="5"/>
        <item x="7"/>
        <item x="9"/>
        <item h="1" x="10"/>
        <item x="11"/>
        <item x="12"/>
        <item x="13"/>
        <item h="1" x="14"/>
        <item h="1" x="6"/>
        <item x="1"/>
        <item h="1" x="0"/>
        <item h="1" x="2"/>
        <item h="1" x="8"/>
      </items>
    </pivotField>
    <pivotField showAll="0"/>
    <pivotField showAll="0"/>
    <pivotField showAll="0"/>
    <pivotField showAll="0"/>
    <pivotField axis="axisRow" showAll="0" defaultSubtotal="0">
      <items count="244">
        <item x="103"/>
        <item x="105"/>
        <item x="151"/>
        <item x="138"/>
        <item x="116"/>
        <item x="108"/>
        <item m="1" x="242"/>
        <item x="210"/>
        <item x="211"/>
        <item x="212"/>
        <item x="213"/>
        <item x="214"/>
        <item x="216"/>
        <item x="217"/>
        <item x="153"/>
        <item x="154"/>
        <item x="152"/>
        <item x="117"/>
        <item x="137"/>
        <item x="155"/>
        <item x="196"/>
        <item x="17"/>
        <item x="71"/>
        <item x="167"/>
        <item x="162"/>
        <item x="66"/>
        <item x="28"/>
        <item x="118"/>
        <item x="174"/>
        <item x="119"/>
        <item x="237"/>
        <item x="172"/>
        <item x="171"/>
        <item x="16"/>
        <item x="90"/>
        <item x="91"/>
        <item x="93"/>
        <item x="92"/>
        <item x="7"/>
        <item x="5"/>
        <item x="9"/>
        <item x="13"/>
        <item x="37"/>
        <item x="33"/>
        <item x="24"/>
        <item x="6"/>
        <item x="36"/>
        <item x="10"/>
        <item x="34"/>
        <item x="35"/>
        <item x="19"/>
        <item x="11"/>
        <item x="204"/>
        <item x="44"/>
        <item x="29"/>
        <item x="30"/>
        <item x="48"/>
        <item x="139"/>
        <item x="49"/>
        <item x="27"/>
        <item x="26"/>
        <item x="12"/>
        <item x="0"/>
        <item x="68"/>
        <item x="201"/>
        <item x="99"/>
        <item x="169"/>
        <item x="21"/>
        <item x="20"/>
        <item x="240"/>
        <item x="65"/>
        <item x="200"/>
        <item x="72"/>
        <item x="165"/>
        <item x="62"/>
        <item x="98"/>
        <item x="207"/>
        <item x="142"/>
        <item x="228"/>
        <item x="226"/>
        <item m="1" x="243"/>
        <item x="229"/>
        <item x="215"/>
        <item x="106"/>
        <item x="111"/>
        <item x="67"/>
        <item x="96"/>
        <item x="8"/>
        <item x="1"/>
        <item x="102"/>
        <item x="39"/>
        <item x="40"/>
        <item x="41"/>
        <item x="157"/>
        <item x="58"/>
        <item x="238"/>
        <item x="208"/>
        <item x="74"/>
        <item x="79"/>
        <item x="78"/>
        <item x="77"/>
        <item x="75"/>
        <item x="73"/>
        <item x="52"/>
        <item x="51"/>
        <item x="59"/>
        <item x="56"/>
        <item x="55"/>
        <item x="57"/>
        <item x="144"/>
        <item x="149"/>
        <item x="230"/>
        <item x="145"/>
        <item x="209"/>
        <item x="148"/>
        <item x="146"/>
        <item x="18"/>
        <item x="38"/>
        <item x="206"/>
        <item x="80"/>
        <item x="63"/>
        <item x="101"/>
        <item x="239"/>
        <item x="158"/>
        <item x="61"/>
        <item x="50"/>
        <item x="87"/>
        <item x="31"/>
        <item x="2"/>
        <item x="234"/>
        <item x="104"/>
        <item x="168"/>
        <item x="95"/>
        <item x="53"/>
        <item x="140"/>
        <item x="143"/>
        <item x="150"/>
        <item x="195"/>
        <item x="129"/>
        <item x="131"/>
        <item x="124"/>
        <item x="125"/>
        <item x="126"/>
        <item x="132"/>
        <item x="134"/>
        <item x="122"/>
        <item x="130"/>
        <item x="123"/>
        <item x="128"/>
        <item x="133"/>
        <item x="135"/>
        <item x="120"/>
        <item x="127"/>
        <item x="175"/>
        <item x="176"/>
        <item x="177"/>
        <item x="178"/>
        <item x="183"/>
        <item x="187"/>
        <item x="179"/>
        <item x="180"/>
        <item x="181"/>
        <item x="182"/>
        <item x="184"/>
        <item x="185"/>
        <item x="186"/>
        <item x="188"/>
        <item x="189"/>
        <item x="190"/>
        <item x="166"/>
        <item x="223"/>
        <item x="222"/>
        <item x="221"/>
        <item x="220"/>
        <item x="219"/>
        <item x="227"/>
        <item x="224"/>
        <item x="225"/>
        <item x="81"/>
        <item x="23"/>
        <item x="60"/>
        <item x="88"/>
        <item x="241"/>
        <item x="100"/>
        <item x="236"/>
        <item x="194"/>
        <item x="64"/>
        <item x="85"/>
        <item x="83"/>
        <item x="82"/>
        <item x="89"/>
        <item x="86"/>
        <item x="94"/>
        <item x="84"/>
        <item x="235"/>
        <item x="97"/>
        <item x="231"/>
        <item x="233"/>
        <item x="191"/>
        <item x="4"/>
        <item x="32"/>
        <item x="3"/>
        <item x="42"/>
        <item x="70"/>
        <item x="69"/>
        <item x="205"/>
        <item x="46"/>
        <item x="45"/>
        <item x="25"/>
        <item x="199"/>
        <item x="107"/>
        <item x="173"/>
        <item x="232"/>
        <item x="112"/>
        <item x="113"/>
        <item x="110"/>
        <item x="47"/>
        <item x="43"/>
        <item x="114"/>
        <item x="115"/>
        <item x="170"/>
        <item x="54"/>
        <item x="76"/>
        <item x="202"/>
        <item x="156"/>
        <item x="121"/>
        <item x="193"/>
        <item x="147"/>
        <item x="160"/>
        <item x="161"/>
        <item x="15"/>
        <item x="22"/>
        <item x="163"/>
        <item x="141"/>
        <item x="198"/>
        <item x="203"/>
        <item x="14"/>
        <item x="197"/>
        <item x="164"/>
        <item x="136"/>
        <item x="192"/>
        <item x="109"/>
        <item x="218"/>
        <item x="159"/>
      </items>
    </pivotField>
    <pivotField numFmtId="3" showAll="0"/>
    <pivotField numFmtId="3" showAll="0"/>
    <pivotField numFmtId="3" showAll="0" defaultSubtotal="0"/>
    <pivotField dataField="1" showAll="0" defaultSubtotal="0"/>
    <pivotField showAll="0"/>
    <pivotField showAll="0"/>
    <pivotField showAll="0"/>
    <pivotField numFmtId="172" showAll="0"/>
    <pivotField numFmtId="3" showAll="0" defaultSubtotal="0"/>
    <pivotField numFmtId="3" showAll="0" defaultSubtotal="0"/>
    <pivotField dataField="1" showAll="0" defaultSubtotal="0"/>
  </pivotFields>
  <rowFields count="1">
    <field x="5"/>
  </rowFields>
  <rowItems count="10">
    <i>
      <x v="24"/>
    </i>
    <i>
      <x v="53"/>
    </i>
    <i>
      <x v="88"/>
    </i>
    <i>
      <x v="93"/>
    </i>
    <i>
      <x v="130"/>
    </i>
    <i>
      <x v="131"/>
    </i>
    <i>
      <x v="184"/>
    </i>
    <i>
      <x v="210"/>
    </i>
    <i>
      <x v="211"/>
    </i>
    <i t="grand">
      <x/>
    </i>
  </rowItems>
  <colFields count="1">
    <field x="-2"/>
  </colFields>
  <colItems count="2">
    <i>
      <x/>
    </i>
    <i i="1">
      <x v="1"/>
    </i>
  </colItems>
  <pageFields count="1">
    <pageField fld="0" hier="-1"/>
  </pageFields>
  <dataFields count="2">
    <dataField name="% de Ejecución  2023 M$." fld="9" baseField="0" baseItem="2132074096"/>
    <dataField name="% Ejecución 2022 M$." fld="16" baseField="0" baseItem="2132074096"/>
  </dataFields>
  <formats count="1">
    <format dxfId="127">
      <pivotArea outline="0" collapsedLevelsAreSubtotals="1" fieldPosition="0"/>
    </format>
  </formats>
  <chartFormats count="2">
    <chartFormat chart="0" format="28" series="1">
      <pivotArea type="data" outline="0" fieldPosition="0">
        <references count="1">
          <reference field="4294967294" count="1" selected="0">
            <x v="1"/>
          </reference>
        </references>
      </pivotArea>
    </chartFormat>
    <chartFormat chart="0" format="3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25" cacheId="11" dataOnRows="1"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chartFormat="1">
  <location ref="B376:C379" firstHeaderRow="1" firstDataRow="1" firstDataCol="1" rowPageCount="1" colPageCount="1"/>
  <pivotFields count="18">
    <pivotField axis="axisPage" multipleItemSelectionAllowed="1" showAll="0">
      <items count="7">
        <item h="1" x="0"/>
        <item h="1" x="1"/>
        <item x="2"/>
        <item h="1" x="3"/>
        <item h="1" m="1" x="5"/>
        <item h="1" m="1" x="4"/>
        <item t="default"/>
      </items>
    </pivotField>
    <pivotField showAll="0"/>
    <pivotField showAll="0"/>
    <pivotField showAll="0"/>
    <pivotField showAll="0"/>
    <pivotField showAll="0"/>
    <pivotField numFmtId="3" showAll="0"/>
    <pivotField numFmtId="3" showAll="0"/>
    <pivotField dataField="1" numFmtId="3" showAll="0" defaultSubtotal="0"/>
    <pivotField numFmtId="172" showAll="0" defaultSubtotal="0"/>
    <pivotField numFmtId="41" showAll="0"/>
    <pivotField numFmtId="172" showAll="0"/>
    <pivotField dataField="1" numFmtId="41" showAll="0"/>
    <pivotField numFmtId="172" showAll="0"/>
    <pivotField numFmtId="3" showAll="0" defaultSubtotal="0"/>
    <pivotField numFmtId="3" showAll="0" defaultSubtotal="0"/>
    <pivotField numFmtId="172" showAll="0" defaultSubtota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1041228240"/>
    <dataField name="Saldo por ejecutar." fld="17" baseField="0" baseItem="1041228240"/>
    <dataField name="Saldo disponible." fld="12" baseField="0" baseItem="1041228240"/>
  </dataFields>
  <chartFormats count="4">
    <chartFormat chart="0" format="12" series="1">
      <pivotArea type="data" outline="0" fieldPosition="0">
        <references count="1">
          <reference field="4294967294" count="1" selected="0">
            <x v="0"/>
          </reference>
        </references>
      </pivotArea>
    </chartFormat>
    <chartFormat chart="0" format="13">
      <pivotArea type="data" outline="0" fieldPosition="0">
        <references count="1">
          <reference field="4294967294" count="1" selected="0">
            <x v="0"/>
          </reference>
        </references>
      </pivotArea>
    </chartFormat>
    <chartFormat chart="0" format="14">
      <pivotArea type="data" outline="0" fieldPosition="0">
        <references count="1">
          <reference field="4294967294" count="1" selected="0">
            <x v="1"/>
          </reference>
        </references>
      </pivotArea>
    </chartFormat>
    <chartFormat chart="0" format="15">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23" cacheId="11" dataOnRows="1"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chartFormat="1">
  <location ref="B327:C330" firstHeaderRow="1" firstDataRow="1" firstDataCol="1" rowPageCount="1" colPageCount="1"/>
  <pivotFields count="18">
    <pivotField axis="axisPage" multipleItemSelectionAllowed="1" showAll="0">
      <items count="7">
        <item x="0"/>
        <item h="1" x="1"/>
        <item h="1" x="2"/>
        <item h="1" x="3"/>
        <item h="1" m="1" x="5"/>
        <item h="1" m="1" x="4"/>
        <item t="default"/>
      </items>
    </pivotField>
    <pivotField showAll="0"/>
    <pivotField showAll="0"/>
    <pivotField showAll="0"/>
    <pivotField showAll="0"/>
    <pivotField showAll="0"/>
    <pivotField numFmtId="3" showAll="0"/>
    <pivotField numFmtId="3" showAll="0"/>
    <pivotField dataField="1" numFmtId="3" showAll="0" defaultSubtotal="0"/>
    <pivotField numFmtId="172" showAll="0" defaultSubtotal="0"/>
    <pivotField numFmtId="41" showAll="0"/>
    <pivotField numFmtId="172" showAll="0"/>
    <pivotField dataField="1" numFmtId="41" showAll="0"/>
    <pivotField numFmtId="172" showAll="0"/>
    <pivotField numFmtId="3" showAll="0" defaultSubtotal="0"/>
    <pivotField numFmtId="3" showAll="0" defaultSubtotal="0"/>
    <pivotField numFmtId="172" showAll="0" defaultSubtota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1041228240" numFmtId="175"/>
    <dataField name="Saldo por ejecutar." fld="17" baseField="0" baseItem="1041228240"/>
    <dataField name="Saldo disponible." fld="12" baseField="0" baseItem="1041228240"/>
  </dataFields>
  <chartFormats count="4">
    <chartFormat chart="0" format="37" series="1">
      <pivotArea type="data" outline="0" fieldPosition="0">
        <references count="1">
          <reference field="4294967294" count="1" selected="0">
            <x v="0"/>
          </reference>
        </references>
      </pivotArea>
    </chartFormat>
    <chartFormat chart="0" format="38">
      <pivotArea type="data" outline="0" fieldPosition="0">
        <references count="1">
          <reference field="4294967294" count="1" selected="0">
            <x v="0"/>
          </reference>
        </references>
      </pivotArea>
    </chartFormat>
    <chartFormat chart="0" format="39">
      <pivotArea type="data" outline="0" fieldPosition="0">
        <references count="1">
          <reference field="4294967294" count="1" selected="0">
            <x v="1"/>
          </reference>
        </references>
      </pivotArea>
    </chartFormat>
    <chartFormat chart="0" format="40">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95"/>
  <sheetViews>
    <sheetView topLeftCell="B1" zoomScaleNormal="100" workbookViewId="0">
      <selection activeCell="P7" sqref="P7"/>
    </sheetView>
  </sheetViews>
  <sheetFormatPr baseColWidth="10" defaultColWidth="11.42578125" defaultRowHeight="15" x14ac:dyDescent="0.25"/>
  <cols>
    <col min="1" max="1" width="0" style="500" hidden="1" customWidth="1"/>
    <col min="2" max="2" width="17.7109375" style="145" customWidth="1"/>
    <col min="3" max="3" width="32.5703125" style="145" customWidth="1"/>
    <col min="4" max="4" width="19.85546875" style="145" customWidth="1"/>
    <col min="5" max="5" width="27.85546875" style="145" customWidth="1"/>
    <col min="6" max="9" width="13" style="145" customWidth="1"/>
    <col min="10" max="10" width="11.5703125" style="145" customWidth="1"/>
    <col min="11" max="11" width="8.140625" style="145" customWidth="1"/>
    <col min="12" max="12" width="11.5703125" style="145" customWidth="1"/>
    <col min="13" max="13" width="8.140625" style="145" customWidth="1"/>
    <col min="14" max="14" width="11.5703125" style="145" customWidth="1"/>
    <col min="15" max="15" width="14.140625" style="145" customWidth="1"/>
    <col min="16" max="16" width="27.85546875" style="145" customWidth="1"/>
    <col min="17" max="17" width="40.7109375" style="145" bestFit="1" customWidth="1"/>
    <col min="18" max="18" width="16" style="145" bestFit="1" customWidth="1"/>
    <col min="19" max="19" width="50.140625" style="145" bestFit="1" customWidth="1"/>
    <col min="20" max="20" width="34.28515625" style="145" bestFit="1" customWidth="1"/>
    <col min="21" max="21" width="37.140625" style="145" bestFit="1" customWidth="1"/>
    <col min="22" max="22" width="55.28515625" style="145" bestFit="1" customWidth="1"/>
    <col min="23" max="23" width="25" style="145" bestFit="1" customWidth="1"/>
    <col min="24" max="24" width="22.7109375" style="145" bestFit="1" customWidth="1"/>
    <col min="25" max="25" width="16.42578125" style="145" bestFit="1" customWidth="1"/>
    <col min="26" max="26" width="38.5703125" style="145" bestFit="1" customWidth="1"/>
    <col min="27" max="27" width="41.5703125" style="145" bestFit="1" customWidth="1"/>
    <col min="28" max="28" width="5.7109375" style="145" customWidth="1"/>
    <col min="29" max="29" width="10.85546875" style="145" customWidth="1"/>
    <col min="30" max="30" width="36.28515625" style="145" bestFit="1" customWidth="1"/>
    <col min="31" max="31" width="18.7109375" style="145" bestFit="1" customWidth="1"/>
    <col min="32" max="32" width="40.28515625" style="145" bestFit="1" customWidth="1"/>
    <col min="33" max="33" width="31.7109375" style="145" bestFit="1" customWidth="1"/>
    <col min="34" max="34" width="50.140625" style="145" bestFit="1" customWidth="1"/>
    <col min="35" max="35" width="45.28515625" style="145" bestFit="1" customWidth="1"/>
    <col min="36" max="36" width="21.5703125" style="145" bestFit="1" customWidth="1"/>
    <col min="37" max="37" width="8.85546875" style="145" customWidth="1"/>
    <col min="38" max="38" width="19.5703125" style="145" bestFit="1" customWidth="1"/>
    <col min="39" max="40" width="31" style="145" bestFit="1" customWidth="1"/>
    <col min="41" max="41" width="28.5703125" style="145" bestFit="1" customWidth="1"/>
    <col min="42" max="42" width="24.28515625" style="145" bestFit="1" customWidth="1"/>
    <col min="43" max="43" width="30.5703125" style="145" bestFit="1" customWidth="1"/>
    <col min="44" max="44" width="37" style="145" bestFit="1" customWidth="1"/>
    <col min="45" max="45" width="37.42578125" style="145" bestFit="1" customWidth="1"/>
    <col min="46" max="46" width="18.42578125" style="145" bestFit="1" customWidth="1"/>
    <col min="47" max="47" width="45.140625" style="145" bestFit="1" customWidth="1"/>
    <col min="48" max="48" width="21.42578125" style="145" bestFit="1" customWidth="1"/>
    <col min="49" max="49" width="25.7109375" style="145" bestFit="1" customWidth="1"/>
    <col min="50" max="50" width="27.7109375" style="145" bestFit="1" customWidth="1"/>
    <col min="51" max="52" width="35.5703125" style="145" bestFit="1" customWidth="1"/>
    <col min="53" max="53" width="27.5703125" style="145" bestFit="1" customWidth="1"/>
    <col min="54" max="54" width="23.85546875" style="145" bestFit="1" customWidth="1"/>
    <col min="55" max="55" width="23.7109375" style="145" bestFit="1" customWidth="1"/>
    <col min="56" max="56" width="32.85546875" style="145" bestFit="1" customWidth="1"/>
    <col min="57" max="57" width="19.140625" style="145" bestFit="1" customWidth="1"/>
    <col min="58" max="58" width="16.7109375" style="145" bestFit="1" customWidth="1"/>
    <col min="59" max="59" width="8" style="145" customWidth="1"/>
    <col min="60" max="60" width="43.5703125" style="145" bestFit="1" customWidth="1"/>
    <col min="61" max="61" width="25.5703125" style="145" bestFit="1" customWidth="1"/>
    <col min="62" max="62" width="35.28515625" style="145" bestFit="1" customWidth="1"/>
    <col min="63" max="63" width="31.7109375" style="145" bestFit="1" customWidth="1"/>
    <col min="64" max="64" width="41.85546875" style="145" bestFit="1" customWidth="1"/>
    <col min="65" max="65" width="27.28515625" style="145" bestFit="1" customWidth="1"/>
    <col min="66" max="66" width="7" style="145" customWidth="1"/>
    <col min="67" max="67" width="24" style="145" bestFit="1" customWidth="1"/>
    <col min="68" max="68" width="21.42578125" style="145" bestFit="1" customWidth="1"/>
    <col min="69" max="69" width="12.140625" style="145" bestFit="1" customWidth="1"/>
    <col min="70" max="70" width="20.5703125" style="145" bestFit="1" customWidth="1"/>
    <col min="71" max="71" width="23.42578125" style="145" bestFit="1" customWidth="1"/>
    <col min="72" max="72" width="14.85546875" style="145" bestFit="1" customWidth="1"/>
    <col min="73" max="73" width="11.42578125" style="145"/>
    <col min="74" max="74" width="18" style="145" bestFit="1" customWidth="1"/>
    <col min="75" max="75" width="29.28515625" style="145" bestFit="1" customWidth="1"/>
    <col min="76" max="76" width="35.7109375" style="145" bestFit="1" customWidth="1"/>
    <col min="77" max="77" width="17" style="145" bestFit="1" customWidth="1"/>
    <col min="78" max="78" width="24.5703125" style="145" bestFit="1" customWidth="1"/>
    <col min="79" max="79" width="23.7109375" style="145" bestFit="1" customWidth="1"/>
    <col min="80" max="80" width="37.42578125" style="145" bestFit="1" customWidth="1"/>
    <col min="81" max="81" width="36.140625" style="145" bestFit="1" customWidth="1"/>
    <col min="82" max="82" width="24.28515625" style="145" bestFit="1" customWidth="1"/>
    <col min="83" max="83" width="46.42578125" style="145" bestFit="1" customWidth="1"/>
    <col min="84" max="84" width="29.28515625" style="145" bestFit="1" customWidth="1"/>
    <col min="85" max="85" width="27.85546875" style="145" bestFit="1" customWidth="1"/>
    <col min="86" max="86" width="45.5703125" style="145" bestFit="1" customWidth="1"/>
    <col min="87" max="87" width="42.28515625" style="145" bestFit="1" customWidth="1"/>
    <col min="88" max="88" width="4.5703125" style="145" customWidth="1"/>
    <col min="89" max="89" width="16.42578125" style="145" bestFit="1" customWidth="1"/>
    <col min="90" max="90" width="24.42578125" style="145" bestFit="1" customWidth="1"/>
    <col min="91" max="91" width="21.7109375" style="145" bestFit="1" customWidth="1"/>
    <col min="92" max="92" width="15.5703125" style="145" bestFit="1" customWidth="1"/>
    <col min="93" max="93" width="44.140625" style="145" bestFit="1" customWidth="1"/>
    <col min="94" max="94" width="35.5703125" style="145" bestFit="1" customWidth="1"/>
    <col min="95" max="95" width="32.7109375" style="145" bestFit="1" customWidth="1"/>
    <col min="96" max="96" width="19.140625" style="145" bestFit="1" customWidth="1"/>
    <col min="97" max="97" width="46.7109375" style="145" bestFit="1" customWidth="1"/>
    <col min="98" max="98" width="23.140625" style="145" bestFit="1" customWidth="1"/>
    <col min="99" max="99" width="46.7109375" style="145" bestFit="1" customWidth="1"/>
    <col min="100" max="100" width="42.85546875" style="145" bestFit="1" customWidth="1"/>
    <col min="101" max="101" width="49.42578125" style="145" bestFit="1" customWidth="1"/>
    <col min="102" max="102" width="58.42578125" style="145" bestFit="1" customWidth="1"/>
    <col min="103" max="103" width="48.42578125" style="145" bestFit="1" customWidth="1"/>
    <col min="104" max="104" width="39.28515625" style="145" bestFit="1" customWidth="1"/>
    <col min="105" max="105" width="29.85546875" style="145" bestFit="1" customWidth="1"/>
    <col min="106" max="106" width="20.85546875" style="145" bestFit="1" customWidth="1"/>
    <col min="107" max="107" width="27.85546875" style="145" bestFit="1" customWidth="1"/>
    <col min="108" max="108" width="57" style="145" bestFit="1" customWidth="1"/>
    <col min="109" max="109" width="26" style="145" bestFit="1" customWidth="1"/>
    <col min="110" max="110" width="29.140625" style="145" bestFit="1" customWidth="1"/>
    <col min="111" max="111" width="34.140625" style="145" bestFit="1" customWidth="1"/>
    <col min="112" max="112" width="50" style="145" bestFit="1" customWidth="1"/>
    <col min="113" max="113" width="49.7109375" style="145" bestFit="1" customWidth="1"/>
    <col min="114" max="114" width="43.28515625" style="145" bestFit="1" customWidth="1"/>
    <col min="115" max="115" width="82" style="145" bestFit="1" customWidth="1"/>
    <col min="116" max="116" width="12.42578125" style="145" bestFit="1" customWidth="1"/>
    <col min="117" max="117" width="27.7109375" style="145" bestFit="1" customWidth="1"/>
    <col min="118" max="118" width="57.7109375" style="145" bestFit="1" customWidth="1"/>
    <col min="119" max="119" width="30.140625" style="145" bestFit="1" customWidth="1"/>
    <col min="120" max="120" width="22" style="145" bestFit="1" customWidth="1"/>
    <col min="121" max="121" width="25.85546875" style="145" bestFit="1" customWidth="1"/>
    <col min="122" max="122" width="6" style="145" customWidth="1"/>
    <col min="123" max="123" width="6.5703125" style="145" customWidth="1"/>
    <col min="124" max="124" width="43.85546875" style="145" bestFit="1" customWidth="1"/>
    <col min="125" max="125" width="37.42578125" style="145" bestFit="1" customWidth="1"/>
    <col min="126" max="126" width="21.28515625" style="145" bestFit="1" customWidth="1"/>
    <col min="127" max="127" width="62.42578125" style="145" bestFit="1" customWidth="1"/>
    <col min="128" max="128" width="14.5703125" style="145" bestFit="1" customWidth="1"/>
    <col min="129" max="129" width="25.5703125" style="145" bestFit="1" customWidth="1"/>
    <col min="130" max="130" width="18.5703125" style="145" bestFit="1" customWidth="1"/>
    <col min="131" max="131" width="17.7109375" style="145" bestFit="1" customWidth="1"/>
    <col min="132" max="132" width="26.7109375" style="145" bestFit="1" customWidth="1"/>
    <col min="133" max="133" width="36.5703125" style="145" bestFit="1" customWidth="1"/>
    <col min="134" max="134" width="12.85546875" style="145" bestFit="1" customWidth="1"/>
    <col min="135" max="135" width="26.5703125" style="145" bestFit="1" customWidth="1"/>
    <col min="136" max="136" width="18.7109375" style="145" bestFit="1" customWidth="1"/>
    <col min="137" max="137" width="50.140625" style="145" bestFit="1" customWidth="1"/>
    <col min="138" max="138" width="67.85546875" style="145" bestFit="1" customWidth="1"/>
    <col min="139" max="139" width="35.7109375" style="145" bestFit="1" customWidth="1"/>
    <col min="140" max="140" width="44.42578125" style="145" bestFit="1" customWidth="1"/>
    <col min="141" max="141" width="52.28515625" style="145" bestFit="1" customWidth="1"/>
    <col min="142" max="142" width="54.140625" style="145" bestFit="1" customWidth="1"/>
    <col min="143" max="143" width="53.140625" style="145" bestFit="1" customWidth="1"/>
    <col min="144" max="144" width="65.140625" style="145" bestFit="1" customWidth="1"/>
    <col min="145" max="145" width="49.85546875" style="145" bestFit="1" customWidth="1"/>
    <col min="146" max="146" width="53.7109375" style="145" bestFit="1" customWidth="1"/>
    <col min="147" max="147" width="59.28515625" style="145" bestFit="1" customWidth="1"/>
    <col min="148" max="148" width="52.7109375" style="145" bestFit="1" customWidth="1"/>
    <col min="149" max="149" width="84.42578125" style="145" bestFit="1" customWidth="1"/>
    <col min="150" max="150" width="53.5703125" style="145" bestFit="1" customWidth="1"/>
    <col min="151" max="151" width="56.28515625" style="145" bestFit="1" customWidth="1"/>
    <col min="152" max="152" width="52" style="145" bestFit="1" customWidth="1"/>
    <col min="153" max="153" width="49.85546875" style="145" bestFit="1" customWidth="1"/>
    <col min="154" max="154" width="52.85546875" style="145" bestFit="1" customWidth="1"/>
    <col min="155" max="155" width="51.5703125" style="145" bestFit="1" customWidth="1"/>
    <col min="156" max="156" width="44.28515625" style="145" bestFit="1" customWidth="1"/>
    <col min="157" max="157" width="47.7109375" style="145" bestFit="1" customWidth="1"/>
    <col min="158" max="158" width="44.5703125" style="145" bestFit="1" customWidth="1"/>
    <col min="159" max="159" width="45.85546875" style="145" bestFit="1" customWidth="1"/>
    <col min="160" max="160" width="48.42578125" style="145" bestFit="1" customWidth="1"/>
    <col min="161" max="161" width="47.28515625" style="145" bestFit="1" customWidth="1"/>
    <col min="162" max="162" width="45.85546875" style="145" bestFit="1" customWidth="1"/>
    <col min="163" max="163" width="49.85546875" style="145" bestFit="1" customWidth="1"/>
    <col min="164" max="164" width="43.5703125" style="145" bestFit="1" customWidth="1"/>
    <col min="165" max="165" width="44.85546875" style="145" bestFit="1" customWidth="1"/>
    <col min="166" max="166" width="45.5703125" style="145" bestFit="1" customWidth="1"/>
    <col min="167" max="167" width="42.85546875" style="145" bestFit="1" customWidth="1"/>
    <col min="168" max="168" width="48.42578125" style="145" bestFit="1" customWidth="1"/>
    <col min="169" max="169" width="45.5703125" style="145" bestFit="1" customWidth="1"/>
    <col min="170" max="170" width="54.42578125" style="145" bestFit="1" customWidth="1"/>
    <col min="171" max="171" width="43.85546875" style="145" bestFit="1" customWidth="1"/>
    <col min="172" max="172" width="22.42578125" style="145" bestFit="1" customWidth="1"/>
    <col min="173" max="173" width="21" style="145" bestFit="1" customWidth="1"/>
    <col min="174" max="174" width="45.85546875" style="145" bestFit="1" customWidth="1"/>
    <col min="175" max="175" width="47.7109375" style="145" bestFit="1" customWidth="1"/>
    <col min="176" max="176" width="34.28515625" style="145" bestFit="1" customWidth="1"/>
    <col min="177" max="177" width="39.85546875" style="145" bestFit="1" customWidth="1"/>
    <col min="178" max="178" width="38" style="145" bestFit="1" customWidth="1"/>
    <col min="179" max="179" width="27.140625" style="145" bestFit="1" customWidth="1"/>
    <col min="180" max="180" width="29.42578125" style="145" bestFit="1" customWidth="1"/>
    <col min="181" max="181" width="19.85546875" style="145" bestFit="1" customWidth="1"/>
    <col min="182" max="182" width="25" style="145" bestFit="1" customWidth="1"/>
    <col min="183" max="183" width="67.7109375" style="145" bestFit="1" customWidth="1"/>
    <col min="184" max="184" width="32.7109375" style="145" bestFit="1" customWidth="1"/>
    <col min="185" max="185" width="21" style="145" bestFit="1" customWidth="1"/>
    <col min="186" max="186" width="20.7109375" style="145" bestFit="1" customWidth="1"/>
    <col min="187" max="187" width="22.42578125" style="145" bestFit="1" customWidth="1"/>
    <col min="188" max="188" width="37.85546875" style="145" bestFit="1" customWidth="1"/>
    <col min="189" max="189" width="16.28515625" style="145" bestFit="1" customWidth="1"/>
    <col min="190" max="190" width="16.5703125" style="145" bestFit="1" customWidth="1"/>
    <col min="191" max="191" width="21.28515625" style="145" bestFit="1" customWidth="1"/>
    <col min="192" max="192" width="21.5703125" style="145" bestFit="1" customWidth="1"/>
    <col min="193" max="193" width="33" style="145" bestFit="1" customWidth="1"/>
    <col min="194" max="194" width="21" style="145" bestFit="1" customWidth="1"/>
    <col min="195" max="195" width="32.42578125" style="145" bestFit="1" customWidth="1"/>
    <col min="196" max="196" width="18.7109375" style="145" bestFit="1" customWidth="1"/>
    <col min="197" max="197" width="15" style="145" bestFit="1" customWidth="1"/>
    <col min="198" max="198" width="31.5703125" style="145" bestFit="1" customWidth="1"/>
    <col min="199" max="199" width="38.85546875" style="145" bestFit="1" customWidth="1"/>
    <col min="200" max="200" width="35.140625" style="145" bestFit="1" customWidth="1"/>
    <col min="201" max="201" width="50" style="145" bestFit="1" customWidth="1"/>
    <col min="202" max="202" width="12.85546875" style="145" bestFit="1" customWidth="1"/>
    <col min="203" max="203" width="12.42578125" style="145" bestFit="1" customWidth="1"/>
    <col min="204" max="204" width="22.140625" style="145" bestFit="1" customWidth="1"/>
    <col min="205" max="205" width="23.7109375" style="145" bestFit="1" customWidth="1"/>
    <col min="206" max="206" width="16.28515625" style="145" bestFit="1" customWidth="1"/>
    <col min="207" max="207" width="13.140625" style="145" bestFit="1" customWidth="1"/>
    <col min="208" max="208" width="15" style="145" bestFit="1" customWidth="1"/>
    <col min="209" max="209" width="26.5703125" style="145" bestFit="1" customWidth="1"/>
    <col min="210" max="210" width="27" style="145" bestFit="1" customWidth="1"/>
    <col min="211" max="211" width="23" style="145" bestFit="1" customWidth="1"/>
    <col min="212" max="212" width="17.140625" style="145" bestFit="1" customWidth="1"/>
    <col min="213" max="213" width="30" style="145" bestFit="1" customWidth="1"/>
    <col min="214" max="214" width="28.85546875" style="145" bestFit="1" customWidth="1"/>
    <col min="215" max="215" width="34.7109375" style="145" bestFit="1" customWidth="1"/>
    <col min="216" max="216" width="44.28515625" style="145" bestFit="1" customWidth="1"/>
    <col min="217" max="217" width="41.85546875" style="145" bestFit="1" customWidth="1"/>
    <col min="218" max="218" width="25" style="145" bestFit="1" customWidth="1"/>
    <col min="219" max="219" width="38" style="145" bestFit="1" customWidth="1"/>
    <col min="220" max="220" width="12.85546875" style="145" bestFit="1" customWidth="1"/>
    <col min="221" max="16384" width="11.42578125" style="145"/>
  </cols>
  <sheetData>
    <row r="1" spans="1:4" x14ac:dyDescent="0.25">
      <c r="B1" s="276" t="s">
        <v>855</v>
      </c>
      <c r="C1" s="74" t="s">
        <v>857</v>
      </c>
      <c r="D1"/>
    </row>
    <row r="2" spans="1:4" x14ac:dyDescent="0.25">
      <c r="A2" s="500">
        <v>1</v>
      </c>
      <c r="B2"/>
      <c r="C2"/>
      <c r="D2"/>
    </row>
    <row r="3" spans="1:4" x14ac:dyDescent="0.25">
      <c r="A3" s="500">
        <v>2</v>
      </c>
      <c r="B3" s="276" t="s">
        <v>793</v>
      </c>
      <c r="C3" s="74" t="s">
        <v>1003</v>
      </c>
      <c r="D3" s="74" t="s">
        <v>990</v>
      </c>
    </row>
    <row r="4" spans="1:4" x14ac:dyDescent="0.25">
      <c r="A4" s="500">
        <v>3</v>
      </c>
      <c r="B4" s="69" t="s">
        <v>670</v>
      </c>
      <c r="C4" s="282">
        <v>0</v>
      </c>
      <c r="D4" s="282">
        <v>0</v>
      </c>
    </row>
    <row r="5" spans="1:4" x14ac:dyDescent="0.25">
      <c r="A5" s="500">
        <v>4</v>
      </c>
      <c r="B5" s="69" t="s">
        <v>315</v>
      </c>
      <c r="C5" s="282">
        <v>332151</v>
      </c>
      <c r="D5" s="282">
        <v>332151</v>
      </c>
    </row>
    <row r="6" spans="1:4" x14ac:dyDescent="0.25">
      <c r="A6" s="500">
        <v>5</v>
      </c>
      <c r="B6" s="69" t="s">
        <v>15</v>
      </c>
      <c r="C6" s="282">
        <v>2322767.9980000001</v>
      </c>
      <c r="D6" s="282">
        <v>4638697</v>
      </c>
    </row>
    <row r="7" spans="1:4" x14ac:dyDescent="0.25">
      <c r="A7" s="500">
        <v>6</v>
      </c>
      <c r="B7" s="69" t="s">
        <v>16</v>
      </c>
      <c r="C7" s="282">
        <v>17419021</v>
      </c>
      <c r="D7" s="282">
        <v>17374205</v>
      </c>
    </row>
    <row r="8" spans="1:4" x14ac:dyDescent="0.25">
      <c r="A8" s="500">
        <v>7</v>
      </c>
      <c r="B8" s="69" t="s">
        <v>542</v>
      </c>
      <c r="C8" s="282">
        <v>165399</v>
      </c>
      <c r="D8" s="282">
        <v>165755</v>
      </c>
    </row>
    <row r="9" spans="1:4" x14ac:dyDescent="0.25">
      <c r="A9" s="500">
        <v>8</v>
      </c>
      <c r="B9" s="69" t="s">
        <v>280</v>
      </c>
      <c r="C9" s="282">
        <v>10</v>
      </c>
      <c r="D9" s="282">
        <v>183168</v>
      </c>
    </row>
    <row r="10" spans="1:4" x14ac:dyDescent="0.25">
      <c r="A10" s="500">
        <v>9</v>
      </c>
      <c r="B10" s="69" t="s">
        <v>149</v>
      </c>
      <c r="C10" s="282">
        <v>5667935</v>
      </c>
      <c r="D10" s="282">
        <v>5667935</v>
      </c>
    </row>
    <row r="11" spans="1:4" x14ac:dyDescent="0.25">
      <c r="A11" s="500">
        <v>10</v>
      </c>
      <c r="B11" s="69" t="s">
        <v>125</v>
      </c>
      <c r="C11" s="282">
        <v>0</v>
      </c>
      <c r="D11" s="282">
        <v>0</v>
      </c>
    </row>
    <row r="12" spans="1:4" x14ac:dyDescent="0.25">
      <c r="A12" s="500">
        <v>11</v>
      </c>
      <c r="B12" s="69" t="s">
        <v>83</v>
      </c>
      <c r="C12" s="282">
        <v>17962498</v>
      </c>
      <c r="D12" s="282">
        <v>19134769</v>
      </c>
    </row>
    <row r="13" spans="1:4" x14ac:dyDescent="0.25">
      <c r="A13" s="500">
        <v>12</v>
      </c>
      <c r="B13" s="69" t="s">
        <v>148</v>
      </c>
      <c r="C13" s="282">
        <v>85436322</v>
      </c>
      <c r="D13" s="282">
        <v>85818758</v>
      </c>
    </row>
    <row r="14" spans="1:4" x14ac:dyDescent="0.25">
      <c r="A14" s="500">
        <v>13</v>
      </c>
      <c r="B14" s="69" t="s">
        <v>150</v>
      </c>
      <c r="C14" s="282">
        <v>301825406</v>
      </c>
      <c r="D14" s="282">
        <v>322962944</v>
      </c>
    </row>
    <row r="15" spans="1:4" x14ac:dyDescent="0.25">
      <c r="A15" s="500">
        <v>14</v>
      </c>
      <c r="B15" s="69" t="s">
        <v>794</v>
      </c>
      <c r="C15" s="282">
        <v>431131509.99800003</v>
      </c>
      <c r="D15" s="282">
        <v>456278382</v>
      </c>
    </row>
    <row r="16" spans="1:4" x14ac:dyDescent="0.25">
      <c r="A16" s="500">
        <v>15</v>
      </c>
      <c r="B16"/>
      <c r="C16"/>
      <c r="D16"/>
    </row>
    <row r="17" spans="1:4" x14ac:dyDescent="0.25">
      <c r="A17" s="500">
        <v>16</v>
      </c>
      <c r="B17"/>
      <c r="C17"/>
      <c r="D17"/>
    </row>
    <row r="18" spans="1:4" x14ac:dyDescent="0.25">
      <c r="A18" s="500">
        <v>17</v>
      </c>
      <c r="B18"/>
      <c r="C18"/>
      <c r="D18"/>
    </row>
    <row r="19" spans="1:4" x14ac:dyDescent="0.25">
      <c r="A19" s="500">
        <v>18</v>
      </c>
    </row>
    <row r="20" spans="1:4" x14ac:dyDescent="0.25">
      <c r="A20" s="500">
        <v>19</v>
      </c>
    </row>
    <row r="21" spans="1:4" x14ac:dyDescent="0.25">
      <c r="A21" s="500">
        <v>20</v>
      </c>
    </row>
    <row r="22" spans="1:4" x14ac:dyDescent="0.25">
      <c r="A22" s="500">
        <v>21</v>
      </c>
    </row>
    <row r="23" spans="1:4" x14ac:dyDescent="0.25">
      <c r="A23" s="500">
        <v>22</v>
      </c>
    </row>
    <row r="24" spans="1:4" x14ac:dyDescent="0.25">
      <c r="A24" s="500">
        <v>23</v>
      </c>
    </row>
    <row r="25" spans="1:4" x14ac:dyDescent="0.25">
      <c r="A25" s="500">
        <v>24</v>
      </c>
    </row>
    <row r="26" spans="1:4" x14ac:dyDescent="0.25">
      <c r="A26" s="500">
        <v>25</v>
      </c>
    </row>
    <row r="27" spans="1:4" x14ac:dyDescent="0.25">
      <c r="A27" s="500">
        <v>26</v>
      </c>
    </row>
    <row r="28" spans="1:4" x14ac:dyDescent="0.25">
      <c r="A28" s="500">
        <v>27</v>
      </c>
    </row>
    <row r="29" spans="1:4" x14ac:dyDescent="0.25">
      <c r="A29" s="500">
        <v>28</v>
      </c>
    </row>
    <row r="30" spans="1:4" x14ac:dyDescent="0.25">
      <c r="A30" s="500">
        <v>29</v>
      </c>
    </row>
    <row r="31" spans="1:4" x14ac:dyDescent="0.25">
      <c r="A31" s="500">
        <v>30</v>
      </c>
    </row>
    <row r="32" spans="1:4" x14ac:dyDescent="0.25">
      <c r="A32" s="500">
        <v>31</v>
      </c>
    </row>
    <row r="33" spans="1:1" x14ac:dyDescent="0.25">
      <c r="A33" s="500">
        <v>32</v>
      </c>
    </row>
    <row r="34" spans="1:1" x14ac:dyDescent="0.25">
      <c r="A34" s="500">
        <v>33</v>
      </c>
    </row>
    <row r="35" spans="1:1" x14ac:dyDescent="0.25">
      <c r="A35" s="500">
        <v>34</v>
      </c>
    </row>
    <row r="36" spans="1:1" x14ac:dyDescent="0.25">
      <c r="A36" s="500">
        <v>35</v>
      </c>
    </row>
    <row r="37" spans="1:1" ht="15" hidden="1" customHeight="1" x14ac:dyDescent="0.25">
      <c r="A37" s="500">
        <v>36</v>
      </c>
    </row>
    <row r="38" spans="1:1" hidden="1" x14ac:dyDescent="0.25">
      <c r="A38" s="500">
        <v>37</v>
      </c>
    </row>
    <row r="39" spans="1:1" hidden="1" x14ac:dyDescent="0.25">
      <c r="A39" s="500">
        <v>38</v>
      </c>
    </row>
    <row r="40" spans="1:1" hidden="1" x14ac:dyDescent="0.25">
      <c r="A40" s="500">
        <v>39</v>
      </c>
    </row>
    <row r="41" spans="1:1" hidden="1" x14ac:dyDescent="0.25">
      <c r="A41" s="500">
        <v>40</v>
      </c>
    </row>
    <row r="42" spans="1:1" hidden="1" x14ac:dyDescent="0.25">
      <c r="A42" s="500">
        <v>41</v>
      </c>
    </row>
    <row r="43" spans="1:1" hidden="1" x14ac:dyDescent="0.25">
      <c r="A43" s="500">
        <v>42</v>
      </c>
    </row>
    <row r="44" spans="1:1" hidden="1" x14ac:dyDescent="0.25">
      <c r="A44" s="500">
        <v>43</v>
      </c>
    </row>
    <row r="45" spans="1:1" hidden="1" x14ac:dyDescent="0.25">
      <c r="A45" s="500">
        <v>44</v>
      </c>
    </row>
    <row r="46" spans="1:1" hidden="1" x14ac:dyDescent="0.25">
      <c r="A46" s="500">
        <v>45</v>
      </c>
    </row>
    <row r="47" spans="1:1" hidden="1" x14ac:dyDescent="0.25">
      <c r="A47" s="500">
        <v>46</v>
      </c>
    </row>
    <row r="48" spans="1:1" hidden="1" x14ac:dyDescent="0.25">
      <c r="A48" s="500">
        <v>47</v>
      </c>
    </row>
    <row r="49" spans="1:1" hidden="1" x14ac:dyDescent="0.25">
      <c r="A49" s="500">
        <v>48</v>
      </c>
    </row>
    <row r="50" spans="1:1" hidden="1" x14ac:dyDescent="0.25">
      <c r="A50" s="500">
        <v>49</v>
      </c>
    </row>
    <row r="51" spans="1:1" hidden="1" x14ac:dyDescent="0.25">
      <c r="A51" s="500">
        <v>50</v>
      </c>
    </row>
    <row r="52" spans="1:1" hidden="1" x14ac:dyDescent="0.25">
      <c r="A52" s="500">
        <v>51</v>
      </c>
    </row>
    <row r="53" spans="1:1" hidden="1" x14ac:dyDescent="0.25">
      <c r="A53" s="500">
        <v>52</v>
      </c>
    </row>
    <row r="54" spans="1:1" hidden="1" x14ac:dyDescent="0.25">
      <c r="A54" s="500">
        <v>53</v>
      </c>
    </row>
    <row r="55" spans="1:1" hidden="1" x14ac:dyDescent="0.25">
      <c r="A55" s="500">
        <v>54</v>
      </c>
    </row>
    <row r="56" spans="1:1" hidden="1" x14ac:dyDescent="0.25">
      <c r="A56" s="500">
        <v>55</v>
      </c>
    </row>
    <row r="57" spans="1:1" hidden="1" x14ac:dyDescent="0.25">
      <c r="A57" s="500">
        <v>56</v>
      </c>
    </row>
    <row r="58" spans="1:1" hidden="1" x14ac:dyDescent="0.25">
      <c r="A58" s="500">
        <v>57</v>
      </c>
    </row>
    <row r="59" spans="1:1" hidden="1" x14ac:dyDescent="0.25">
      <c r="A59" s="500">
        <v>58</v>
      </c>
    </row>
    <row r="60" spans="1:1" hidden="1" x14ac:dyDescent="0.25">
      <c r="A60" s="500">
        <v>59</v>
      </c>
    </row>
    <row r="61" spans="1:1" hidden="1" x14ac:dyDescent="0.25">
      <c r="A61" s="500">
        <v>60</v>
      </c>
    </row>
    <row r="62" spans="1:1" hidden="1" x14ac:dyDescent="0.25">
      <c r="A62" s="500">
        <v>61</v>
      </c>
    </row>
    <row r="63" spans="1:1" hidden="1" x14ac:dyDescent="0.25">
      <c r="A63" s="500">
        <v>62</v>
      </c>
    </row>
    <row r="64" spans="1:1" hidden="1" x14ac:dyDescent="0.25">
      <c r="A64" s="500">
        <v>63</v>
      </c>
    </row>
    <row r="65" spans="1:1" hidden="1" x14ac:dyDescent="0.25">
      <c r="A65" s="500">
        <v>64</v>
      </c>
    </row>
    <row r="66" spans="1:1" hidden="1" x14ac:dyDescent="0.25">
      <c r="A66" s="500">
        <v>65</v>
      </c>
    </row>
    <row r="67" spans="1:1" hidden="1" x14ac:dyDescent="0.25">
      <c r="A67" s="500">
        <v>66</v>
      </c>
    </row>
    <row r="68" spans="1:1" hidden="1" x14ac:dyDescent="0.25">
      <c r="A68" s="500">
        <v>67</v>
      </c>
    </row>
    <row r="69" spans="1:1" hidden="1" x14ac:dyDescent="0.25">
      <c r="A69" s="500">
        <v>68</v>
      </c>
    </row>
    <row r="70" spans="1:1" hidden="1" x14ac:dyDescent="0.25">
      <c r="A70" s="500">
        <v>69</v>
      </c>
    </row>
    <row r="71" spans="1:1" hidden="1" x14ac:dyDescent="0.25">
      <c r="A71" s="500">
        <v>70</v>
      </c>
    </row>
    <row r="72" spans="1:1" hidden="1" x14ac:dyDescent="0.25">
      <c r="A72" s="500">
        <v>71</v>
      </c>
    </row>
    <row r="73" spans="1:1" hidden="1" x14ac:dyDescent="0.25">
      <c r="A73" s="500">
        <v>72</v>
      </c>
    </row>
    <row r="74" spans="1:1" hidden="1" x14ac:dyDescent="0.25">
      <c r="A74" s="500">
        <v>73</v>
      </c>
    </row>
    <row r="75" spans="1:1" hidden="1" x14ac:dyDescent="0.25">
      <c r="A75" s="500">
        <v>74</v>
      </c>
    </row>
    <row r="76" spans="1:1" hidden="1" x14ac:dyDescent="0.25">
      <c r="A76" s="500">
        <v>75</v>
      </c>
    </row>
    <row r="77" spans="1:1" hidden="1" x14ac:dyDescent="0.25">
      <c r="A77" s="500">
        <v>76</v>
      </c>
    </row>
    <row r="78" spans="1:1" hidden="1" x14ac:dyDescent="0.25">
      <c r="A78" s="500">
        <v>77</v>
      </c>
    </row>
    <row r="79" spans="1:1" hidden="1" x14ac:dyDescent="0.25">
      <c r="A79" s="500">
        <v>78</v>
      </c>
    </row>
    <row r="80" spans="1:1" hidden="1" x14ac:dyDescent="0.25">
      <c r="A80" s="500">
        <v>79</v>
      </c>
    </row>
    <row r="81" spans="1:1" hidden="1" x14ac:dyDescent="0.25">
      <c r="A81" s="500">
        <v>80</v>
      </c>
    </row>
    <row r="82" spans="1:1" hidden="1" x14ac:dyDescent="0.25">
      <c r="A82" s="500">
        <v>81</v>
      </c>
    </row>
    <row r="83" spans="1:1" hidden="1" x14ac:dyDescent="0.25">
      <c r="A83" s="500">
        <v>82</v>
      </c>
    </row>
    <row r="84" spans="1:1" hidden="1" x14ac:dyDescent="0.25">
      <c r="A84" s="500">
        <v>83</v>
      </c>
    </row>
    <row r="85" spans="1:1" hidden="1" x14ac:dyDescent="0.25">
      <c r="A85" s="500">
        <v>84</v>
      </c>
    </row>
    <row r="86" spans="1:1" hidden="1" x14ac:dyDescent="0.25">
      <c r="A86" s="500">
        <v>85</v>
      </c>
    </row>
    <row r="87" spans="1:1" hidden="1" x14ac:dyDescent="0.25">
      <c r="A87" s="500">
        <v>86</v>
      </c>
    </row>
    <row r="88" spans="1:1" hidden="1" x14ac:dyDescent="0.25">
      <c r="A88" s="500">
        <v>87</v>
      </c>
    </row>
    <row r="89" spans="1:1" hidden="1" x14ac:dyDescent="0.25">
      <c r="A89" s="500">
        <v>88</v>
      </c>
    </row>
    <row r="90" spans="1:1" hidden="1" x14ac:dyDescent="0.25">
      <c r="A90" s="500">
        <v>89</v>
      </c>
    </row>
    <row r="91" spans="1:1" hidden="1" x14ac:dyDescent="0.25">
      <c r="A91" s="500">
        <v>90</v>
      </c>
    </row>
    <row r="92" spans="1:1" hidden="1" x14ac:dyDescent="0.25">
      <c r="A92" s="500">
        <v>91</v>
      </c>
    </row>
    <row r="93" spans="1:1" hidden="1" x14ac:dyDescent="0.25">
      <c r="A93" s="500">
        <v>92</v>
      </c>
    </row>
    <row r="94" spans="1:1" hidden="1" x14ac:dyDescent="0.25">
      <c r="A94" s="500">
        <v>93</v>
      </c>
    </row>
    <row r="95" spans="1:1" hidden="1" x14ac:dyDescent="0.25">
      <c r="A95" s="500">
        <v>94</v>
      </c>
    </row>
    <row r="96" spans="1:1" hidden="1" x14ac:dyDescent="0.25">
      <c r="A96" s="500">
        <v>95</v>
      </c>
    </row>
    <row r="97" spans="1:1" hidden="1" x14ac:dyDescent="0.25">
      <c r="A97" s="500">
        <v>96</v>
      </c>
    </row>
    <row r="98" spans="1:1" hidden="1" x14ac:dyDescent="0.25">
      <c r="A98" s="500">
        <v>97</v>
      </c>
    </row>
    <row r="99" spans="1:1" hidden="1" x14ac:dyDescent="0.25">
      <c r="A99" s="500">
        <v>98</v>
      </c>
    </row>
    <row r="100" spans="1:1" hidden="1" x14ac:dyDescent="0.25">
      <c r="A100" s="500">
        <v>99</v>
      </c>
    </row>
    <row r="101" spans="1:1" hidden="1" x14ac:dyDescent="0.25">
      <c r="A101" s="500">
        <v>100</v>
      </c>
    </row>
    <row r="102" spans="1:1" hidden="1" x14ac:dyDescent="0.25">
      <c r="A102" s="500">
        <v>101</v>
      </c>
    </row>
    <row r="103" spans="1:1" hidden="1" x14ac:dyDescent="0.25">
      <c r="A103" s="500">
        <v>102</v>
      </c>
    </row>
    <row r="104" spans="1:1" hidden="1" x14ac:dyDescent="0.25">
      <c r="A104" s="500">
        <v>103</v>
      </c>
    </row>
    <row r="105" spans="1:1" hidden="1" x14ac:dyDescent="0.25">
      <c r="A105" s="500">
        <v>104</v>
      </c>
    </row>
    <row r="106" spans="1:1" hidden="1" x14ac:dyDescent="0.25">
      <c r="A106" s="500">
        <v>105</v>
      </c>
    </row>
    <row r="107" spans="1:1" hidden="1" x14ac:dyDescent="0.25">
      <c r="A107" s="500">
        <v>106</v>
      </c>
    </row>
    <row r="108" spans="1:1" hidden="1" x14ac:dyDescent="0.25">
      <c r="A108" s="500">
        <v>107</v>
      </c>
    </row>
    <row r="109" spans="1:1" hidden="1" x14ac:dyDescent="0.25">
      <c r="A109" s="500">
        <v>108</v>
      </c>
    </row>
    <row r="110" spans="1:1" hidden="1" x14ac:dyDescent="0.25">
      <c r="A110" s="500">
        <v>109</v>
      </c>
    </row>
    <row r="111" spans="1:1" hidden="1" x14ac:dyDescent="0.25">
      <c r="A111" s="500">
        <v>110</v>
      </c>
    </row>
    <row r="112" spans="1:1" hidden="1" x14ac:dyDescent="0.25">
      <c r="A112" s="500">
        <v>111</v>
      </c>
    </row>
    <row r="113" spans="1:4" hidden="1" x14ac:dyDescent="0.25">
      <c r="A113" s="500">
        <v>112</v>
      </c>
    </row>
    <row r="114" spans="1:4" hidden="1" x14ac:dyDescent="0.25">
      <c r="A114" s="500">
        <v>113</v>
      </c>
    </row>
    <row r="115" spans="1:4" hidden="1" x14ac:dyDescent="0.25">
      <c r="A115" s="500">
        <v>114</v>
      </c>
    </row>
    <row r="116" spans="1:4" hidden="1" x14ac:dyDescent="0.25">
      <c r="A116" s="500">
        <v>115</v>
      </c>
    </row>
    <row r="117" spans="1:4" hidden="1" x14ac:dyDescent="0.25">
      <c r="A117" s="500">
        <v>116</v>
      </c>
    </row>
    <row r="118" spans="1:4" hidden="1" x14ac:dyDescent="0.25">
      <c r="A118" s="500">
        <v>117</v>
      </c>
    </row>
    <row r="119" spans="1:4" hidden="1" x14ac:dyDescent="0.25">
      <c r="A119" s="500">
        <v>118</v>
      </c>
    </row>
    <row r="120" spans="1:4" hidden="1" x14ac:dyDescent="0.25">
      <c r="A120" s="500">
        <v>119</v>
      </c>
      <c r="B120" s="161"/>
      <c r="C120" s="333"/>
      <c r="D120" s="139"/>
    </row>
    <row r="121" spans="1:4" hidden="1" x14ac:dyDescent="0.25">
      <c r="A121" s="500">
        <v>120</v>
      </c>
      <c r="B121" s="161"/>
      <c r="C121" s="333"/>
      <c r="D121" s="139"/>
    </row>
    <row r="122" spans="1:4" hidden="1" x14ac:dyDescent="0.25">
      <c r="A122" s="500">
        <v>121</v>
      </c>
      <c r="B122" s="161"/>
      <c r="C122" s="333"/>
      <c r="D122" s="139"/>
    </row>
    <row r="123" spans="1:4" hidden="1" x14ac:dyDescent="0.25">
      <c r="A123" s="500">
        <v>122</v>
      </c>
      <c r="B123" s="161"/>
      <c r="C123" s="333"/>
      <c r="D123" s="139"/>
    </row>
    <row r="124" spans="1:4" hidden="1" x14ac:dyDescent="0.25">
      <c r="A124" s="500">
        <v>123</v>
      </c>
      <c r="B124" s="161"/>
      <c r="C124" s="333"/>
      <c r="D124" s="139"/>
    </row>
    <row r="125" spans="1:4" hidden="1" x14ac:dyDescent="0.25">
      <c r="A125" s="500">
        <v>124</v>
      </c>
    </row>
    <row r="126" spans="1:4" hidden="1" x14ac:dyDescent="0.25">
      <c r="A126" s="500">
        <v>125</v>
      </c>
    </row>
    <row r="127" spans="1:4" hidden="1" x14ac:dyDescent="0.25">
      <c r="A127" s="500">
        <v>126</v>
      </c>
    </row>
    <row r="128" spans="1:4" hidden="1" x14ac:dyDescent="0.25">
      <c r="A128" s="500">
        <v>127</v>
      </c>
    </row>
    <row r="129" spans="1:5" hidden="1" x14ac:dyDescent="0.25">
      <c r="A129" s="500">
        <v>128</v>
      </c>
    </row>
    <row r="130" spans="1:5" hidden="1" x14ac:dyDescent="0.25">
      <c r="A130" s="500">
        <v>129</v>
      </c>
    </row>
    <row r="131" spans="1:5" hidden="1" x14ac:dyDescent="0.25">
      <c r="A131" s="500">
        <v>130</v>
      </c>
    </row>
    <row r="132" spans="1:5" hidden="1" x14ac:dyDescent="0.25">
      <c r="A132" s="500">
        <v>131</v>
      </c>
    </row>
    <row r="133" spans="1:5" x14ac:dyDescent="0.25">
      <c r="A133" s="500">
        <v>1</v>
      </c>
    </row>
    <row r="134" spans="1:5" x14ac:dyDescent="0.25">
      <c r="A134" s="500">
        <v>2</v>
      </c>
      <c r="B134" s="276" t="s">
        <v>855</v>
      </c>
      <c r="C134" s="74" t="s">
        <v>857</v>
      </c>
    </row>
    <row r="135" spans="1:5" x14ac:dyDescent="0.25">
      <c r="A135" s="500">
        <v>3</v>
      </c>
      <c r="B135" s="497"/>
      <c r="C135" s="497"/>
      <c r="D135" s="497"/>
    </row>
    <row r="136" spans="1:5" x14ac:dyDescent="0.25">
      <c r="A136" s="500">
        <v>4</v>
      </c>
      <c r="B136" s="276" t="s">
        <v>793</v>
      </c>
      <c r="C136" s="74" t="s">
        <v>1004</v>
      </c>
      <c r="D136" s="74" t="s">
        <v>1005</v>
      </c>
      <c r="E136"/>
    </row>
    <row r="137" spans="1:5" x14ac:dyDescent="0.25">
      <c r="A137" s="500">
        <v>5</v>
      </c>
      <c r="B137" s="69" t="s">
        <v>315</v>
      </c>
      <c r="C137" s="332">
        <v>0.50024330500284508</v>
      </c>
      <c r="D137" s="332">
        <v>0.62568058970992002</v>
      </c>
      <c r="E137"/>
    </row>
    <row r="138" spans="1:5" x14ac:dyDescent="0.25">
      <c r="A138" s="500">
        <v>6</v>
      </c>
      <c r="B138" s="69" t="s">
        <v>15</v>
      </c>
      <c r="C138" s="332">
        <v>0.54638967688555651</v>
      </c>
      <c r="D138" s="332">
        <v>0.76593461203540514</v>
      </c>
      <c r="E138"/>
    </row>
    <row r="139" spans="1:5" x14ac:dyDescent="0.25">
      <c r="A139" s="500">
        <v>7</v>
      </c>
      <c r="B139" s="69" t="s">
        <v>16</v>
      </c>
      <c r="C139" s="332">
        <v>0.78247542578207174</v>
      </c>
      <c r="D139" s="332">
        <v>0.76502473282195826</v>
      </c>
      <c r="E139"/>
    </row>
    <row r="140" spans="1:5" x14ac:dyDescent="0.25">
      <c r="A140" s="500">
        <v>8</v>
      </c>
      <c r="B140" s="69" t="s">
        <v>542</v>
      </c>
      <c r="C140" s="332">
        <v>20.422634949171972</v>
      </c>
      <c r="D140" s="332">
        <v>7.462810025326335</v>
      </c>
      <c r="E140"/>
    </row>
    <row r="141" spans="1:5" x14ac:dyDescent="0.25">
      <c r="A141" s="500">
        <v>9</v>
      </c>
      <c r="B141" s="69" t="s">
        <v>280</v>
      </c>
      <c r="C141" s="332">
        <v>1</v>
      </c>
      <c r="D141" s="332">
        <v>1</v>
      </c>
      <c r="E141"/>
    </row>
    <row r="142" spans="1:5" x14ac:dyDescent="0.25">
      <c r="A142" s="500">
        <v>10</v>
      </c>
      <c r="B142" s="69" t="s">
        <v>149</v>
      </c>
      <c r="C142" s="332">
        <v>0.44594902746767556</v>
      </c>
      <c r="D142" s="332">
        <v>0</v>
      </c>
      <c r="E142"/>
    </row>
    <row r="143" spans="1:5" x14ac:dyDescent="0.25">
      <c r="A143" s="500">
        <v>11</v>
      </c>
      <c r="B143" s="69" t="s">
        <v>83</v>
      </c>
      <c r="C143" s="332">
        <v>0.93216151896058963</v>
      </c>
      <c r="D143" s="332">
        <v>0.63649674388422983</v>
      </c>
      <c r="E143"/>
    </row>
    <row r="144" spans="1:5" x14ac:dyDescent="0.25">
      <c r="A144" s="500">
        <v>12</v>
      </c>
      <c r="B144" s="69" t="s">
        <v>148</v>
      </c>
      <c r="C144" s="332">
        <v>0.92205032687608934</v>
      </c>
      <c r="D144" s="332">
        <v>0.90370117225047286</v>
      </c>
      <c r="E144"/>
    </row>
    <row r="145" spans="1:5" x14ac:dyDescent="0.25">
      <c r="A145" s="500">
        <v>13</v>
      </c>
      <c r="B145" s="69" t="s">
        <v>150</v>
      </c>
      <c r="C145" s="332">
        <v>0.47973499762870625</v>
      </c>
      <c r="D145" s="332">
        <v>0.42228389553700285</v>
      </c>
      <c r="E145"/>
    </row>
    <row r="146" spans="1:5" x14ac:dyDescent="0.25">
      <c r="A146" s="500">
        <v>14</v>
      </c>
      <c r="B146" s="69" t="s">
        <v>794</v>
      </c>
      <c r="C146" s="332">
        <v>26.031639227775511</v>
      </c>
      <c r="D146" s="332">
        <v>12.581931771565324</v>
      </c>
      <c r="E146"/>
    </row>
    <row r="147" spans="1:5" x14ac:dyDescent="0.25">
      <c r="A147" s="500">
        <v>15</v>
      </c>
      <c r="B147"/>
      <c r="C147"/>
      <c r="D147"/>
      <c r="E147"/>
    </row>
    <row r="148" spans="1:5" x14ac:dyDescent="0.25">
      <c r="A148" s="500">
        <v>16</v>
      </c>
      <c r="B148"/>
      <c r="C148"/>
      <c r="D148"/>
      <c r="E148"/>
    </row>
    <row r="149" spans="1:5" x14ac:dyDescent="0.25">
      <c r="A149" s="500">
        <v>17</v>
      </c>
      <c r="B149"/>
      <c r="C149"/>
      <c r="D149"/>
    </row>
    <row r="150" spans="1:5" x14ac:dyDescent="0.25">
      <c r="A150" s="500">
        <v>18</v>
      </c>
      <c r="B150"/>
      <c r="C150"/>
      <c r="D150"/>
    </row>
    <row r="151" spans="1:5" x14ac:dyDescent="0.25">
      <c r="A151" s="500">
        <v>19</v>
      </c>
      <c r="B151"/>
      <c r="C151"/>
      <c r="D151"/>
    </row>
    <row r="152" spans="1:5" x14ac:dyDescent="0.25">
      <c r="A152" s="500">
        <v>20</v>
      </c>
      <c r="B152"/>
      <c r="C152"/>
      <c r="D152"/>
    </row>
    <row r="153" spans="1:5" x14ac:dyDescent="0.25">
      <c r="A153" s="500">
        <v>21</v>
      </c>
      <c r="B153"/>
      <c r="C153"/>
      <c r="D153"/>
    </row>
    <row r="154" spans="1:5" x14ac:dyDescent="0.25">
      <c r="A154" s="500">
        <v>22</v>
      </c>
      <c r="B154"/>
      <c r="C154"/>
      <c r="D154"/>
    </row>
    <row r="155" spans="1:5" x14ac:dyDescent="0.25">
      <c r="A155" s="500">
        <v>23</v>
      </c>
      <c r="B155"/>
      <c r="C155"/>
      <c r="D155"/>
    </row>
    <row r="156" spans="1:5" x14ac:dyDescent="0.25">
      <c r="A156" s="500">
        <v>24</v>
      </c>
      <c r="B156"/>
      <c r="C156"/>
      <c r="D156"/>
    </row>
    <row r="157" spans="1:5" x14ac:dyDescent="0.25">
      <c r="A157" s="500">
        <v>25</v>
      </c>
      <c r="B157"/>
      <c r="C157"/>
      <c r="D157"/>
    </row>
    <row r="158" spans="1:5" x14ac:dyDescent="0.25">
      <c r="A158" s="500">
        <v>26</v>
      </c>
      <c r="B158"/>
      <c r="C158"/>
      <c r="D158"/>
    </row>
    <row r="159" spans="1:5" x14ac:dyDescent="0.25">
      <c r="A159" s="500">
        <v>27</v>
      </c>
      <c r="B159"/>
      <c r="C159"/>
      <c r="D159"/>
    </row>
    <row r="160" spans="1:5" x14ac:dyDescent="0.25">
      <c r="A160" s="500">
        <v>28</v>
      </c>
      <c r="B160" s="69"/>
      <c r="C160" s="332"/>
      <c r="D160" s="332"/>
    </row>
    <row r="161" spans="1:4" x14ac:dyDescent="0.25">
      <c r="A161" s="500">
        <v>29</v>
      </c>
      <c r="B161" s="69"/>
      <c r="C161" s="332"/>
      <c r="D161" s="332"/>
    </row>
    <row r="162" spans="1:4" x14ac:dyDescent="0.25">
      <c r="A162" s="500">
        <v>30</v>
      </c>
      <c r="B162" s="69"/>
      <c r="C162" s="332"/>
      <c r="D162" s="332"/>
    </row>
    <row r="163" spans="1:4" x14ac:dyDescent="0.25">
      <c r="A163" s="500">
        <v>31</v>
      </c>
      <c r="B163" s="69"/>
      <c r="C163" s="332"/>
      <c r="D163" s="332"/>
    </row>
    <row r="164" spans="1:4" x14ac:dyDescent="0.25">
      <c r="A164" s="500">
        <v>32</v>
      </c>
      <c r="B164" s="69"/>
      <c r="C164" s="332"/>
      <c r="D164" s="332"/>
    </row>
    <row r="165" spans="1:4" x14ac:dyDescent="0.25">
      <c r="A165" s="500">
        <v>33</v>
      </c>
      <c r="B165" s="69"/>
      <c r="C165" s="332"/>
      <c r="D165" s="332"/>
    </row>
    <row r="166" spans="1:4" x14ac:dyDescent="0.25">
      <c r="A166" s="500">
        <v>34</v>
      </c>
      <c r="B166" s="69"/>
      <c r="C166" s="332"/>
      <c r="D166" s="332"/>
    </row>
    <row r="167" spans="1:4" x14ac:dyDescent="0.25">
      <c r="A167" s="500">
        <v>35</v>
      </c>
      <c r="B167" s="69"/>
      <c r="C167" s="332"/>
      <c r="D167" s="332"/>
    </row>
    <row r="168" spans="1:4" hidden="1" x14ac:dyDescent="0.25">
      <c r="A168" s="500">
        <v>36</v>
      </c>
      <c r="B168" s="69"/>
      <c r="C168" s="332"/>
      <c r="D168" s="332"/>
    </row>
    <row r="169" spans="1:4" hidden="1" x14ac:dyDescent="0.25">
      <c r="A169" s="500">
        <v>37</v>
      </c>
      <c r="B169" s="69"/>
      <c r="C169" s="332"/>
      <c r="D169" s="332"/>
    </row>
    <row r="170" spans="1:4" hidden="1" x14ac:dyDescent="0.25">
      <c r="A170" s="500">
        <v>38</v>
      </c>
      <c r="B170" s="69"/>
      <c r="C170" s="332"/>
      <c r="D170" s="332"/>
    </row>
    <row r="171" spans="1:4" hidden="1" x14ac:dyDescent="0.25">
      <c r="A171" s="500">
        <v>39</v>
      </c>
      <c r="B171" s="69"/>
      <c r="C171" s="332"/>
      <c r="D171" s="332"/>
    </row>
    <row r="172" spans="1:4" hidden="1" x14ac:dyDescent="0.25">
      <c r="A172" s="500">
        <v>40</v>
      </c>
      <c r="B172" s="69"/>
      <c r="C172" s="332"/>
      <c r="D172" s="332"/>
    </row>
    <row r="173" spans="1:4" hidden="1" x14ac:dyDescent="0.25">
      <c r="A173" s="500">
        <v>41</v>
      </c>
      <c r="B173" s="69"/>
      <c r="C173" s="332"/>
      <c r="D173" s="332"/>
    </row>
    <row r="174" spans="1:4" hidden="1" x14ac:dyDescent="0.25">
      <c r="A174" s="500">
        <v>42</v>
      </c>
      <c r="B174" s="69"/>
      <c r="C174" s="332"/>
      <c r="D174" s="332"/>
    </row>
    <row r="175" spans="1:4" hidden="1" x14ac:dyDescent="0.25">
      <c r="A175" s="500">
        <v>43</v>
      </c>
      <c r="B175" s="69"/>
      <c r="C175" s="332"/>
      <c r="D175" s="332"/>
    </row>
    <row r="176" spans="1:4" hidden="1" x14ac:dyDescent="0.25">
      <c r="A176" s="500">
        <v>44</v>
      </c>
      <c r="B176" s="69"/>
      <c r="C176" s="332"/>
      <c r="D176" s="332"/>
    </row>
    <row r="177" spans="1:4" hidden="1" x14ac:dyDescent="0.25">
      <c r="A177" s="500">
        <v>45</v>
      </c>
      <c r="B177" s="69"/>
      <c r="C177" s="332"/>
      <c r="D177" s="332"/>
    </row>
    <row r="178" spans="1:4" hidden="1" x14ac:dyDescent="0.25">
      <c r="A178" s="500">
        <v>46</v>
      </c>
      <c r="B178" s="69"/>
      <c r="C178" s="332"/>
      <c r="D178" s="332"/>
    </row>
    <row r="179" spans="1:4" hidden="1" x14ac:dyDescent="0.25">
      <c r="A179" s="500">
        <v>47</v>
      </c>
      <c r="B179" s="69"/>
      <c r="C179" s="332"/>
      <c r="D179" s="332"/>
    </row>
    <row r="180" spans="1:4" hidden="1" x14ac:dyDescent="0.25">
      <c r="A180" s="500">
        <v>48</v>
      </c>
      <c r="B180" s="69"/>
      <c r="C180" s="332"/>
      <c r="D180" s="332"/>
    </row>
    <row r="181" spans="1:4" hidden="1" x14ac:dyDescent="0.25">
      <c r="A181" s="500">
        <v>49</v>
      </c>
      <c r="B181" s="69"/>
      <c r="C181" s="332"/>
      <c r="D181" s="332"/>
    </row>
    <row r="182" spans="1:4" hidden="1" x14ac:dyDescent="0.25">
      <c r="A182" s="500">
        <v>50</v>
      </c>
      <c r="B182" s="69"/>
      <c r="C182" s="332"/>
      <c r="D182" s="332"/>
    </row>
    <row r="183" spans="1:4" hidden="1" x14ac:dyDescent="0.25">
      <c r="A183" s="500">
        <v>51</v>
      </c>
      <c r="B183" s="69"/>
      <c r="C183" s="332"/>
      <c r="D183" s="332"/>
    </row>
    <row r="184" spans="1:4" hidden="1" x14ac:dyDescent="0.25">
      <c r="A184" s="500">
        <v>52</v>
      </c>
      <c r="B184" s="69"/>
      <c r="C184" s="332"/>
      <c r="D184" s="332"/>
    </row>
    <row r="185" spans="1:4" hidden="1" x14ac:dyDescent="0.25">
      <c r="A185" s="500">
        <v>53</v>
      </c>
      <c r="B185" s="69"/>
      <c r="C185" s="332"/>
      <c r="D185" s="332"/>
    </row>
    <row r="186" spans="1:4" hidden="1" x14ac:dyDescent="0.25">
      <c r="A186" s="500">
        <v>54</v>
      </c>
      <c r="B186" s="69"/>
      <c r="C186" s="332"/>
      <c r="D186" s="332"/>
    </row>
    <row r="187" spans="1:4" hidden="1" x14ac:dyDescent="0.25">
      <c r="A187" s="500">
        <v>55</v>
      </c>
      <c r="B187" s="69"/>
      <c r="C187" s="332"/>
      <c r="D187" s="332"/>
    </row>
    <row r="188" spans="1:4" hidden="1" x14ac:dyDescent="0.25">
      <c r="A188" s="500">
        <v>56</v>
      </c>
      <c r="B188" s="69"/>
      <c r="C188" s="332"/>
      <c r="D188" s="332"/>
    </row>
    <row r="189" spans="1:4" hidden="1" x14ac:dyDescent="0.25">
      <c r="A189" s="500">
        <v>57</v>
      </c>
      <c r="B189" s="69"/>
      <c r="C189" s="332"/>
      <c r="D189" s="332"/>
    </row>
    <row r="190" spans="1:4" hidden="1" x14ac:dyDescent="0.25">
      <c r="A190" s="500">
        <v>58</v>
      </c>
      <c r="B190" s="69"/>
      <c r="C190" s="332"/>
      <c r="D190" s="332"/>
    </row>
    <row r="191" spans="1:4" hidden="1" x14ac:dyDescent="0.25">
      <c r="A191" s="500">
        <v>59</v>
      </c>
      <c r="B191" s="69"/>
      <c r="C191" s="332"/>
      <c r="D191" s="332"/>
    </row>
    <row r="192" spans="1:4" hidden="1" x14ac:dyDescent="0.25">
      <c r="A192" s="500">
        <v>60</v>
      </c>
      <c r="B192" s="69"/>
      <c r="C192" s="332"/>
      <c r="D192" s="332"/>
    </row>
    <row r="193" spans="1:4" hidden="1" x14ac:dyDescent="0.25">
      <c r="A193" s="500">
        <v>61</v>
      </c>
      <c r="B193" s="69"/>
      <c r="C193" s="332"/>
      <c r="D193" s="332"/>
    </row>
    <row r="194" spans="1:4" hidden="1" x14ac:dyDescent="0.25">
      <c r="A194" s="500">
        <v>62</v>
      </c>
      <c r="B194" s="69"/>
      <c r="C194" s="332"/>
      <c r="D194" s="332"/>
    </row>
    <row r="195" spans="1:4" hidden="1" x14ac:dyDescent="0.25">
      <c r="A195" s="500">
        <v>63</v>
      </c>
      <c r="B195" s="69"/>
      <c r="C195" s="332"/>
      <c r="D195" s="332"/>
    </row>
    <row r="196" spans="1:4" hidden="1" x14ac:dyDescent="0.25">
      <c r="A196" s="500">
        <v>64</v>
      </c>
      <c r="B196" s="69"/>
      <c r="C196" s="332"/>
      <c r="D196" s="332"/>
    </row>
    <row r="197" spans="1:4" hidden="1" x14ac:dyDescent="0.25">
      <c r="A197" s="500">
        <v>65</v>
      </c>
      <c r="B197" s="69"/>
      <c r="C197" s="332"/>
      <c r="D197" s="332"/>
    </row>
    <row r="198" spans="1:4" hidden="1" x14ac:dyDescent="0.25">
      <c r="A198" s="500">
        <v>66</v>
      </c>
      <c r="B198" s="69"/>
      <c r="C198" s="332"/>
      <c r="D198" s="332"/>
    </row>
    <row r="199" spans="1:4" hidden="1" x14ac:dyDescent="0.25">
      <c r="A199" s="500">
        <v>67</v>
      </c>
      <c r="B199" s="69"/>
      <c r="C199" s="332"/>
      <c r="D199" s="332"/>
    </row>
    <row r="200" spans="1:4" hidden="1" x14ac:dyDescent="0.25">
      <c r="A200" s="500">
        <v>68</v>
      </c>
      <c r="B200" s="69"/>
      <c r="C200" s="332"/>
      <c r="D200" s="332"/>
    </row>
    <row r="201" spans="1:4" hidden="1" x14ac:dyDescent="0.25">
      <c r="A201" s="500">
        <v>69</v>
      </c>
      <c r="B201" s="69"/>
      <c r="C201" s="332"/>
      <c r="D201" s="332"/>
    </row>
    <row r="202" spans="1:4" hidden="1" x14ac:dyDescent="0.25">
      <c r="A202" s="500">
        <v>70</v>
      </c>
      <c r="B202" s="69"/>
      <c r="C202" s="332"/>
      <c r="D202" s="332"/>
    </row>
    <row r="203" spans="1:4" hidden="1" x14ac:dyDescent="0.25">
      <c r="A203" s="500">
        <v>71</v>
      </c>
      <c r="B203" s="69"/>
      <c r="C203" s="332"/>
      <c r="D203" s="332"/>
    </row>
    <row r="204" spans="1:4" hidden="1" x14ac:dyDescent="0.25">
      <c r="A204" s="500">
        <v>72</v>
      </c>
      <c r="B204" s="69"/>
      <c r="C204" s="332"/>
      <c r="D204" s="332"/>
    </row>
    <row r="205" spans="1:4" hidden="1" x14ac:dyDescent="0.25">
      <c r="A205" s="500">
        <v>73</v>
      </c>
      <c r="B205" s="69"/>
      <c r="C205" s="332"/>
      <c r="D205" s="332"/>
    </row>
    <row r="206" spans="1:4" hidden="1" x14ac:dyDescent="0.25">
      <c r="A206" s="500">
        <v>74</v>
      </c>
      <c r="B206" s="69"/>
      <c r="C206" s="332"/>
      <c r="D206" s="332"/>
    </row>
    <row r="207" spans="1:4" hidden="1" x14ac:dyDescent="0.25">
      <c r="A207" s="500">
        <v>75</v>
      </c>
      <c r="B207" s="69"/>
      <c r="C207" s="332"/>
      <c r="D207" s="332"/>
    </row>
    <row r="208" spans="1:4" hidden="1" x14ac:dyDescent="0.25">
      <c r="A208" s="500">
        <v>76</v>
      </c>
      <c r="B208" s="69"/>
      <c r="C208" s="332"/>
      <c r="D208" s="332"/>
    </row>
    <row r="209" spans="1:4" hidden="1" x14ac:dyDescent="0.25">
      <c r="A209" s="500">
        <v>77</v>
      </c>
      <c r="B209" s="69"/>
      <c r="C209" s="332"/>
      <c r="D209" s="332"/>
    </row>
    <row r="210" spans="1:4" hidden="1" x14ac:dyDescent="0.25">
      <c r="A210" s="500">
        <v>78</v>
      </c>
      <c r="B210" s="69"/>
      <c r="C210" s="332"/>
      <c r="D210" s="332"/>
    </row>
    <row r="211" spans="1:4" hidden="1" x14ac:dyDescent="0.25">
      <c r="A211" s="500">
        <v>79</v>
      </c>
      <c r="B211" s="69"/>
      <c r="C211" s="332"/>
      <c r="D211" s="332"/>
    </row>
    <row r="212" spans="1:4" hidden="1" x14ac:dyDescent="0.25">
      <c r="A212" s="500">
        <v>80</v>
      </c>
      <c r="B212" s="69"/>
      <c r="C212" s="332"/>
      <c r="D212" s="332"/>
    </row>
    <row r="213" spans="1:4" hidden="1" x14ac:dyDescent="0.25">
      <c r="A213" s="500">
        <v>81</v>
      </c>
      <c r="B213" s="69"/>
      <c r="C213" s="332"/>
      <c r="D213" s="332"/>
    </row>
    <row r="214" spans="1:4" hidden="1" x14ac:dyDescent="0.25">
      <c r="A214" s="500">
        <v>82</v>
      </c>
      <c r="B214" s="69"/>
      <c r="C214" s="332"/>
      <c r="D214" s="332"/>
    </row>
    <row r="215" spans="1:4" hidden="1" x14ac:dyDescent="0.25">
      <c r="A215" s="500">
        <v>83</v>
      </c>
      <c r="B215" s="69"/>
      <c r="C215" s="332"/>
      <c r="D215" s="332"/>
    </row>
    <row r="216" spans="1:4" hidden="1" x14ac:dyDescent="0.25">
      <c r="A216" s="500">
        <v>84</v>
      </c>
      <c r="B216" s="69"/>
      <c r="C216" s="332"/>
      <c r="D216" s="332"/>
    </row>
    <row r="217" spans="1:4" hidden="1" x14ac:dyDescent="0.25">
      <c r="A217" s="500">
        <v>85</v>
      </c>
      <c r="B217" s="69"/>
      <c r="C217" s="332"/>
      <c r="D217" s="332"/>
    </row>
    <row r="218" spans="1:4" hidden="1" x14ac:dyDescent="0.25">
      <c r="A218" s="500">
        <v>86</v>
      </c>
      <c r="B218" s="69"/>
      <c r="C218" s="332"/>
      <c r="D218" s="332"/>
    </row>
    <row r="219" spans="1:4" hidden="1" x14ac:dyDescent="0.25">
      <c r="A219" s="500">
        <v>87</v>
      </c>
      <c r="B219" s="69"/>
      <c r="C219" s="332"/>
      <c r="D219" s="332"/>
    </row>
    <row r="220" spans="1:4" hidden="1" x14ac:dyDescent="0.25">
      <c r="A220" s="500">
        <v>88</v>
      </c>
      <c r="B220" s="69"/>
      <c r="C220" s="332"/>
      <c r="D220" s="332"/>
    </row>
    <row r="221" spans="1:4" hidden="1" x14ac:dyDescent="0.25">
      <c r="A221" s="500">
        <v>89</v>
      </c>
      <c r="B221" s="69"/>
      <c r="C221" s="332"/>
      <c r="D221" s="332"/>
    </row>
    <row r="222" spans="1:4" hidden="1" x14ac:dyDescent="0.25">
      <c r="A222" s="500">
        <v>90</v>
      </c>
      <c r="B222" s="69"/>
      <c r="C222" s="332"/>
      <c r="D222" s="332"/>
    </row>
    <row r="223" spans="1:4" hidden="1" x14ac:dyDescent="0.25">
      <c r="A223" s="500">
        <v>91</v>
      </c>
      <c r="B223" s="69"/>
      <c r="C223" s="332"/>
      <c r="D223" s="332"/>
    </row>
    <row r="224" spans="1:4" hidden="1" x14ac:dyDescent="0.25">
      <c r="A224" s="500">
        <v>92</v>
      </c>
      <c r="B224" s="69"/>
      <c r="C224" s="332"/>
      <c r="D224" s="332"/>
    </row>
    <row r="225" spans="1:4" hidden="1" x14ac:dyDescent="0.25">
      <c r="A225" s="500">
        <v>93</v>
      </c>
      <c r="B225" s="69"/>
      <c r="C225" s="332"/>
      <c r="D225" s="332"/>
    </row>
    <row r="226" spans="1:4" hidden="1" x14ac:dyDescent="0.25">
      <c r="A226" s="500">
        <v>94</v>
      </c>
      <c r="B226" s="69"/>
      <c r="C226" s="332"/>
      <c r="D226" s="332"/>
    </row>
    <row r="227" spans="1:4" hidden="1" x14ac:dyDescent="0.25">
      <c r="A227" s="500">
        <v>95</v>
      </c>
      <c r="B227" s="69"/>
      <c r="C227" s="332"/>
      <c r="D227" s="332"/>
    </row>
    <row r="228" spans="1:4" hidden="1" x14ac:dyDescent="0.25">
      <c r="A228" s="500">
        <v>96</v>
      </c>
      <c r="B228" s="69"/>
      <c r="C228" s="332"/>
      <c r="D228" s="332"/>
    </row>
    <row r="229" spans="1:4" hidden="1" x14ac:dyDescent="0.25">
      <c r="A229" s="500">
        <v>97</v>
      </c>
      <c r="B229" s="69"/>
      <c r="C229" s="332"/>
      <c r="D229" s="332"/>
    </row>
    <row r="230" spans="1:4" hidden="1" x14ac:dyDescent="0.25">
      <c r="A230" s="500">
        <v>98</v>
      </c>
      <c r="B230" s="69"/>
      <c r="C230" s="332"/>
      <c r="D230" s="332"/>
    </row>
    <row r="231" spans="1:4" hidden="1" x14ac:dyDescent="0.25">
      <c r="A231" s="500">
        <v>99</v>
      </c>
      <c r="B231" s="69"/>
      <c r="C231" s="332"/>
      <c r="D231" s="332"/>
    </row>
    <row r="232" spans="1:4" hidden="1" x14ac:dyDescent="0.25">
      <c r="A232" s="500">
        <v>100</v>
      </c>
      <c r="B232" s="69"/>
      <c r="C232" s="332"/>
      <c r="D232" s="332"/>
    </row>
    <row r="233" spans="1:4" hidden="1" x14ac:dyDescent="0.25">
      <c r="A233" s="500">
        <v>101</v>
      </c>
      <c r="B233" s="69"/>
      <c r="C233" s="332"/>
      <c r="D233" s="332"/>
    </row>
    <row r="234" spans="1:4" hidden="1" x14ac:dyDescent="0.25">
      <c r="A234" s="500">
        <v>102</v>
      </c>
      <c r="B234" s="69"/>
      <c r="C234" s="332"/>
      <c r="D234" s="332"/>
    </row>
    <row r="235" spans="1:4" hidden="1" x14ac:dyDescent="0.25">
      <c r="A235" s="500">
        <v>103</v>
      </c>
      <c r="B235" s="69"/>
      <c r="C235" s="332"/>
      <c r="D235" s="332"/>
    </row>
    <row r="236" spans="1:4" hidden="1" x14ac:dyDescent="0.25">
      <c r="A236" s="500">
        <v>104</v>
      </c>
      <c r="B236" s="69"/>
      <c r="C236" s="332"/>
      <c r="D236" s="332"/>
    </row>
    <row r="237" spans="1:4" hidden="1" x14ac:dyDescent="0.25">
      <c r="A237" s="500">
        <v>105</v>
      </c>
      <c r="B237" s="69"/>
      <c r="C237" s="332"/>
      <c r="D237" s="332"/>
    </row>
    <row r="238" spans="1:4" hidden="1" x14ac:dyDescent="0.25">
      <c r="A238" s="500">
        <v>106</v>
      </c>
      <c r="B238" s="69"/>
      <c r="C238" s="332"/>
      <c r="D238" s="332"/>
    </row>
    <row r="239" spans="1:4" hidden="1" x14ac:dyDescent="0.25">
      <c r="A239" s="500">
        <v>107</v>
      </c>
      <c r="B239" s="69"/>
      <c r="C239" s="332"/>
      <c r="D239" s="332"/>
    </row>
    <row r="240" spans="1:4" hidden="1" x14ac:dyDescent="0.25">
      <c r="A240" s="500">
        <v>108</v>
      </c>
      <c r="B240" s="69"/>
      <c r="C240" s="332"/>
      <c r="D240" s="332"/>
    </row>
    <row r="241" spans="1:4" hidden="1" x14ac:dyDescent="0.25">
      <c r="A241" s="500">
        <v>109</v>
      </c>
      <c r="B241" s="69"/>
      <c r="C241" s="332"/>
      <c r="D241" s="332"/>
    </row>
    <row r="242" spans="1:4" hidden="1" x14ac:dyDescent="0.25">
      <c r="A242" s="500">
        <v>110</v>
      </c>
      <c r="B242" s="69"/>
      <c r="C242" s="332"/>
      <c r="D242" s="332"/>
    </row>
    <row r="243" spans="1:4" hidden="1" x14ac:dyDescent="0.25">
      <c r="A243" s="500">
        <v>111</v>
      </c>
      <c r="B243" s="69"/>
      <c r="C243" s="332"/>
      <c r="D243" s="332"/>
    </row>
    <row r="244" spans="1:4" hidden="1" x14ac:dyDescent="0.25">
      <c r="A244" s="500">
        <v>112</v>
      </c>
      <c r="B244" s="69"/>
      <c r="C244" s="332"/>
      <c r="D244" s="332"/>
    </row>
    <row r="245" spans="1:4" hidden="1" x14ac:dyDescent="0.25">
      <c r="A245" s="500">
        <v>113</v>
      </c>
      <c r="B245" s="69"/>
      <c r="C245" s="332"/>
      <c r="D245" s="332"/>
    </row>
    <row r="246" spans="1:4" hidden="1" x14ac:dyDescent="0.25">
      <c r="A246" s="500">
        <v>114</v>
      </c>
      <c r="B246" s="69"/>
      <c r="C246" s="332"/>
      <c r="D246" s="332"/>
    </row>
    <row r="247" spans="1:4" hidden="1" x14ac:dyDescent="0.25">
      <c r="A247" s="500">
        <v>115</v>
      </c>
      <c r="B247" s="69"/>
      <c r="C247" s="332"/>
      <c r="D247" s="332"/>
    </row>
    <row r="248" spans="1:4" hidden="1" x14ac:dyDescent="0.25">
      <c r="A248" s="500">
        <v>116</v>
      </c>
      <c r="B248" s="69"/>
      <c r="C248" s="332"/>
      <c r="D248" s="332"/>
    </row>
    <row r="249" spans="1:4" hidden="1" x14ac:dyDescent="0.25">
      <c r="A249" s="500">
        <v>117</v>
      </c>
      <c r="B249" s="69"/>
      <c r="C249" s="332"/>
      <c r="D249" s="332"/>
    </row>
    <row r="250" spans="1:4" hidden="1" x14ac:dyDescent="0.25">
      <c r="A250" s="500">
        <v>118</v>
      </c>
      <c r="B250" s="69"/>
      <c r="C250" s="332"/>
      <c r="D250" s="332"/>
    </row>
    <row r="251" spans="1:4" hidden="1" x14ac:dyDescent="0.25">
      <c r="A251" s="500">
        <v>119</v>
      </c>
      <c r="B251" s="69"/>
      <c r="C251" s="332"/>
      <c r="D251" s="332"/>
    </row>
    <row r="252" spans="1:4" hidden="1" x14ac:dyDescent="0.25">
      <c r="A252" s="500">
        <v>120</v>
      </c>
      <c r="B252" s="69"/>
      <c r="C252" s="332"/>
      <c r="D252" s="332"/>
    </row>
    <row r="253" spans="1:4" hidden="1" x14ac:dyDescent="0.25">
      <c r="A253" s="500">
        <v>121</v>
      </c>
      <c r="B253" s="69"/>
      <c r="C253" s="332"/>
      <c r="D253" s="332"/>
    </row>
    <row r="254" spans="1:4" hidden="1" x14ac:dyDescent="0.25">
      <c r="A254" s="500">
        <v>122</v>
      </c>
      <c r="B254" s="69"/>
      <c r="C254" s="332"/>
      <c r="D254" s="332"/>
    </row>
    <row r="255" spans="1:4" hidden="1" x14ac:dyDescent="0.25">
      <c r="A255" s="500">
        <v>123</v>
      </c>
      <c r="B255" s="69"/>
      <c r="C255" s="332"/>
      <c r="D255" s="332"/>
    </row>
    <row r="256" spans="1:4" hidden="1" x14ac:dyDescent="0.25">
      <c r="A256" s="500">
        <v>124</v>
      </c>
      <c r="B256" s="69"/>
      <c r="C256" s="332"/>
      <c r="D256" s="332"/>
    </row>
    <row r="257" spans="1:4" hidden="1" x14ac:dyDescent="0.25">
      <c r="A257" s="500">
        <v>125</v>
      </c>
      <c r="B257" s="69"/>
      <c r="C257" s="332"/>
      <c r="D257" s="332"/>
    </row>
    <row r="258" spans="1:4" hidden="1" x14ac:dyDescent="0.25">
      <c r="A258" s="500">
        <v>126</v>
      </c>
      <c r="B258" s="69"/>
      <c r="C258" s="332"/>
      <c r="D258" s="332"/>
    </row>
    <row r="259" spans="1:4" hidden="1" x14ac:dyDescent="0.25">
      <c r="A259" s="500">
        <v>127</v>
      </c>
      <c r="B259" s="69"/>
      <c r="C259" s="332"/>
      <c r="D259" s="332"/>
    </row>
    <row r="260" spans="1:4" hidden="1" x14ac:dyDescent="0.25">
      <c r="A260" s="500">
        <v>128</v>
      </c>
      <c r="B260" s="69"/>
      <c r="C260" s="332"/>
      <c r="D260" s="332"/>
    </row>
    <row r="261" spans="1:4" hidden="1" x14ac:dyDescent="0.25">
      <c r="A261" s="500">
        <v>129</v>
      </c>
      <c r="B261" s="69"/>
      <c r="C261" s="332"/>
      <c r="D261" s="332"/>
    </row>
    <row r="262" spans="1:4" hidden="1" x14ac:dyDescent="0.25">
      <c r="A262" s="500">
        <v>130</v>
      </c>
      <c r="B262" s="69"/>
      <c r="C262" s="332"/>
      <c r="D262" s="332"/>
    </row>
    <row r="263" spans="1:4" hidden="1" x14ac:dyDescent="0.25">
      <c r="A263" s="500">
        <v>131</v>
      </c>
      <c r="B263" s="69"/>
      <c r="C263" s="332"/>
      <c r="D263" s="332"/>
    </row>
    <row r="264" spans="1:4" hidden="1" x14ac:dyDescent="0.25">
      <c r="A264" s="500">
        <v>132</v>
      </c>
      <c r="B264" s="69"/>
      <c r="C264" s="332"/>
      <c r="D264" s="332"/>
    </row>
    <row r="265" spans="1:4" hidden="1" x14ac:dyDescent="0.25">
      <c r="A265" s="500">
        <v>133</v>
      </c>
      <c r="B265" s="69"/>
      <c r="C265" s="332"/>
      <c r="D265" s="332"/>
    </row>
    <row r="266" spans="1:4" hidden="1" x14ac:dyDescent="0.25">
      <c r="A266" s="500">
        <v>134</v>
      </c>
      <c r="B266" s="69"/>
      <c r="C266" s="332"/>
      <c r="D266" s="332"/>
    </row>
    <row r="267" spans="1:4" hidden="1" x14ac:dyDescent="0.25">
      <c r="A267" s="500">
        <v>135</v>
      </c>
      <c r="B267"/>
      <c r="C267"/>
      <c r="D267"/>
    </row>
    <row r="268" spans="1:4" hidden="1" x14ac:dyDescent="0.25">
      <c r="A268" s="500">
        <v>136</v>
      </c>
      <c r="B268"/>
      <c r="C268"/>
      <c r="D268"/>
    </row>
    <row r="269" spans="1:4" hidden="1" x14ac:dyDescent="0.25">
      <c r="A269" s="500">
        <v>137</v>
      </c>
      <c r="B269"/>
      <c r="C269"/>
      <c r="D269"/>
    </row>
    <row r="270" spans="1:4" hidden="1" x14ac:dyDescent="0.25">
      <c r="A270" s="500">
        <v>138</v>
      </c>
      <c r="B270"/>
      <c r="C270"/>
      <c r="D270"/>
    </row>
    <row r="271" spans="1:4" hidden="1" x14ac:dyDescent="0.25">
      <c r="A271" s="500">
        <v>139</v>
      </c>
      <c r="B271"/>
      <c r="C271"/>
      <c r="D271"/>
    </row>
    <row r="272" spans="1:4" hidden="1" x14ac:dyDescent="0.25">
      <c r="A272" s="500">
        <v>140</v>
      </c>
      <c r="B272"/>
      <c r="C272"/>
      <c r="D272"/>
    </row>
    <row r="273" spans="1:4" hidden="1" x14ac:dyDescent="0.25">
      <c r="A273" s="500">
        <v>141</v>
      </c>
      <c r="B273"/>
      <c r="C273"/>
      <c r="D273"/>
    </row>
    <row r="274" spans="1:4" hidden="1" x14ac:dyDescent="0.25">
      <c r="A274" s="500">
        <v>142</v>
      </c>
      <c r="B274"/>
      <c r="C274"/>
      <c r="D274"/>
    </row>
    <row r="275" spans="1:4" hidden="1" x14ac:dyDescent="0.25">
      <c r="A275" s="500">
        <v>143</v>
      </c>
      <c r="B275" s="69"/>
      <c r="C275" s="332"/>
      <c r="D275" s="332"/>
    </row>
    <row r="276" spans="1:4" hidden="1" x14ac:dyDescent="0.25">
      <c r="A276" s="500">
        <v>144</v>
      </c>
      <c r="B276" s="69"/>
      <c r="C276" s="332"/>
      <c r="D276" s="332"/>
    </row>
    <row r="277" spans="1:4" hidden="1" x14ac:dyDescent="0.25">
      <c r="A277" s="500">
        <v>145</v>
      </c>
      <c r="B277" s="69"/>
      <c r="C277" s="332"/>
      <c r="D277" s="332"/>
    </row>
    <row r="278" spans="1:4" hidden="1" x14ac:dyDescent="0.25">
      <c r="A278" s="500">
        <v>146</v>
      </c>
      <c r="B278" s="69"/>
      <c r="C278" s="332"/>
      <c r="D278" s="332"/>
    </row>
    <row r="279" spans="1:4" hidden="1" x14ac:dyDescent="0.25">
      <c r="A279" s="500">
        <v>147</v>
      </c>
      <c r="B279" s="69"/>
      <c r="C279" s="332"/>
      <c r="D279" s="332"/>
    </row>
    <row r="280" spans="1:4" hidden="1" x14ac:dyDescent="0.25">
      <c r="A280" s="500">
        <v>148</v>
      </c>
      <c r="B280" s="69"/>
      <c r="C280" s="332"/>
      <c r="D280" s="332"/>
    </row>
    <row r="281" spans="1:4" hidden="1" x14ac:dyDescent="0.25">
      <c r="A281" s="500">
        <v>149</v>
      </c>
      <c r="B281" s="69"/>
      <c r="C281" s="332"/>
      <c r="D281" s="332"/>
    </row>
    <row r="282" spans="1:4" hidden="1" x14ac:dyDescent="0.25">
      <c r="A282" s="500">
        <v>150</v>
      </c>
      <c r="B282" s="69"/>
      <c r="C282" s="332"/>
      <c r="D282" s="332"/>
    </row>
    <row r="283" spans="1:4" x14ac:dyDescent="0.25">
      <c r="A283" s="500">
        <v>1</v>
      </c>
      <c r="B283" s="161"/>
      <c r="C283" s="498"/>
      <c r="D283" s="498"/>
    </row>
    <row r="284" spans="1:4" x14ac:dyDescent="0.25">
      <c r="A284" s="500">
        <v>2</v>
      </c>
    </row>
    <row r="285" spans="1:4" x14ac:dyDescent="0.25">
      <c r="A285" s="500">
        <v>3</v>
      </c>
    </row>
    <row r="286" spans="1:4" x14ac:dyDescent="0.25">
      <c r="A286" s="500">
        <v>4</v>
      </c>
    </row>
    <row r="287" spans="1:4" x14ac:dyDescent="0.25">
      <c r="A287" s="500">
        <v>5</v>
      </c>
      <c r="B287" s="276" t="s">
        <v>793</v>
      </c>
      <c r="C287" s="74" t="s">
        <v>1006</v>
      </c>
      <c r="D287" s="74" t="s">
        <v>1005</v>
      </c>
    </row>
    <row r="288" spans="1:4" x14ac:dyDescent="0.25">
      <c r="A288" s="500">
        <v>6</v>
      </c>
      <c r="B288" s="69" t="s">
        <v>720</v>
      </c>
      <c r="C288" s="332">
        <v>0.81954736795355865</v>
      </c>
      <c r="D288" s="332">
        <v>0.70002092991079556</v>
      </c>
    </row>
    <row r="289" spans="1:4" x14ac:dyDescent="0.25">
      <c r="A289" s="500">
        <v>7</v>
      </c>
      <c r="B289" s="69" t="s">
        <v>252</v>
      </c>
      <c r="C289" s="332">
        <v>0.41226564294907331</v>
      </c>
      <c r="D289" s="332">
        <v>0.38504349079937861</v>
      </c>
    </row>
    <row r="290" spans="1:4" x14ac:dyDescent="0.25">
      <c r="A290" s="500">
        <v>8</v>
      </c>
      <c r="B290" s="69" t="s">
        <v>253</v>
      </c>
      <c r="C290" s="332">
        <v>0.60636531760814427</v>
      </c>
      <c r="D290" s="332">
        <v>0.64755503275697235</v>
      </c>
    </row>
    <row r="291" spans="1:4" x14ac:dyDescent="0.25">
      <c r="A291" s="500">
        <v>9</v>
      </c>
      <c r="B291" s="69" t="s">
        <v>705</v>
      </c>
      <c r="C291" s="332">
        <v>0.32997146125438709</v>
      </c>
      <c r="D291" s="332">
        <v>2.1772148765050525E-2</v>
      </c>
    </row>
    <row r="292" spans="1:4" x14ac:dyDescent="0.25">
      <c r="A292" s="500">
        <v>10</v>
      </c>
      <c r="B292" s="69" t="s">
        <v>794</v>
      </c>
      <c r="C292" s="332">
        <v>2.1681497897651631</v>
      </c>
      <c r="D292" s="332">
        <v>1.7543916022321973</v>
      </c>
    </row>
    <row r="293" spans="1:4" x14ac:dyDescent="0.25">
      <c r="A293" s="500">
        <v>11</v>
      </c>
      <c r="B293"/>
      <c r="C293"/>
      <c r="D293"/>
    </row>
    <row r="294" spans="1:4" x14ac:dyDescent="0.25">
      <c r="A294" s="500">
        <v>12</v>
      </c>
      <c r="B294"/>
      <c r="C294"/>
      <c r="D294"/>
    </row>
    <row r="295" spans="1:4" x14ac:dyDescent="0.25">
      <c r="A295" s="500">
        <v>13</v>
      </c>
      <c r="B295"/>
      <c r="C295"/>
      <c r="D295"/>
    </row>
    <row r="296" spans="1:4" x14ac:dyDescent="0.25">
      <c r="A296" s="500">
        <v>14</v>
      </c>
      <c r="B296"/>
      <c r="C296"/>
      <c r="D296"/>
    </row>
    <row r="297" spans="1:4" x14ac:dyDescent="0.25">
      <c r="A297" s="500">
        <v>15</v>
      </c>
      <c r="B297"/>
      <c r="C297"/>
      <c r="D297"/>
    </row>
    <row r="298" spans="1:4" x14ac:dyDescent="0.25">
      <c r="A298" s="500">
        <v>16</v>
      </c>
      <c r="B298"/>
      <c r="C298"/>
      <c r="D298"/>
    </row>
    <row r="299" spans="1:4" x14ac:dyDescent="0.25">
      <c r="A299" s="500">
        <v>17</v>
      </c>
      <c r="B299"/>
      <c r="C299"/>
      <c r="D299"/>
    </row>
    <row r="300" spans="1:4" x14ac:dyDescent="0.25">
      <c r="A300" s="500">
        <v>18</v>
      </c>
      <c r="B300"/>
      <c r="C300"/>
      <c r="D300"/>
    </row>
    <row r="301" spans="1:4" x14ac:dyDescent="0.25">
      <c r="A301" s="500">
        <v>19</v>
      </c>
      <c r="B301"/>
      <c r="C301"/>
      <c r="D301"/>
    </row>
    <row r="302" spans="1:4" x14ac:dyDescent="0.25">
      <c r="A302" s="500">
        <v>20</v>
      </c>
      <c r="B302"/>
      <c r="C302"/>
      <c r="D302"/>
    </row>
    <row r="303" spans="1:4" x14ac:dyDescent="0.25">
      <c r="A303" s="500">
        <v>21</v>
      </c>
      <c r="B303"/>
      <c r="C303"/>
      <c r="D303"/>
    </row>
    <row r="304" spans="1:4" x14ac:dyDescent="0.25">
      <c r="A304" s="500">
        <v>22</v>
      </c>
      <c r="B304"/>
      <c r="C304"/>
      <c r="D304"/>
    </row>
    <row r="305" spans="1:17" x14ac:dyDescent="0.25">
      <c r="A305" s="500">
        <v>23</v>
      </c>
    </row>
    <row r="306" spans="1:17" x14ac:dyDescent="0.25">
      <c r="A306" s="500">
        <v>24</v>
      </c>
    </row>
    <row r="307" spans="1:17" x14ac:dyDescent="0.25">
      <c r="A307" s="500">
        <v>25</v>
      </c>
    </row>
    <row r="308" spans="1:17" x14ac:dyDescent="0.25">
      <c r="A308" s="500">
        <v>26</v>
      </c>
    </row>
    <row r="309" spans="1:17" x14ac:dyDescent="0.25">
      <c r="A309" s="500">
        <v>27</v>
      </c>
    </row>
    <row r="310" spans="1:17" x14ac:dyDescent="0.25">
      <c r="A310" s="500">
        <v>28</v>
      </c>
    </row>
    <row r="311" spans="1:17" x14ac:dyDescent="0.25">
      <c r="A311" s="500">
        <v>29</v>
      </c>
      <c r="B311" s="161"/>
      <c r="C311" s="498"/>
      <c r="D311" s="498"/>
      <c r="P311" s="497"/>
      <c r="Q311" s="497"/>
    </row>
    <row r="312" spans="1:17" x14ac:dyDescent="0.25">
      <c r="A312" s="500">
        <v>30</v>
      </c>
      <c r="B312" s="161"/>
      <c r="C312" s="498"/>
      <c r="D312" s="498"/>
      <c r="P312" s="497"/>
      <c r="Q312" s="497"/>
    </row>
    <row r="313" spans="1:17" x14ac:dyDescent="0.25">
      <c r="A313" s="500">
        <v>31</v>
      </c>
      <c r="B313" s="161"/>
      <c r="C313" s="498"/>
      <c r="D313" s="498"/>
      <c r="P313" s="497"/>
      <c r="Q313" s="497"/>
    </row>
    <row r="314" spans="1:17" x14ac:dyDescent="0.25">
      <c r="A314" s="500">
        <v>32</v>
      </c>
      <c r="B314" s="161"/>
      <c r="C314" s="498"/>
      <c r="D314" s="498"/>
      <c r="P314" s="497"/>
      <c r="Q314" s="497"/>
    </row>
    <row r="315" spans="1:17" x14ac:dyDescent="0.25">
      <c r="A315" s="500">
        <v>33</v>
      </c>
      <c r="B315" s="161"/>
      <c r="C315" s="498"/>
      <c r="D315" s="498"/>
      <c r="P315" s="497"/>
      <c r="Q315" s="497"/>
    </row>
    <row r="316" spans="1:17" x14ac:dyDescent="0.25">
      <c r="A316" s="500">
        <v>34</v>
      </c>
      <c r="B316" s="161"/>
      <c r="C316" s="498"/>
      <c r="D316" s="498"/>
      <c r="P316" s="497"/>
      <c r="Q316" s="497"/>
    </row>
    <row r="317" spans="1:17" x14ac:dyDescent="0.25">
      <c r="A317" s="500">
        <v>35</v>
      </c>
      <c r="B317" s="161"/>
      <c r="C317" s="498"/>
      <c r="D317" s="498"/>
      <c r="P317" s="497"/>
      <c r="Q317" s="497"/>
    </row>
    <row r="318" spans="1:17" x14ac:dyDescent="0.25">
      <c r="A318" s="500">
        <v>1</v>
      </c>
      <c r="B318" s="161"/>
      <c r="C318" s="498"/>
      <c r="D318" s="498"/>
      <c r="P318" s="497"/>
      <c r="Q318" s="497"/>
    </row>
    <row r="319" spans="1:17" x14ac:dyDescent="0.25">
      <c r="A319" s="500">
        <v>2</v>
      </c>
      <c r="B319" s="161"/>
      <c r="C319" s="498"/>
      <c r="D319" s="498"/>
      <c r="P319" s="497"/>
      <c r="Q319" s="497"/>
    </row>
    <row r="320" spans="1:17" x14ac:dyDescent="0.25">
      <c r="A320" s="500">
        <v>3</v>
      </c>
      <c r="B320" s="161"/>
      <c r="C320" s="498"/>
      <c r="D320" s="498"/>
      <c r="P320" s="497"/>
      <c r="Q320" s="497"/>
    </row>
    <row r="321" spans="1:17" x14ac:dyDescent="0.25">
      <c r="A321" s="500">
        <v>4</v>
      </c>
      <c r="B321" s="161"/>
      <c r="C321" s="498"/>
      <c r="D321" s="498"/>
      <c r="P321" s="497"/>
      <c r="Q321" s="497"/>
    </row>
    <row r="322" spans="1:17" x14ac:dyDescent="0.25">
      <c r="A322" s="500">
        <v>5</v>
      </c>
      <c r="B322" s="161"/>
      <c r="C322" s="498"/>
      <c r="D322" s="498"/>
      <c r="P322" s="497"/>
      <c r="Q322" s="497"/>
    </row>
    <row r="323" spans="1:17" x14ac:dyDescent="0.25">
      <c r="A323" s="500">
        <v>6</v>
      </c>
      <c r="P323" s="497"/>
      <c r="Q323" s="497"/>
    </row>
    <row r="324" spans="1:17" x14ac:dyDescent="0.25">
      <c r="A324" s="500">
        <v>7</v>
      </c>
      <c r="P324" s="497"/>
      <c r="Q324" s="497"/>
    </row>
    <row r="325" spans="1:17" x14ac:dyDescent="0.25">
      <c r="A325" s="500">
        <v>8</v>
      </c>
      <c r="B325" s="276" t="s">
        <v>449</v>
      </c>
      <c r="C325" s="74" t="s">
        <v>720</v>
      </c>
      <c r="P325" s="497"/>
      <c r="Q325" s="497"/>
    </row>
    <row r="326" spans="1:17" x14ac:dyDescent="0.25">
      <c r="A326" s="500">
        <v>9</v>
      </c>
      <c r="P326" s="497"/>
      <c r="Q326" s="497"/>
    </row>
    <row r="327" spans="1:17" x14ac:dyDescent="0.25">
      <c r="A327" s="500">
        <v>10</v>
      </c>
      <c r="B327" s="276" t="s">
        <v>808</v>
      </c>
      <c r="C327"/>
      <c r="D327"/>
      <c r="P327" s="497"/>
      <c r="Q327" s="497"/>
    </row>
    <row r="328" spans="1:17" x14ac:dyDescent="0.25">
      <c r="A328" s="500">
        <v>11</v>
      </c>
      <c r="B328" s="69" t="s">
        <v>894</v>
      </c>
      <c r="C328" s="706">
        <v>34120172.134000003</v>
      </c>
      <c r="D328"/>
      <c r="P328" s="497"/>
      <c r="Q328" s="497"/>
    </row>
    <row r="329" spans="1:17" x14ac:dyDescent="0.25">
      <c r="A329" s="500">
        <v>12</v>
      </c>
      <c r="B329" s="69" t="s">
        <v>895</v>
      </c>
      <c r="C329" s="282">
        <v>1330092.5799999982</v>
      </c>
      <c r="D329"/>
      <c r="P329" s="497"/>
      <c r="Q329" s="497"/>
    </row>
    <row r="330" spans="1:17" x14ac:dyDescent="0.25">
      <c r="A330" s="500">
        <v>13</v>
      </c>
      <c r="B330" s="69" t="s">
        <v>896</v>
      </c>
      <c r="C330" s="282">
        <v>6182682.2859999994</v>
      </c>
      <c r="D330"/>
      <c r="P330" s="497"/>
      <c r="Q330" s="497"/>
    </row>
    <row r="331" spans="1:17" x14ac:dyDescent="0.25">
      <c r="A331" s="500">
        <v>14</v>
      </c>
      <c r="B331"/>
      <c r="C331"/>
      <c r="D331"/>
      <c r="P331" s="497"/>
      <c r="Q331" s="497"/>
    </row>
    <row r="332" spans="1:17" x14ac:dyDescent="0.25">
      <c r="A332" s="500">
        <v>15</v>
      </c>
      <c r="B332"/>
      <c r="C332"/>
      <c r="D332"/>
      <c r="P332" s="497"/>
      <c r="Q332" s="497"/>
    </row>
    <row r="333" spans="1:17" x14ac:dyDescent="0.25">
      <c r="A333" s="500">
        <v>16</v>
      </c>
      <c r="B333"/>
      <c r="C333"/>
      <c r="D333"/>
      <c r="P333" s="497"/>
      <c r="Q333" s="497"/>
    </row>
    <row r="334" spans="1:17" x14ac:dyDescent="0.25">
      <c r="A334" s="500">
        <v>17</v>
      </c>
      <c r="B334"/>
      <c r="C334"/>
      <c r="D334"/>
      <c r="P334" s="497"/>
      <c r="Q334" s="497"/>
    </row>
    <row r="335" spans="1:17" x14ac:dyDescent="0.25">
      <c r="A335" s="500">
        <v>18</v>
      </c>
      <c r="B335"/>
      <c r="C335"/>
      <c r="D335"/>
      <c r="P335" s="497"/>
      <c r="Q335" s="497"/>
    </row>
    <row r="336" spans="1:17" x14ac:dyDescent="0.25">
      <c r="A336" s="500">
        <v>19</v>
      </c>
      <c r="B336"/>
      <c r="C336"/>
      <c r="D336"/>
      <c r="P336" s="497"/>
      <c r="Q336" s="497"/>
    </row>
    <row r="337" spans="1:17" x14ac:dyDescent="0.25">
      <c r="A337" s="500">
        <v>20</v>
      </c>
      <c r="B337"/>
      <c r="C337"/>
      <c r="D337"/>
      <c r="P337" s="497"/>
      <c r="Q337" s="497"/>
    </row>
    <row r="338" spans="1:17" x14ac:dyDescent="0.25">
      <c r="A338" s="500">
        <v>21</v>
      </c>
      <c r="B338"/>
      <c r="C338"/>
      <c r="D338"/>
      <c r="P338" s="497"/>
      <c r="Q338" s="497"/>
    </row>
    <row r="339" spans="1:17" x14ac:dyDescent="0.25">
      <c r="A339" s="500">
        <v>22</v>
      </c>
      <c r="B339"/>
      <c r="C339"/>
      <c r="D339"/>
      <c r="P339" s="497"/>
      <c r="Q339" s="497"/>
    </row>
    <row r="340" spans="1:17" x14ac:dyDescent="0.25">
      <c r="A340" s="500">
        <v>23</v>
      </c>
      <c r="B340"/>
      <c r="C340"/>
      <c r="D340"/>
      <c r="P340" s="497"/>
      <c r="Q340" s="497"/>
    </row>
    <row r="341" spans="1:17" x14ac:dyDescent="0.25">
      <c r="A341" s="500">
        <v>24</v>
      </c>
      <c r="B341"/>
      <c r="C341"/>
      <c r="D341"/>
      <c r="P341" s="497"/>
      <c r="Q341" s="497"/>
    </row>
    <row r="342" spans="1:17" x14ac:dyDescent="0.25">
      <c r="A342" s="500">
        <v>25</v>
      </c>
      <c r="B342"/>
      <c r="C342"/>
      <c r="D342"/>
      <c r="P342" s="497"/>
      <c r="Q342" s="497"/>
    </row>
    <row r="343" spans="1:17" x14ac:dyDescent="0.25">
      <c r="A343" s="500">
        <v>26</v>
      </c>
      <c r="B343"/>
      <c r="C343"/>
      <c r="D343"/>
      <c r="P343" s="497"/>
      <c r="Q343" s="497"/>
    </row>
    <row r="344" spans="1:17" x14ac:dyDescent="0.25">
      <c r="A344" s="500">
        <v>27</v>
      </c>
      <c r="B344"/>
      <c r="C344"/>
      <c r="D344"/>
      <c r="P344" s="497"/>
      <c r="Q344" s="497"/>
    </row>
    <row r="345" spans="1:17" x14ac:dyDescent="0.25">
      <c r="A345" s="500">
        <v>28</v>
      </c>
      <c r="P345" s="497"/>
      <c r="Q345" s="497"/>
    </row>
    <row r="346" spans="1:17" x14ac:dyDescent="0.25">
      <c r="A346" s="500">
        <v>1</v>
      </c>
      <c r="P346" s="497"/>
      <c r="Q346" s="497"/>
    </row>
    <row r="347" spans="1:17" x14ac:dyDescent="0.25">
      <c r="A347" s="500">
        <v>2</v>
      </c>
      <c r="B347" s="276" t="s">
        <v>449</v>
      </c>
      <c r="C347" s="74" t="s">
        <v>252</v>
      </c>
      <c r="P347" s="497"/>
      <c r="Q347" s="497"/>
    </row>
    <row r="348" spans="1:17" x14ac:dyDescent="0.25">
      <c r="A348" s="500">
        <v>3</v>
      </c>
      <c r="P348" s="497"/>
      <c r="Q348" s="497"/>
    </row>
    <row r="349" spans="1:17" x14ac:dyDescent="0.25">
      <c r="A349" s="500">
        <v>4</v>
      </c>
      <c r="B349" s="276" t="s">
        <v>808</v>
      </c>
      <c r="C349"/>
      <c r="D349"/>
      <c r="P349" s="497"/>
      <c r="Q349" s="497"/>
    </row>
    <row r="350" spans="1:17" x14ac:dyDescent="0.25">
      <c r="A350" s="500">
        <v>5</v>
      </c>
      <c r="B350" s="69" t="s">
        <v>894</v>
      </c>
      <c r="C350" s="283">
        <v>3398639.63</v>
      </c>
      <c r="D350"/>
      <c r="P350" s="497"/>
      <c r="Q350" s="497"/>
    </row>
    <row r="351" spans="1:17" x14ac:dyDescent="0.25">
      <c r="A351" s="500">
        <v>6</v>
      </c>
      <c r="B351" s="69" t="s">
        <v>895</v>
      </c>
      <c r="C351" s="283">
        <v>1943884.0540000005</v>
      </c>
      <c r="D351"/>
      <c r="P351" s="497"/>
      <c r="Q351" s="497"/>
    </row>
    <row r="352" spans="1:17" x14ac:dyDescent="0.25">
      <c r="A352" s="500">
        <v>7</v>
      </c>
      <c r="B352" s="69" t="s">
        <v>896</v>
      </c>
      <c r="C352" s="283">
        <v>2901286.3159999996</v>
      </c>
      <c r="D352"/>
      <c r="P352" s="497"/>
      <c r="Q352" s="497"/>
    </row>
    <row r="353" spans="1:17" x14ac:dyDescent="0.25">
      <c r="A353" s="500">
        <v>8</v>
      </c>
      <c r="B353"/>
      <c r="C353"/>
      <c r="D353"/>
      <c r="P353" s="497"/>
      <c r="Q353" s="497"/>
    </row>
    <row r="354" spans="1:17" x14ac:dyDescent="0.25">
      <c r="A354" s="500">
        <v>9</v>
      </c>
      <c r="B354"/>
      <c r="C354"/>
      <c r="D354"/>
      <c r="P354" s="497"/>
      <c r="Q354" s="497"/>
    </row>
    <row r="355" spans="1:17" x14ac:dyDescent="0.25">
      <c r="A355" s="500">
        <v>10</v>
      </c>
      <c r="B355"/>
      <c r="C355"/>
      <c r="D355"/>
      <c r="P355" s="497"/>
      <c r="Q355" s="497"/>
    </row>
    <row r="356" spans="1:17" x14ac:dyDescent="0.25">
      <c r="A356" s="500">
        <v>11</v>
      </c>
      <c r="B356"/>
      <c r="C356"/>
      <c r="D356"/>
      <c r="P356" s="497"/>
      <c r="Q356" s="497"/>
    </row>
    <row r="357" spans="1:17" x14ac:dyDescent="0.25">
      <c r="A357" s="500">
        <v>12</v>
      </c>
      <c r="B357"/>
      <c r="C357"/>
      <c r="D357"/>
      <c r="P357" s="497"/>
      <c r="Q357" s="497"/>
    </row>
    <row r="358" spans="1:17" x14ac:dyDescent="0.25">
      <c r="A358" s="500">
        <v>13</v>
      </c>
      <c r="B358"/>
      <c r="C358"/>
      <c r="D358"/>
      <c r="P358" s="497"/>
      <c r="Q358" s="497"/>
    </row>
    <row r="359" spans="1:17" x14ac:dyDescent="0.25">
      <c r="A359" s="500">
        <v>14</v>
      </c>
      <c r="B359"/>
      <c r="C359"/>
      <c r="D359"/>
      <c r="P359" s="497"/>
      <c r="Q359" s="497"/>
    </row>
    <row r="360" spans="1:17" x14ac:dyDescent="0.25">
      <c r="A360" s="500">
        <v>15</v>
      </c>
      <c r="B360"/>
      <c r="C360"/>
      <c r="D360"/>
      <c r="P360" s="497"/>
      <c r="Q360" s="497"/>
    </row>
    <row r="361" spans="1:17" x14ac:dyDescent="0.25">
      <c r="A361" s="500">
        <v>16</v>
      </c>
      <c r="B361"/>
      <c r="C361"/>
      <c r="D361"/>
      <c r="P361" s="497"/>
      <c r="Q361" s="497"/>
    </row>
    <row r="362" spans="1:17" x14ac:dyDescent="0.25">
      <c r="A362" s="500">
        <v>17</v>
      </c>
      <c r="B362"/>
      <c r="C362"/>
      <c r="D362"/>
      <c r="P362" s="497"/>
      <c r="Q362" s="497"/>
    </row>
    <row r="363" spans="1:17" x14ac:dyDescent="0.25">
      <c r="A363" s="500">
        <v>18</v>
      </c>
      <c r="B363"/>
      <c r="C363"/>
      <c r="D363"/>
      <c r="P363" s="497"/>
      <c r="Q363" s="497"/>
    </row>
    <row r="364" spans="1:17" x14ac:dyDescent="0.25">
      <c r="A364" s="500">
        <v>19</v>
      </c>
      <c r="B364"/>
      <c r="C364"/>
      <c r="D364"/>
      <c r="P364" s="497"/>
      <c r="Q364" s="497"/>
    </row>
    <row r="365" spans="1:17" x14ac:dyDescent="0.25">
      <c r="A365" s="500">
        <v>20</v>
      </c>
      <c r="B365"/>
      <c r="C365"/>
      <c r="D365"/>
      <c r="P365" s="497"/>
      <c r="Q365" s="497"/>
    </row>
    <row r="366" spans="1:17" x14ac:dyDescent="0.25">
      <c r="A366" s="500">
        <v>21</v>
      </c>
      <c r="B366"/>
      <c r="C366"/>
      <c r="D366"/>
      <c r="P366" s="497"/>
      <c r="Q366" s="497"/>
    </row>
    <row r="367" spans="1:17" x14ac:dyDescent="0.25">
      <c r="A367" s="500">
        <v>22</v>
      </c>
      <c r="P367" s="497"/>
      <c r="Q367" s="497"/>
    </row>
    <row r="368" spans="1:17" x14ac:dyDescent="0.25">
      <c r="A368" s="500">
        <v>23</v>
      </c>
      <c r="P368" s="497"/>
      <c r="Q368" s="497"/>
    </row>
    <row r="369" spans="1:17" x14ac:dyDescent="0.25">
      <c r="A369" s="500">
        <v>24</v>
      </c>
      <c r="P369" s="497"/>
      <c r="Q369" s="497"/>
    </row>
    <row r="370" spans="1:17" x14ac:dyDescent="0.25">
      <c r="A370" s="500">
        <v>25</v>
      </c>
      <c r="P370" s="497"/>
      <c r="Q370" s="497"/>
    </row>
    <row r="371" spans="1:17" x14ac:dyDescent="0.25">
      <c r="A371" s="500">
        <v>26</v>
      </c>
      <c r="P371" s="497"/>
      <c r="Q371" s="497"/>
    </row>
    <row r="372" spans="1:17" x14ac:dyDescent="0.25">
      <c r="A372" s="500">
        <v>27</v>
      </c>
      <c r="P372" s="497"/>
      <c r="Q372" s="497"/>
    </row>
    <row r="373" spans="1:17" x14ac:dyDescent="0.25">
      <c r="A373" s="500">
        <v>28</v>
      </c>
      <c r="P373" s="497"/>
      <c r="Q373" s="497"/>
    </row>
    <row r="374" spans="1:17" x14ac:dyDescent="0.25">
      <c r="A374" s="500">
        <v>1</v>
      </c>
      <c r="B374" s="276" t="s">
        <v>449</v>
      </c>
      <c r="C374" s="74" t="s">
        <v>253</v>
      </c>
      <c r="P374" s="497"/>
      <c r="Q374" s="497"/>
    </row>
    <row r="375" spans="1:17" x14ac:dyDescent="0.25">
      <c r="A375" s="500">
        <v>2</v>
      </c>
      <c r="P375" s="497"/>
      <c r="Q375" s="497"/>
    </row>
    <row r="376" spans="1:17" x14ac:dyDescent="0.25">
      <c r="A376" s="500">
        <v>3</v>
      </c>
      <c r="B376" s="276" t="s">
        <v>808</v>
      </c>
      <c r="C376"/>
      <c r="D376"/>
      <c r="P376" s="497"/>
      <c r="Q376" s="497"/>
    </row>
    <row r="377" spans="1:17" x14ac:dyDescent="0.25">
      <c r="A377" s="500">
        <v>4</v>
      </c>
      <c r="B377" s="69" t="s">
        <v>894</v>
      </c>
      <c r="C377" s="282">
        <v>225251512.493</v>
      </c>
      <c r="D377"/>
      <c r="P377" s="497"/>
      <c r="Q377" s="497"/>
    </row>
    <row r="378" spans="1:17" x14ac:dyDescent="0.25">
      <c r="A378" s="500">
        <v>5</v>
      </c>
      <c r="B378" s="69" t="s">
        <v>895</v>
      </c>
      <c r="C378" s="282">
        <v>28668161.657999992</v>
      </c>
      <c r="D378"/>
      <c r="P378" s="497"/>
      <c r="Q378" s="497"/>
    </row>
    <row r="379" spans="1:17" x14ac:dyDescent="0.25">
      <c r="A379" s="500">
        <v>6</v>
      </c>
      <c r="B379" s="69" t="s">
        <v>896</v>
      </c>
      <c r="C379" s="282">
        <v>117558551.84900001</v>
      </c>
      <c r="D379"/>
      <c r="P379" s="497"/>
      <c r="Q379" s="497"/>
    </row>
    <row r="380" spans="1:17" x14ac:dyDescent="0.25">
      <c r="A380" s="500">
        <v>7</v>
      </c>
      <c r="B380"/>
      <c r="C380"/>
      <c r="D380"/>
      <c r="P380" s="497"/>
      <c r="Q380" s="497"/>
    </row>
    <row r="381" spans="1:17" x14ac:dyDescent="0.25">
      <c r="A381" s="500">
        <v>8</v>
      </c>
      <c r="B381"/>
      <c r="C381"/>
      <c r="D381"/>
      <c r="P381" s="497"/>
      <c r="Q381" s="497"/>
    </row>
    <row r="382" spans="1:17" x14ac:dyDescent="0.25">
      <c r="A382" s="500">
        <v>9</v>
      </c>
      <c r="B382"/>
      <c r="C382"/>
      <c r="D382"/>
      <c r="P382" s="497"/>
      <c r="Q382" s="497"/>
    </row>
    <row r="383" spans="1:17" x14ac:dyDescent="0.25">
      <c r="A383" s="500">
        <v>10</v>
      </c>
      <c r="B383"/>
      <c r="C383"/>
      <c r="D383"/>
      <c r="P383" s="497"/>
      <c r="Q383" s="497"/>
    </row>
    <row r="384" spans="1:17" x14ac:dyDescent="0.25">
      <c r="A384" s="500">
        <v>11</v>
      </c>
      <c r="B384"/>
      <c r="C384"/>
      <c r="D384"/>
      <c r="P384" s="497"/>
      <c r="Q384" s="497"/>
    </row>
    <row r="385" spans="1:17" x14ac:dyDescent="0.25">
      <c r="A385" s="500">
        <v>12</v>
      </c>
      <c r="B385"/>
      <c r="C385"/>
      <c r="D385"/>
      <c r="P385" s="497"/>
      <c r="Q385" s="497"/>
    </row>
    <row r="386" spans="1:17" x14ac:dyDescent="0.25">
      <c r="A386" s="500">
        <v>13</v>
      </c>
      <c r="B386"/>
      <c r="C386"/>
      <c r="D386"/>
      <c r="P386" s="497"/>
      <c r="Q386" s="497"/>
    </row>
    <row r="387" spans="1:17" x14ac:dyDescent="0.25">
      <c r="A387" s="500">
        <v>14</v>
      </c>
      <c r="B387"/>
      <c r="C387"/>
      <c r="D387"/>
      <c r="P387" s="497"/>
      <c r="Q387" s="497"/>
    </row>
    <row r="388" spans="1:17" x14ac:dyDescent="0.25">
      <c r="A388" s="500">
        <v>15</v>
      </c>
      <c r="B388" s="74"/>
      <c r="C388" s="74"/>
      <c r="D388" s="74"/>
      <c r="P388" s="497"/>
      <c r="Q388" s="497"/>
    </row>
    <row r="389" spans="1:17" x14ac:dyDescent="0.25">
      <c r="A389" s="500">
        <v>16</v>
      </c>
      <c r="B389" s="74"/>
      <c r="C389" s="74"/>
      <c r="D389" s="74"/>
      <c r="P389" s="497"/>
      <c r="Q389" s="497"/>
    </row>
    <row r="390" spans="1:17" x14ac:dyDescent="0.25">
      <c r="A390" s="500">
        <v>17</v>
      </c>
      <c r="B390" s="74"/>
      <c r="C390" s="74"/>
      <c r="D390" s="74"/>
      <c r="P390" s="497"/>
      <c r="Q390" s="497"/>
    </row>
    <row r="391" spans="1:17" x14ac:dyDescent="0.25">
      <c r="A391" s="500">
        <v>18</v>
      </c>
      <c r="B391" s="74"/>
      <c r="C391" s="74"/>
      <c r="D391" s="74"/>
      <c r="P391" s="497"/>
      <c r="Q391" s="497"/>
    </row>
    <row r="392" spans="1:17" x14ac:dyDescent="0.25">
      <c r="A392" s="500">
        <v>19</v>
      </c>
      <c r="B392" s="74"/>
      <c r="C392" s="74"/>
      <c r="D392" s="74"/>
      <c r="P392" s="497"/>
      <c r="Q392" s="497"/>
    </row>
    <row r="393" spans="1:17" x14ac:dyDescent="0.25">
      <c r="A393" s="500">
        <v>20</v>
      </c>
      <c r="B393" s="74"/>
      <c r="C393" s="74"/>
      <c r="D393" s="74"/>
      <c r="P393" s="497"/>
      <c r="Q393" s="497"/>
    </row>
    <row r="394" spans="1:17" x14ac:dyDescent="0.25">
      <c r="A394" s="500">
        <v>21</v>
      </c>
      <c r="B394" s="74"/>
      <c r="C394" s="74"/>
      <c r="D394" s="74"/>
      <c r="P394" s="497"/>
      <c r="Q394" s="497"/>
    </row>
    <row r="395" spans="1:17" x14ac:dyDescent="0.25">
      <c r="A395" s="500">
        <v>22</v>
      </c>
      <c r="B395" s="74"/>
      <c r="C395" s="74"/>
      <c r="D395" s="74"/>
      <c r="P395" s="497"/>
      <c r="Q395" s="497"/>
    </row>
    <row r="396" spans="1:17" x14ac:dyDescent="0.25">
      <c r="A396" s="500">
        <v>23</v>
      </c>
      <c r="B396" s="74"/>
      <c r="C396" s="74"/>
      <c r="D396" s="74"/>
      <c r="P396" s="497"/>
      <c r="Q396" s="497"/>
    </row>
    <row r="397" spans="1:17" x14ac:dyDescent="0.25">
      <c r="A397" s="500">
        <v>24</v>
      </c>
      <c r="B397" s="74"/>
      <c r="C397" s="74"/>
      <c r="D397" s="74"/>
      <c r="P397" s="497"/>
      <c r="Q397" s="497"/>
    </row>
    <row r="398" spans="1:17" x14ac:dyDescent="0.25">
      <c r="A398" s="500">
        <v>25</v>
      </c>
      <c r="B398" s="74"/>
      <c r="C398" s="74"/>
      <c r="D398" s="74"/>
      <c r="P398" s="497"/>
      <c r="Q398" s="497"/>
    </row>
    <row r="399" spans="1:17" x14ac:dyDescent="0.25">
      <c r="A399" s="500">
        <v>26</v>
      </c>
      <c r="B399" s="74"/>
      <c r="C399" s="74"/>
      <c r="D399" s="74"/>
      <c r="P399" s="497"/>
      <c r="Q399" s="497"/>
    </row>
    <row r="400" spans="1:17" x14ac:dyDescent="0.25">
      <c r="A400" s="500">
        <v>27</v>
      </c>
      <c r="B400" s="74"/>
      <c r="C400" s="74"/>
      <c r="D400" s="74"/>
      <c r="P400" s="497"/>
      <c r="Q400" s="497"/>
    </row>
    <row r="401" spans="1:17" x14ac:dyDescent="0.25">
      <c r="A401" s="500">
        <v>28</v>
      </c>
      <c r="B401"/>
      <c r="C401"/>
      <c r="D401"/>
      <c r="P401" s="497"/>
      <c r="Q401" s="497"/>
    </row>
    <row r="402" spans="1:17" x14ac:dyDescent="0.25">
      <c r="A402" s="500">
        <v>1</v>
      </c>
      <c r="B402"/>
      <c r="C402"/>
      <c r="D402"/>
      <c r="P402" s="497"/>
      <c r="Q402" s="497"/>
    </row>
    <row r="403" spans="1:17" x14ac:dyDescent="0.25">
      <c r="A403" s="500">
        <v>2</v>
      </c>
      <c r="B403"/>
      <c r="C403"/>
      <c r="D403"/>
      <c r="P403" s="497"/>
      <c r="Q403" s="497"/>
    </row>
    <row r="404" spans="1:17" x14ac:dyDescent="0.25">
      <c r="A404" s="500">
        <v>3</v>
      </c>
      <c r="B404"/>
      <c r="C404"/>
      <c r="D404"/>
      <c r="P404" s="497"/>
      <c r="Q404" s="497"/>
    </row>
    <row r="405" spans="1:17" x14ac:dyDescent="0.25">
      <c r="A405" s="500">
        <v>4</v>
      </c>
      <c r="B405"/>
      <c r="C405"/>
      <c r="D405"/>
      <c r="P405" s="497"/>
      <c r="Q405" s="497"/>
    </row>
    <row r="406" spans="1:17" x14ac:dyDescent="0.25">
      <c r="A406" s="500">
        <v>5</v>
      </c>
      <c r="B406"/>
      <c r="C406"/>
      <c r="D406"/>
      <c r="P406" s="497"/>
      <c r="Q406" s="497"/>
    </row>
    <row r="407" spans="1:17" x14ac:dyDescent="0.25">
      <c r="A407" s="500">
        <v>6</v>
      </c>
      <c r="P407" s="497"/>
      <c r="Q407" s="497"/>
    </row>
    <row r="408" spans="1:17" x14ac:dyDescent="0.25">
      <c r="A408" s="500">
        <v>7</v>
      </c>
      <c r="B408" s="276" t="s">
        <v>449</v>
      </c>
      <c r="C408" s="74" t="s">
        <v>705</v>
      </c>
      <c r="P408" s="497"/>
      <c r="Q408" s="497"/>
    </row>
    <row r="409" spans="1:17" x14ac:dyDescent="0.25">
      <c r="A409" s="500">
        <v>8</v>
      </c>
      <c r="P409" s="497"/>
      <c r="Q409" s="497"/>
    </row>
    <row r="410" spans="1:17" x14ac:dyDescent="0.25">
      <c r="A410" s="500">
        <v>9</v>
      </c>
      <c r="B410" s="276" t="s">
        <v>808</v>
      </c>
      <c r="C410"/>
      <c r="D410"/>
      <c r="P410" s="497"/>
      <c r="Q410" s="497"/>
    </row>
    <row r="411" spans="1:17" x14ac:dyDescent="0.25">
      <c r="A411" s="500">
        <v>10</v>
      </c>
      <c r="B411" s="69" t="s">
        <v>894</v>
      </c>
      <c r="C411" s="283">
        <v>11523725</v>
      </c>
      <c r="D411"/>
      <c r="P411" s="497"/>
      <c r="Q411" s="497"/>
    </row>
    <row r="412" spans="1:17" x14ac:dyDescent="0.25">
      <c r="A412" s="500">
        <v>11</v>
      </c>
      <c r="B412" s="69" t="s">
        <v>895</v>
      </c>
      <c r="C412" s="283">
        <v>0</v>
      </c>
      <c r="D412"/>
      <c r="P412" s="497"/>
      <c r="Q412" s="497"/>
    </row>
    <row r="413" spans="1:17" x14ac:dyDescent="0.25">
      <c r="A413" s="500">
        <v>12</v>
      </c>
      <c r="B413" s="69" t="s">
        <v>843</v>
      </c>
      <c r="C413" s="283">
        <v>23399674</v>
      </c>
      <c r="D413"/>
      <c r="P413" s="497"/>
      <c r="Q413" s="497"/>
    </row>
    <row r="414" spans="1:17" x14ac:dyDescent="0.25">
      <c r="A414" s="500">
        <v>13</v>
      </c>
      <c r="B414"/>
      <c r="C414"/>
      <c r="D414"/>
      <c r="P414" s="497"/>
      <c r="Q414" s="497"/>
    </row>
    <row r="415" spans="1:17" x14ac:dyDescent="0.25">
      <c r="A415" s="500">
        <v>14</v>
      </c>
      <c r="B415"/>
      <c r="C415"/>
      <c r="D415"/>
      <c r="P415" s="497"/>
      <c r="Q415" s="497"/>
    </row>
    <row r="416" spans="1:17" x14ac:dyDescent="0.25">
      <c r="A416" s="500">
        <v>15</v>
      </c>
      <c r="B416"/>
      <c r="C416"/>
      <c r="D416"/>
      <c r="P416" s="497"/>
      <c r="Q416" s="497"/>
    </row>
    <row r="417" spans="1:17" x14ac:dyDescent="0.25">
      <c r="A417" s="500">
        <v>16</v>
      </c>
      <c r="B417"/>
      <c r="C417"/>
      <c r="D417"/>
      <c r="P417" s="497"/>
      <c r="Q417" s="497"/>
    </row>
    <row r="418" spans="1:17" x14ac:dyDescent="0.25">
      <c r="A418" s="500">
        <v>17</v>
      </c>
      <c r="B418"/>
      <c r="C418"/>
      <c r="D418"/>
      <c r="P418" s="497"/>
      <c r="Q418" s="497"/>
    </row>
    <row r="419" spans="1:17" x14ac:dyDescent="0.25">
      <c r="A419" s="500">
        <v>18</v>
      </c>
      <c r="B419"/>
      <c r="C419"/>
      <c r="D419"/>
      <c r="P419" s="497"/>
      <c r="Q419" s="497"/>
    </row>
    <row r="420" spans="1:17" x14ac:dyDescent="0.25">
      <c r="A420" s="500">
        <v>19</v>
      </c>
      <c r="B420"/>
      <c r="C420"/>
      <c r="D420"/>
      <c r="P420" s="497"/>
      <c r="Q420" s="497"/>
    </row>
    <row r="421" spans="1:17" x14ac:dyDescent="0.25">
      <c r="A421" s="500">
        <v>20</v>
      </c>
      <c r="B421"/>
      <c r="C421"/>
      <c r="D421"/>
      <c r="P421" s="497"/>
      <c r="Q421" s="497"/>
    </row>
    <row r="422" spans="1:17" x14ac:dyDescent="0.25">
      <c r="A422" s="500">
        <v>21</v>
      </c>
      <c r="B422"/>
      <c r="C422"/>
      <c r="D422"/>
      <c r="P422" s="497"/>
      <c r="Q422" s="497"/>
    </row>
    <row r="423" spans="1:17" x14ac:dyDescent="0.25">
      <c r="A423" s="500">
        <v>22</v>
      </c>
      <c r="B423"/>
      <c r="C423"/>
      <c r="D423"/>
      <c r="P423" s="497"/>
      <c r="Q423" s="497"/>
    </row>
    <row r="424" spans="1:17" x14ac:dyDescent="0.25">
      <c r="A424" s="500">
        <v>23</v>
      </c>
      <c r="B424"/>
      <c r="C424"/>
      <c r="D424"/>
      <c r="P424" s="497"/>
      <c r="Q424" s="497"/>
    </row>
    <row r="425" spans="1:17" x14ac:dyDescent="0.25">
      <c r="A425" s="500">
        <v>24</v>
      </c>
      <c r="B425"/>
      <c r="C425"/>
      <c r="D425"/>
      <c r="P425" s="497"/>
      <c r="Q425" s="497"/>
    </row>
    <row r="426" spans="1:17" x14ac:dyDescent="0.25">
      <c r="A426" s="500">
        <v>25</v>
      </c>
      <c r="B426"/>
      <c r="C426"/>
      <c r="D426"/>
      <c r="P426" s="497"/>
      <c r="Q426" s="497"/>
    </row>
    <row r="427" spans="1:17" x14ac:dyDescent="0.25">
      <c r="A427" s="500">
        <v>26</v>
      </c>
      <c r="B427"/>
      <c r="C427"/>
      <c r="D427"/>
      <c r="P427" s="497"/>
      <c r="Q427" s="497"/>
    </row>
    <row r="428" spans="1:17" x14ac:dyDescent="0.25">
      <c r="A428" s="500">
        <v>27</v>
      </c>
      <c r="P428" s="497"/>
      <c r="Q428" s="497"/>
    </row>
    <row r="429" spans="1:17" x14ac:dyDescent="0.25">
      <c r="A429" s="500">
        <v>28</v>
      </c>
      <c r="P429" s="497"/>
      <c r="Q429" s="497"/>
    </row>
    <row r="430" spans="1:17" x14ac:dyDescent="0.25">
      <c r="A430" s="500">
        <v>1</v>
      </c>
      <c r="P430" s="497"/>
      <c r="Q430" s="497"/>
    </row>
    <row r="431" spans="1:17" x14ac:dyDescent="0.25">
      <c r="A431" s="500">
        <v>2</v>
      </c>
      <c r="P431" s="497"/>
      <c r="Q431" s="497"/>
    </row>
    <row r="432" spans="1:17" x14ac:dyDescent="0.25">
      <c r="A432" s="500">
        <v>3</v>
      </c>
      <c r="P432" s="497"/>
      <c r="Q432" s="497"/>
    </row>
    <row r="433" spans="1:17" x14ac:dyDescent="0.25">
      <c r="A433" s="500">
        <v>4</v>
      </c>
      <c r="P433" s="497"/>
      <c r="Q433" s="497"/>
    </row>
    <row r="434" spans="1:17" x14ac:dyDescent="0.25">
      <c r="A434" s="500">
        <v>5</v>
      </c>
      <c r="P434" s="497"/>
      <c r="Q434" s="497"/>
    </row>
    <row r="435" spans="1:17" x14ac:dyDescent="0.25">
      <c r="A435" s="500">
        <v>6</v>
      </c>
      <c r="P435" s="497"/>
      <c r="Q435" s="497"/>
    </row>
    <row r="436" spans="1:17" x14ac:dyDescent="0.25">
      <c r="A436" s="500">
        <v>7</v>
      </c>
      <c r="P436" s="497"/>
      <c r="Q436" s="497"/>
    </row>
    <row r="437" spans="1:17" x14ac:dyDescent="0.25">
      <c r="A437" s="500">
        <v>19</v>
      </c>
      <c r="P437" s="497"/>
      <c r="Q437" s="497"/>
    </row>
    <row r="438" spans="1:17" x14ac:dyDescent="0.25">
      <c r="A438" s="500">
        <v>20</v>
      </c>
      <c r="P438" s="497"/>
      <c r="Q438" s="497"/>
    </row>
    <row r="439" spans="1:17" x14ac:dyDescent="0.25">
      <c r="A439" s="500">
        <v>21</v>
      </c>
      <c r="P439" s="497"/>
      <c r="Q439" s="497"/>
    </row>
    <row r="440" spans="1:17" x14ac:dyDescent="0.25">
      <c r="A440" s="500">
        <v>22</v>
      </c>
      <c r="P440" s="497"/>
      <c r="Q440" s="497"/>
    </row>
    <row r="441" spans="1:17" x14ac:dyDescent="0.25">
      <c r="A441" s="500">
        <v>23</v>
      </c>
      <c r="P441" s="497"/>
      <c r="Q441" s="497"/>
    </row>
    <row r="442" spans="1:17" x14ac:dyDescent="0.25">
      <c r="A442" s="500">
        <v>24</v>
      </c>
      <c r="P442" s="497"/>
      <c r="Q442" s="497"/>
    </row>
    <row r="443" spans="1:17" x14ac:dyDescent="0.25">
      <c r="A443" s="500">
        <v>25</v>
      </c>
      <c r="P443" s="497"/>
      <c r="Q443" s="497"/>
    </row>
    <row r="444" spans="1:17" x14ac:dyDescent="0.25">
      <c r="A444" s="500">
        <v>26</v>
      </c>
      <c r="P444" s="497"/>
      <c r="Q444" s="497"/>
    </row>
    <row r="445" spans="1:17" x14ac:dyDescent="0.25">
      <c r="A445" s="500">
        <v>27</v>
      </c>
      <c r="P445" s="497"/>
      <c r="Q445" s="497"/>
    </row>
    <row r="446" spans="1:17" x14ac:dyDescent="0.25">
      <c r="A446" s="500">
        <v>28</v>
      </c>
      <c r="P446" s="497"/>
      <c r="Q446" s="497"/>
    </row>
    <row r="447" spans="1:17" x14ac:dyDescent="0.25">
      <c r="P447" s="497"/>
      <c r="Q447" s="497"/>
    </row>
    <row r="448" spans="1:17" x14ac:dyDescent="0.25">
      <c r="P448" s="497"/>
      <c r="Q448" s="497"/>
    </row>
    <row r="449" spans="16:17" x14ac:dyDescent="0.25">
      <c r="P449" s="497"/>
      <c r="Q449" s="497"/>
    </row>
    <row r="450" spans="16:17" x14ac:dyDescent="0.25">
      <c r="P450" s="497"/>
      <c r="Q450" s="497"/>
    </row>
    <row r="451" spans="16:17" x14ac:dyDescent="0.25">
      <c r="P451" s="497"/>
      <c r="Q451" s="497"/>
    </row>
    <row r="452" spans="16:17" x14ac:dyDescent="0.25">
      <c r="P452" s="497"/>
      <c r="Q452" s="497"/>
    </row>
    <row r="453" spans="16:17" x14ac:dyDescent="0.25">
      <c r="P453" s="497"/>
      <c r="Q453" s="497"/>
    </row>
    <row r="454" spans="16:17" x14ac:dyDescent="0.25">
      <c r="P454" s="497"/>
      <c r="Q454" s="497"/>
    </row>
    <row r="455" spans="16:17" x14ac:dyDescent="0.25">
      <c r="P455" s="497"/>
      <c r="Q455" s="497"/>
    </row>
    <row r="456" spans="16:17" x14ac:dyDescent="0.25">
      <c r="P456" s="497"/>
      <c r="Q456" s="497"/>
    </row>
    <row r="457" spans="16:17" x14ac:dyDescent="0.25">
      <c r="P457" s="497"/>
      <c r="Q457" s="497"/>
    </row>
    <row r="458" spans="16:17" x14ac:dyDescent="0.25">
      <c r="P458" s="497"/>
      <c r="Q458" s="497"/>
    </row>
    <row r="459" spans="16:17" x14ac:dyDescent="0.25">
      <c r="P459" s="497"/>
      <c r="Q459" s="497"/>
    </row>
    <row r="460" spans="16:17" x14ac:dyDescent="0.25">
      <c r="P460" s="497"/>
      <c r="Q460" s="497"/>
    </row>
    <row r="461" spans="16:17" x14ac:dyDescent="0.25">
      <c r="P461" s="497"/>
      <c r="Q461" s="497"/>
    </row>
    <row r="462" spans="16:17" x14ac:dyDescent="0.25">
      <c r="P462" s="497"/>
      <c r="Q462" s="497"/>
    </row>
    <row r="463" spans="16:17" x14ac:dyDescent="0.25">
      <c r="P463" s="497"/>
      <c r="Q463" s="497"/>
    </row>
    <row r="464" spans="16:17" x14ac:dyDescent="0.25">
      <c r="P464" s="497"/>
      <c r="Q464" s="497"/>
    </row>
    <row r="465" spans="2:17" x14ac:dyDescent="0.25">
      <c r="P465" s="497"/>
      <c r="Q465" s="497"/>
    </row>
    <row r="466" spans="2:17" x14ac:dyDescent="0.25">
      <c r="P466" s="497"/>
      <c r="Q466" s="497"/>
    </row>
    <row r="467" spans="2:17" x14ac:dyDescent="0.25">
      <c r="P467" s="497"/>
      <c r="Q467" s="497"/>
    </row>
    <row r="468" spans="2:17" x14ac:dyDescent="0.25">
      <c r="P468" s="497"/>
      <c r="Q468" s="497"/>
    </row>
    <row r="469" spans="2:17" x14ac:dyDescent="0.25">
      <c r="P469" s="497"/>
      <c r="Q469" s="497"/>
    </row>
    <row r="470" spans="2:17" x14ac:dyDescent="0.25">
      <c r="P470" s="497"/>
      <c r="Q470" s="497"/>
    </row>
    <row r="471" spans="2:17" x14ac:dyDescent="0.25">
      <c r="P471" s="497"/>
      <c r="Q471" s="497"/>
    </row>
    <row r="472" spans="2:17" x14ac:dyDescent="0.25">
      <c r="P472" s="497"/>
      <c r="Q472" s="497"/>
    </row>
    <row r="473" spans="2:17" x14ac:dyDescent="0.25">
      <c r="P473" s="497"/>
      <c r="Q473" s="497"/>
    </row>
    <row r="474" spans="2:17" x14ac:dyDescent="0.25">
      <c r="P474" s="497"/>
      <c r="Q474" s="497"/>
    </row>
    <row r="475" spans="2:17" x14ac:dyDescent="0.25">
      <c r="P475" s="497"/>
      <c r="Q475" s="497"/>
    </row>
    <row r="476" spans="2:17" x14ac:dyDescent="0.25">
      <c r="P476" s="497"/>
      <c r="Q476" s="497"/>
    </row>
    <row r="477" spans="2:17" x14ac:dyDescent="0.25">
      <c r="P477" s="497"/>
      <c r="Q477" s="497"/>
    </row>
    <row r="478" spans="2:17" x14ac:dyDescent="0.25">
      <c r="B478" s="501"/>
      <c r="C478" s="501"/>
      <c r="P478" s="497"/>
      <c r="Q478" s="497"/>
    </row>
    <row r="479" spans="2:17" x14ac:dyDescent="0.25">
      <c r="P479" s="497"/>
      <c r="Q479" s="497"/>
    </row>
    <row r="480" spans="2:17" x14ac:dyDescent="0.25">
      <c r="P480" s="497"/>
      <c r="Q480" s="497"/>
    </row>
    <row r="481" spans="16:17" x14ac:dyDescent="0.25">
      <c r="P481" s="497"/>
      <c r="Q481" s="497"/>
    </row>
    <row r="482" spans="16:17" x14ac:dyDescent="0.25">
      <c r="P482" s="497"/>
      <c r="Q482" s="497"/>
    </row>
    <row r="483" spans="16:17" x14ac:dyDescent="0.25">
      <c r="P483" s="497"/>
      <c r="Q483" s="497"/>
    </row>
    <row r="484" spans="16:17" x14ac:dyDescent="0.25">
      <c r="P484" s="497"/>
      <c r="Q484" s="497"/>
    </row>
    <row r="485" spans="16:17" x14ac:dyDescent="0.25">
      <c r="P485" s="497"/>
      <c r="Q485" s="497"/>
    </row>
    <row r="486" spans="16:17" x14ac:dyDescent="0.25">
      <c r="P486" s="497"/>
      <c r="Q486" s="497"/>
    </row>
    <row r="487" spans="16:17" x14ac:dyDescent="0.25">
      <c r="P487" s="497"/>
      <c r="Q487" s="497"/>
    </row>
    <row r="488" spans="16:17" x14ac:dyDescent="0.25">
      <c r="P488" s="497"/>
      <c r="Q488" s="497"/>
    </row>
    <row r="489" spans="16:17" x14ac:dyDescent="0.25">
      <c r="P489" s="497"/>
      <c r="Q489" s="497"/>
    </row>
    <row r="490" spans="16:17" x14ac:dyDescent="0.25">
      <c r="P490" s="497"/>
      <c r="Q490" s="497"/>
    </row>
    <row r="491" spans="16:17" x14ac:dyDescent="0.25">
      <c r="P491" s="497"/>
      <c r="Q491" s="497"/>
    </row>
    <row r="492" spans="16:17" x14ac:dyDescent="0.25">
      <c r="P492" s="497"/>
      <c r="Q492" s="497"/>
    </row>
    <row r="493" spans="16:17" x14ac:dyDescent="0.25">
      <c r="P493" s="497"/>
      <c r="Q493" s="497"/>
    </row>
    <row r="494" spans="16:17" x14ac:dyDescent="0.25">
      <c r="P494" s="497"/>
      <c r="Q494" s="497"/>
    </row>
    <row r="495" spans="16:17" x14ac:dyDescent="0.25">
      <c r="P495" s="497"/>
      <c r="Q495" s="497"/>
    </row>
    <row r="496" spans="16:17" x14ac:dyDescent="0.25">
      <c r="P496" s="497"/>
      <c r="Q496" s="497"/>
    </row>
    <row r="497" spans="16:17" x14ac:dyDescent="0.25">
      <c r="P497" s="497"/>
      <c r="Q497" s="497"/>
    </row>
    <row r="498" spans="16:17" x14ac:dyDescent="0.25">
      <c r="P498" s="497"/>
      <c r="Q498" s="497"/>
    </row>
    <row r="499" spans="16:17" x14ac:dyDescent="0.25">
      <c r="P499" s="497"/>
      <c r="Q499" s="497"/>
    </row>
    <row r="500" spans="16:17" x14ac:dyDescent="0.25">
      <c r="P500" s="497"/>
      <c r="Q500" s="497"/>
    </row>
    <row r="501" spans="16:17" x14ac:dyDescent="0.25">
      <c r="P501" s="497"/>
      <c r="Q501" s="497"/>
    </row>
    <row r="502" spans="16:17" x14ac:dyDescent="0.25">
      <c r="P502" s="497"/>
      <c r="Q502" s="497"/>
    </row>
    <row r="503" spans="16:17" x14ac:dyDescent="0.25">
      <c r="P503" s="497"/>
      <c r="Q503" s="497"/>
    </row>
    <row r="504" spans="16:17" x14ac:dyDescent="0.25">
      <c r="P504" s="497"/>
      <c r="Q504" s="497"/>
    </row>
    <row r="505" spans="16:17" x14ac:dyDescent="0.25">
      <c r="P505" s="497"/>
      <c r="Q505" s="497"/>
    </row>
    <row r="506" spans="16:17" x14ac:dyDescent="0.25">
      <c r="P506" s="497"/>
      <c r="Q506" s="497"/>
    </row>
    <row r="507" spans="16:17" x14ac:dyDescent="0.25">
      <c r="P507" s="497"/>
      <c r="Q507" s="497"/>
    </row>
    <row r="508" spans="16:17" x14ac:dyDescent="0.25">
      <c r="P508" s="497"/>
      <c r="Q508" s="497"/>
    </row>
    <row r="509" spans="16:17" x14ac:dyDescent="0.25">
      <c r="P509" s="497"/>
      <c r="Q509" s="497"/>
    </row>
    <row r="510" spans="16:17" x14ac:dyDescent="0.25">
      <c r="P510" s="497"/>
      <c r="Q510" s="497"/>
    </row>
    <row r="511" spans="16:17" x14ac:dyDescent="0.25">
      <c r="P511" s="497"/>
      <c r="Q511" s="497"/>
    </row>
    <row r="512" spans="16:17" x14ac:dyDescent="0.25">
      <c r="P512" s="497"/>
      <c r="Q512" s="497"/>
    </row>
    <row r="513" spans="16:17" x14ac:dyDescent="0.25">
      <c r="P513" s="497"/>
      <c r="Q513" s="497"/>
    </row>
    <row r="514" spans="16:17" x14ac:dyDescent="0.25">
      <c r="P514" s="497"/>
      <c r="Q514" s="497"/>
    </row>
    <row r="515" spans="16:17" x14ac:dyDescent="0.25">
      <c r="P515" s="497"/>
      <c r="Q515" s="497"/>
    </row>
    <row r="516" spans="16:17" x14ac:dyDescent="0.25">
      <c r="P516" s="497"/>
      <c r="Q516" s="497"/>
    </row>
    <row r="517" spans="16:17" x14ac:dyDescent="0.25">
      <c r="P517" s="497"/>
      <c r="Q517" s="497"/>
    </row>
    <row r="518" spans="16:17" x14ac:dyDescent="0.25">
      <c r="P518" s="497"/>
      <c r="Q518" s="497"/>
    </row>
    <row r="519" spans="16:17" x14ac:dyDescent="0.25">
      <c r="P519" s="497"/>
      <c r="Q519" s="497"/>
    </row>
    <row r="520" spans="16:17" x14ac:dyDescent="0.25">
      <c r="P520" s="497"/>
      <c r="Q520" s="497"/>
    </row>
    <row r="521" spans="16:17" x14ac:dyDescent="0.25">
      <c r="P521" s="497"/>
      <c r="Q521" s="497"/>
    </row>
    <row r="522" spans="16:17" x14ac:dyDescent="0.25">
      <c r="P522" s="497"/>
      <c r="Q522" s="497"/>
    </row>
    <row r="523" spans="16:17" x14ac:dyDescent="0.25">
      <c r="P523" s="497"/>
      <c r="Q523" s="497"/>
    </row>
    <row r="524" spans="16:17" x14ac:dyDescent="0.25">
      <c r="P524" s="497"/>
      <c r="Q524" s="497"/>
    </row>
    <row r="525" spans="16:17" x14ac:dyDescent="0.25">
      <c r="P525" s="497"/>
      <c r="Q525" s="497"/>
    </row>
    <row r="526" spans="16:17" x14ac:dyDescent="0.25">
      <c r="P526" s="497"/>
      <c r="Q526" s="497"/>
    </row>
    <row r="527" spans="16:17" x14ac:dyDescent="0.25">
      <c r="P527" s="497"/>
      <c r="Q527" s="497"/>
    </row>
    <row r="528" spans="16:17" x14ac:dyDescent="0.25">
      <c r="P528" s="497"/>
      <c r="Q528" s="497"/>
    </row>
    <row r="529" spans="16:17" x14ac:dyDescent="0.25">
      <c r="P529" s="497"/>
      <c r="Q529" s="497"/>
    </row>
    <row r="530" spans="16:17" x14ac:dyDescent="0.25">
      <c r="P530" s="497"/>
      <c r="Q530" s="497"/>
    </row>
    <row r="531" spans="16:17" x14ac:dyDescent="0.25">
      <c r="P531" s="497"/>
      <c r="Q531" s="497"/>
    </row>
    <row r="532" spans="16:17" x14ac:dyDescent="0.25">
      <c r="P532" s="497"/>
      <c r="Q532" s="497"/>
    </row>
    <row r="533" spans="16:17" x14ac:dyDescent="0.25">
      <c r="P533" s="497"/>
      <c r="Q533" s="497"/>
    </row>
    <row r="534" spans="16:17" x14ac:dyDescent="0.25">
      <c r="P534" s="497"/>
      <c r="Q534" s="497"/>
    </row>
    <row r="535" spans="16:17" x14ac:dyDescent="0.25">
      <c r="P535" s="497"/>
      <c r="Q535" s="497"/>
    </row>
    <row r="536" spans="16:17" x14ac:dyDescent="0.25">
      <c r="P536" s="497"/>
      <c r="Q536" s="497"/>
    </row>
    <row r="537" spans="16:17" x14ac:dyDescent="0.25">
      <c r="P537" s="497"/>
      <c r="Q537" s="497"/>
    </row>
    <row r="538" spans="16:17" x14ac:dyDescent="0.25">
      <c r="P538" s="497"/>
      <c r="Q538" s="497"/>
    </row>
    <row r="539" spans="16:17" x14ac:dyDescent="0.25">
      <c r="P539" s="497"/>
      <c r="Q539" s="497"/>
    </row>
    <row r="540" spans="16:17" x14ac:dyDescent="0.25">
      <c r="P540" s="497"/>
      <c r="Q540" s="497"/>
    </row>
    <row r="541" spans="16:17" x14ac:dyDescent="0.25">
      <c r="P541" s="497"/>
      <c r="Q541" s="497"/>
    </row>
    <row r="542" spans="16:17" x14ac:dyDescent="0.25">
      <c r="P542" s="497"/>
      <c r="Q542" s="497"/>
    </row>
    <row r="543" spans="16:17" x14ac:dyDescent="0.25">
      <c r="P543" s="497"/>
      <c r="Q543" s="497"/>
    </row>
    <row r="544" spans="16:17" x14ac:dyDescent="0.25">
      <c r="P544" s="497"/>
      <c r="Q544" s="497"/>
    </row>
    <row r="545" spans="16:17" x14ac:dyDescent="0.25">
      <c r="P545" s="497"/>
      <c r="Q545" s="497"/>
    </row>
    <row r="546" spans="16:17" x14ac:dyDescent="0.25">
      <c r="P546" s="497"/>
      <c r="Q546" s="497"/>
    </row>
    <row r="547" spans="16:17" x14ac:dyDescent="0.25">
      <c r="P547" s="497"/>
      <c r="Q547" s="497"/>
    </row>
    <row r="548" spans="16:17" x14ac:dyDescent="0.25">
      <c r="P548" s="497"/>
      <c r="Q548" s="497"/>
    </row>
    <row r="549" spans="16:17" x14ac:dyDescent="0.25">
      <c r="P549" s="497"/>
      <c r="Q549" s="497"/>
    </row>
    <row r="550" spans="16:17" x14ac:dyDescent="0.25">
      <c r="P550" s="497"/>
      <c r="Q550" s="497"/>
    </row>
    <row r="551" spans="16:17" x14ac:dyDescent="0.25">
      <c r="P551" s="497"/>
      <c r="Q551" s="497"/>
    </row>
    <row r="552" spans="16:17" x14ac:dyDescent="0.25">
      <c r="P552" s="497"/>
      <c r="Q552" s="497"/>
    </row>
    <row r="553" spans="16:17" x14ac:dyDescent="0.25">
      <c r="P553" s="497"/>
      <c r="Q553" s="497"/>
    </row>
    <row r="554" spans="16:17" x14ac:dyDescent="0.25">
      <c r="P554" s="497"/>
      <c r="Q554" s="497"/>
    </row>
    <row r="555" spans="16:17" x14ac:dyDescent="0.25">
      <c r="P555" s="497"/>
      <c r="Q555" s="497"/>
    </row>
    <row r="556" spans="16:17" x14ac:dyDescent="0.25">
      <c r="P556" s="497"/>
      <c r="Q556" s="497"/>
    </row>
    <row r="557" spans="16:17" x14ac:dyDescent="0.25">
      <c r="P557" s="497"/>
      <c r="Q557" s="497"/>
    </row>
    <row r="558" spans="16:17" x14ac:dyDescent="0.25">
      <c r="P558" s="497"/>
      <c r="Q558" s="497"/>
    </row>
    <row r="559" spans="16:17" x14ac:dyDescent="0.25">
      <c r="P559" s="497"/>
      <c r="Q559" s="497"/>
    </row>
    <row r="560" spans="16:17" x14ac:dyDescent="0.25">
      <c r="P560" s="497"/>
      <c r="Q560" s="497"/>
    </row>
    <row r="561" spans="16:17" x14ac:dyDescent="0.25">
      <c r="P561" s="497"/>
      <c r="Q561" s="497"/>
    </row>
    <row r="562" spans="16:17" x14ac:dyDescent="0.25">
      <c r="P562" s="497"/>
      <c r="Q562" s="497"/>
    </row>
    <row r="563" spans="16:17" x14ac:dyDescent="0.25">
      <c r="P563" s="497"/>
      <c r="Q563" s="497"/>
    </row>
    <row r="564" spans="16:17" x14ac:dyDescent="0.25">
      <c r="P564" s="497"/>
      <c r="Q564" s="497"/>
    </row>
    <row r="565" spans="16:17" x14ac:dyDescent="0.25">
      <c r="P565" s="497"/>
      <c r="Q565" s="497"/>
    </row>
    <row r="566" spans="16:17" x14ac:dyDescent="0.25">
      <c r="P566" s="497"/>
      <c r="Q566" s="497"/>
    </row>
    <row r="567" spans="16:17" x14ac:dyDescent="0.25">
      <c r="P567" s="497"/>
      <c r="Q567" s="497"/>
    </row>
    <row r="568" spans="16:17" x14ac:dyDescent="0.25">
      <c r="P568" s="497"/>
      <c r="Q568" s="497"/>
    </row>
    <row r="569" spans="16:17" x14ac:dyDescent="0.25">
      <c r="P569" s="497"/>
      <c r="Q569" s="497"/>
    </row>
    <row r="570" spans="16:17" x14ac:dyDescent="0.25">
      <c r="P570" s="497"/>
      <c r="Q570" s="497"/>
    </row>
    <row r="571" spans="16:17" x14ac:dyDescent="0.25">
      <c r="P571" s="497"/>
      <c r="Q571" s="497"/>
    </row>
    <row r="572" spans="16:17" x14ac:dyDescent="0.25">
      <c r="P572" s="497"/>
      <c r="Q572" s="497"/>
    </row>
    <row r="573" spans="16:17" x14ac:dyDescent="0.25">
      <c r="P573" s="497"/>
      <c r="Q573" s="497"/>
    </row>
    <row r="574" spans="16:17" x14ac:dyDescent="0.25">
      <c r="P574" s="497"/>
      <c r="Q574" s="497"/>
    </row>
    <row r="575" spans="16:17" x14ac:dyDescent="0.25">
      <c r="P575" s="497"/>
      <c r="Q575" s="497"/>
    </row>
    <row r="576" spans="16:17" x14ac:dyDescent="0.25">
      <c r="P576" s="497"/>
      <c r="Q576" s="497"/>
    </row>
    <row r="577" spans="16:17" x14ac:dyDescent="0.25">
      <c r="P577" s="497"/>
      <c r="Q577" s="497"/>
    </row>
    <row r="578" spans="16:17" x14ac:dyDescent="0.25">
      <c r="P578" s="497"/>
      <c r="Q578" s="497"/>
    </row>
    <row r="579" spans="16:17" x14ac:dyDescent="0.25">
      <c r="P579" s="497"/>
      <c r="Q579" s="497"/>
    </row>
    <row r="580" spans="16:17" x14ac:dyDescent="0.25">
      <c r="P580" s="497"/>
      <c r="Q580" s="497"/>
    </row>
    <row r="581" spans="16:17" x14ac:dyDescent="0.25">
      <c r="P581" s="497"/>
      <c r="Q581" s="497"/>
    </row>
    <row r="582" spans="16:17" x14ac:dyDescent="0.25">
      <c r="P582" s="497"/>
      <c r="Q582" s="497"/>
    </row>
    <row r="583" spans="16:17" x14ac:dyDescent="0.25">
      <c r="P583" s="497"/>
      <c r="Q583" s="497"/>
    </row>
    <row r="584" spans="16:17" x14ac:dyDescent="0.25">
      <c r="P584" s="497"/>
      <c r="Q584" s="497"/>
    </row>
    <row r="585" spans="16:17" x14ac:dyDescent="0.25">
      <c r="P585" s="497"/>
      <c r="Q585" s="497"/>
    </row>
    <row r="586" spans="16:17" x14ac:dyDescent="0.25">
      <c r="P586" s="497"/>
      <c r="Q586" s="497"/>
    </row>
    <row r="587" spans="16:17" x14ac:dyDescent="0.25">
      <c r="P587" s="497"/>
      <c r="Q587" s="497"/>
    </row>
    <row r="588" spans="16:17" x14ac:dyDescent="0.25">
      <c r="P588" s="497"/>
      <c r="Q588" s="497"/>
    </row>
    <row r="589" spans="16:17" x14ac:dyDescent="0.25">
      <c r="P589" s="497"/>
      <c r="Q589" s="497"/>
    </row>
    <row r="590" spans="16:17" x14ac:dyDescent="0.25">
      <c r="P590" s="497"/>
      <c r="Q590" s="497"/>
    </row>
    <row r="591" spans="16:17" x14ac:dyDescent="0.25">
      <c r="P591" s="497"/>
      <c r="Q591" s="497"/>
    </row>
    <row r="592" spans="16:17" x14ac:dyDescent="0.25">
      <c r="P592" s="497"/>
      <c r="Q592" s="497"/>
    </row>
    <row r="692" spans="2:2" x14ac:dyDescent="0.25">
      <c r="B692"/>
    </row>
    <row r="693" spans="2:2" x14ac:dyDescent="0.25">
      <c r="B693"/>
    </row>
    <row r="694" spans="2:2" x14ac:dyDescent="0.25">
      <c r="B694"/>
    </row>
    <row r="695" spans="2:2" x14ac:dyDescent="0.25">
      <c r="B695"/>
    </row>
  </sheetData>
  <pageMargins left="0.7" right="0.7" top="0.75" bottom="0.75" header="0.3" footer="0.3"/>
  <pageSetup orientation="portrait" verticalDpi="0"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A60"/>
  <sheetViews>
    <sheetView topLeftCell="GB1" zoomScale="90" zoomScaleNormal="90" workbookViewId="0">
      <selection activeCell="GZ14" sqref="GZ14"/>
    </sheetView>
  </sheetViews>
  <sheetFormatPr baseColWidth="10" defaultRowHeight="16.5" x14ac:dyDescent="0.3"/>
  <cols>
    <col min="1" max="1" width="15" style="859" bestFit="1" customWidth="1"/>
    <col min="2" max="2" width="46.28515625" style="859" bestFit="1" customWidth="1"/>
    <col min="3" max="3" width="13.28515625" style="859" bestFit="1" customWidth="1"/>
    <col min="4" max="4" width="46" style="859" bestFit="1" customWidth="1"/>
    <col min="5" max="5" width="19.140625" style="859" hidden="1" customWidth="1"/>
    <col min="6" max="6" width="19.140625" style="859" customWidth="1"/>
    <col min="7" max="7" width="14.140625" style="859" hidden="1" customWidth="1"/>
    <col min="8" max="8" width="14.140625" style="859" customWidth="1"/>
    <col min="9" max="9" width="12" style="859" bestFit="1" customWidth="1"/>
    <col min="10" max="10" width="11.7109375" style="859" bestFit="1" customWidth="1"/>
    <col min="11" max="12" width="11.42578125" style="859"/>
    <col min="13" max="13" width="25.28515625" style="859" customWidth="1"/>
    <col min="14" max="14" width="11.42578125" style="859"/>
    <col min="15" max="15" width="22.5703125" style="859" customWidth="1"/>
    <col min="16" max="16" width="0" style="859" hidden="1" customWidth="1"/>
    <col min="17" max="19" width="11.7109375" style="859" bestFit="1" customWidth="1"/>
    <col min="20" max="21" width="11.42578125" style="859"/>
    <col min="22" max="22" width="30.42578125" style="859" customWidth="1"/>
    <col min="23" max="24" width="11.42578125" style="859"/>
    <col min="25" max="25" width="0" style="859" hidden="1" customWidth="1"/>
    <col min="26" max="26" width="11.85546875" style="859" bestFit="1" customWidth="1"/>
    <col min="27" max="28" width="11.7109375" style="859" bestFit="1" customWidth="1"/>
    <col min="29" max="32" width="11.42578125" style="859"/>
    <col min="33" max="33" width="38.28515625" style="859" customWidth="1"/>
    <col min="34" max="34" width="14.140625" style="859" hidden="1" customWidth="1"/>
    <col min="35" max="35" width="11.85546875" style="859" bestFit="1" customWidth="1"/>
    <col min="36" max="36" width="12" style="859" bestFit="1" customWidth="1"/>
    <col min="37" max="37" width="11.7109375" style="859" bestFit="1" customWidth="1"/>
    <col min="38" max="38" width="11.42578125" style="859"/>
    <col min="39" max="39" width="15" style="859" bestFit="1" customWidth="1"/>
    <col min="40" max="40" width="46.28515625" style="859" bestFit="1" customWidth="1"/>
    <col min="41" max="41" width="13.28515625" style="859" bestFit="1" customWidth="1"/>
    <col min="42" max="42" width="46" style="859" bestFit="1" customWidth="1"/>
    <col min="43" max="43" width="19.140625" style="859" hidden="1" customWidth="1"/>
    <col min="44" max="44" width="19.140625" style="859" customWidth="1"/>
    <col min="45" max="45" width="16.28515625" style="859" bestFit="1" customWidth="1"/>
    <col min="46" max="46" width="12" style="859" bestFit="1" customWidth="1"/>
    <col min="47" max="47" width="11.7109375" style="859" bestFit="1" customWidth="1"/>
    <col min="48" max="48" width="13.28515625" style="859" bestFit="1" customWidth="1"/>
    <col min="49" max="49" width="11.42578125" style="859"/>
    <col min="50" max="50" width="15" style="859" bestFit="1" customWidth="1"/>
    <col min="51" max="51" width="44.42578125" style="859" bestFit="1" customWidth="1"/>
    <col min="52" max="52" width="13.28515625" style="859" bestFit="1" customWidth="1"/>
    <col min="53" max="53" width="35.5703125" style="859" bestFit="1" customWidth="1"/>
    <col min="54" max="54" width="18.140625" style="859" customWidth="1"/>
    <col min="55" max="55" width="14.140625" style="859" bestFit="1" customWidth="1"/>
    <col min="56" max="57" width="11.7109375" style="859" bestFit="1" customWidth="1"/>
    <col min="58" max="58" width="11.42578125" style="859"/>
    <col min="59" max="59" width="14.5703125" style="859" customWidth="1"/>
    <col min="60" max="60" width="46.28515625" style="859" bestFit="1" customWidth="1"/>
    <col min="61" max="61" width="12.5703125" style="859" bestFit="1" customWidth="1"/>
    <col min="62" max="62" width="46" style="859" bestFit="1" customWidth="1"/>
    <col min="63" max="63" width="18.42578125" style="859" hidden="1" customWidth="1"/>
    <col min="64" max="64" width="16.28515625" style="859" hidden="1" customWidth="1"/>
    <col min="65" max="65" width="14.140625" style="859" hidden="1" customWidth="1"/>
    <col min="66" max="66" width="21.7109375" style="859" bestFit="1" customWidth="1"/>
    <col min="67" max="67" width="19.42578125" style="859" bestFit="1" customWidth="1"/>
    <col min="68" max="68" width="16.5703125" style="859" bestFit="1" customWidth="1"/>
    <col min="69" max="70" width="11.7109375" style="859" bestFit="1" customWidth="1"/>
    <col min="71" max="73" width="11.42578125" style="859"/>
    <col min="74" max="74" width="11.7109375" style="859" bestFit="1" customWidth="1"/>
    <col min="75" max="76" width="11.42578125" style="859"/>
    <col min="77" max="79" width="0" style="859" hidden="1" customWidth="1"/>
    <col min="80" max="80" width="11.7109375" style="862" bestFit="1" customWidth="1"/>
    <col min="81" max="81" width="12.28515625" style="862" bestFit="1" customWidth="1"/>
    <col min="82" max="82" width="11.7109375" style="862" bestFit="1" customWidth="1"/>
    <col min="83" max="84" width="11.7109375" style="859" bestFit="1" customWidth="1"/>
    <col min="85" max="85" width="11.42578125" style="859"/>
    <col min="86" max="86" width="18.5703125" style="859" customWidth="1"/>
    <col min="87" max="87" width="44.42578125" style="859" customWidth="1"/>
    <col min="88" max="89" width="11.42578125" style="859"/>
    <col min="90" max="92" width="14.140625" style="859" hidden="1" customWidth="1"/>
    <col min="93" max="95" width="13.28515625" style="859" bestFit="1" customWidth="1"/>
    <col min="96" max="97" width="11.7109375" style="859" bestFit="1" customWidth="1"/>
    <col min="98" max="99" width="11.42578125" style="859"/>
    <col min="100" max="100" width="48" style="859" customWidth="1"/>
    <col min="101" max="102" width="11.42578125" style="859"/>
    <col min="103" max="107" width="0" style="859" hidden="1" customWidth="1"/>
    <col min="108" max="110" width="11.7109375" style="859" bestFit="1" customWidth="1"/>
    <col min="111" max="111" width="11.42578125" style="859"/>
    <col min="112" max="112" width="21.7109375" style="859" customWidth="1"/>
    <col min="113" max="113" width="44.28515625" style="859" customWidth="1"/>
    <col min="114" max="115" width="11.42578125" style="859"/>
    <col min="116" max="118" width="0" style="859" hidden="1" customWidth="1"/>
    <col min="119" max="119" width="18" style="859" customWidth="1"/>
    <col min="120" max="120" width="13.42578125" style="859" bestFit="1" customWidth="1"/>
    <col min="121" max="121" width="14.5703125" style="859" bestFit="1" customWidth="1"/>
    <col min="122" max="123" width="11.7109375" style="859" bestFit="1" customWidth="1"/>
    <col min="124" max="129" width="11.42578125" style="859"/>
    <col min="130" max="130" width="11.7109375" style="859" hidden="1" customWidth="1"/>
    <col min="131" max="131" width="12.140625" style="859" hidden="1" customWidth="1"/>
    <col min="132" max="132" width="11.7109375" style="859" hidden="1" customWidth="1"/>
    <col min="133" max="133" width="12" style="859" hidden="1" customWidth="1"/>
    <col min="134" max="134" width="13.7109375" style="859" hidden="1" customWidth="1"/>
    <col min="135" max="135" width="13.42578125" style="859" bestFit="1" customWidth="1"/>
    <col min="136" max="136" width="8.85546875" style="859" customWidth="1"/>
    <col min="137" max="137" width="13" style="859" customWidth="1"/>
    <col min="138" max="143" width="11.42578125" style="859"/>
    <col min="144" max="146" width="0" style="859" hidden="1" customWidth="1"/>
    <col min="147" max="149" width="13.28515625" style="862" bestFit="1" customWidth="1"/>
    <col min="150" max="150" width="6.28515625" style="859" customWidth="1"/>
    <col min="151" max="151" width="11.7109375" style="859" bestFit="1" customWidth="1"/>
    <col min="152" max="157" width="11.42578125" style="859"/>
    <col min="158" max="162" width="13.28515625" style="859" hidden="1" customWidth="1"/>
    <col min="163" max="163" width="13.42578125" style="859" bestFit="1" customWidth="1"/>
    <col min="164" max="164" width="11.7109375" style="859" bestFit="1" customWidth="1"/>
    <col min="165" max="165" width="9.85546875" style="859" customWidth="1"/>
    <col min="166" max="166" width="8.28515625" style="859" customWidth="1"/>
    <col min="167" max="170" width="11.42578125" style="859"/>
    <col min="171" max="171" width="19.42578125" style="859" customWidth="1"/>
    <col min="172" max="174" width="16.28515625" style="862" hidden="1" customWidth="1"/>
    <col min="175" max="177" width="13.42578125" style="859" bestFit="1" customWidth="1"/>
    <col min="178" max="179" width="11.7109375" style="859" bestFit="1" customWidth="1"/>
    <col min="180" max="185" width="11.42578125" style="859"/>
    <col min="186" max="188" width="0" style="859" hidden="1" customWidth="1"/>
    <col min="189" max="189" width="13" style="859" hidden="1" customWidth="1"/>
    <col min="190" max="190" width="12.140625" style="859" hidden="1" customWidth="1"/>
    <col min="191" max="191" width="12.140625" style="859" bestFit="1" customWidth="1"/>
    <col min="192" max="193" width="11.7109375" style="859" bestFit="1" customWidth="1"/>
    <col min="194" max="195" width="11.42578125" style="859"/>
    <col min="196" max="196" width="11.42578125" style="868"/>
    <col min="197" max="197" width="11.42578125" style="859"/>
    <col min="198" max="198" width="35" style="859" customWidth="1"/>
    <col min="199" max="199" width="11.42578125" style="859" customWidth="1"/>
    <col min="200" max="202" width="11.42578125" style="859" hidden="1" customWidth="1"/>
    <col min="203" max="203" width="13.5703125" style="859" customWidth="1"/>
    <col min="204" max="205" width="13.140625" style="859" bestFit="1" customWidth="1"/>
    <col min="206" max="207" width="11.7109375" style="859" bestFit="1" customWidth="1"/>
    <col min="208" max="208" width="11.42578125" style="859"/>
    <col min="209" max="209" width="15.7109375" style="859" customWidth="1"/>
    <col min="210" max="210" width="52.42578125" style="859" customWidth="1"/>
    <col min="211" max="213" width="15.7109375" style="859" customWidth="1"/>
    <col min="214" max="216" width="15.7109375" style="859" hidden="1" customWidth="1"/>
    <col min="217" max="219" width="10.140625" style="859" customWidth="1"/>
    <col min="220" max="221" width="11.7109375" style="859" bestFit="1" customWidth="1"/>
    <col min="222" max="223" width="11.42578125" style="859"/>
    <col min="224" max="224" width="22.140625" style="859" customWidth="1"/>
    <col min="225" max="225" width="11.42578125" style="859"/>
    <col min="226" max="226" width="21.140625" style="859" customWidth="1"/>
    <col min="227" max="227" width="23.85546875" style="859" hidden="1" customWidth="1"/>
    <col min="228" max="230" width="0" style="859" hidden="1" customWidth="1"/>
    <col min="231" max="233" width="13.42578125" style="859" bestFit="1" customWidth="1"/>
    <col min="234" max="235" width="11.7109375" style="859" bestFit="1" customWidth="1"/>
    <col min="236" max="237" width="11.42578125" style="859"/>
    <col min="238" max="238" width="35.85546875" style="859" customWidth="1"/>
    <col min="239" max="239" width="17.42578125" style="859" customWidth="1"/>
    <col min="240" max="240" width="31.7109375" style="859" customWidth="1"/>
    <col min="241" max="246" width="11.42578125" style="859" hidden="1" customWidth="1"/>
    <col min="247" max="247" width="13.28515625" style="859" bestFit="1" customWidth="1"/>
    <col min="248" max="249" width="11.7109375" style="859" bestFit="1" customWidth="1"/>
    <col min="250" max="253" width="11.42578125" style="859"/>
    <col min="254" max="254" width="25.7109375" style="859" customWidth="1"/>
    <col min="255" max="258" width="0" style="859" hidden="1" customWidth="1"/>
    <col min="259" max="259" width="13.28515625" style="859" bestFit="1" customWidth="1"/>
    <col min="260" max="260" width="15.5703125" style="859" customWidth="1"/>
    <col min="261" max="261" width="14.28515625" style="859" customWidth="1"/>
    <col min="262" max="263" width="11.7109375" style="859" bestFit="1" customWidth="1"/>
    <col min="264" max="264" width="11.42578125" style="859"/>
    <col min="265" max="265" width="11.42578125" style="868"/>
    <col min="266" max="266" width="25" style="868" customWidth="1"/>
    <col min="267" max="267" width="11.28515625" style="868" customWidth="1"/>
    <col min="268" max="268" width="24.140625" style="868" customWidth="1"/>
    <col min="269" max="269" width="11.42578125" style="859" hidden="1" customWidth="1"/>
    <col min="270" max="270" width="11.7109375" style="859" hidden="1" customWidth="1"/>
    <col min="271" max="271" width="16.42578125" style="859" customWidth="1"/>
    <col min="272" max="272" width="12.28515625" style="859" bestFit="1" customWidth="1"/>
    <col min="273" max="273" width="11.7109375" style="859" bestFit="1" customWidth="1"/>
    <col min="274" max="274" width="11.42578125" style="859"/>
    <col min="275" max="275" width="13.28515625" style="863" customWidth="1"/>
    <col min="276" max="276" width="31.7109375" style="863" customWidth="1"/>
    <col min="277" max="277" width="17.5703125" style="863" customWidth="1"/>
    <col min="278" max="278" width="37.5703125" style="895" customWidth="1"/>
    <col min="279" max="282" width="0" style="863" hidden="1" customWidth="1"/>
    <col min="283" max="285" width="14.28515625" style="863" customWidth="1"/>
    <col min="286" max="287" width="11.7109375" style="859" bestFit="1" customWidth="1"/>
    <col min="288" max="16384" width="11.42578125" style="859"/>
  </cols>
  <sheetData>
    <row r="1" spans="1:287" ht="15.75" customHeight="1" x14ac:dyDescent="0.3">
      <c r="A1" s="1945">
        <v>44562</v>
      </c>
      <c r="B1" s="1944"/>
      <c r="C1" s="1944"/>
      <c r="D1" s="1944"/>
      <c r="E1" s="1944"/>
      <c r="F1" s="1944"/>
      <c r="G1" s="1944"/>
      <c r="H1" s="1944"/>
      <c r="I1" s="1944"/>
      <c r="L1" s="1944" t="s">
        <v>694</v>
      </c>
      <c r="M1" s="1944"/>
      <c r="N1" s="1944"/>
      <c r="O1" s="1944"/>
      <c r="P1" s="1944"/>
      <c r="Q1" s="1944"/>
      <c r="R1" s="859">
        <v>1000</v>
      </c>
      <c r="S1" s="859">
        <v>1.0629999999999999</v>
      </c>
      <c r="U1" s="1944" t="s">
        <v>763</v>
      </c>
      <c r="V1" s="1944"/>
      <c r="W1" s="1944"/>
      <c r="X1" s="1944"/>
      <c r="Y1" s="1944"/>
      <c r="Z1" s="1944"/>
      <c r="AD1" s="1944" t="s">
        <v>640</v>
      </c>
      <c r="AE1" s="1944"/>
      <c r="AF1" s="1944"/>
      <c r="AG1" s="1944"/>
      <c r="AH1" s="1944"/>
      <c r="AI1" s="1944"/>
      <c r="AM1" s="1944" t="s">
        <v>693</v>
      </c>
      <c r="AN1" s="1944"/>
      <c r="AO1" s="1944"/>
      <c r="AP1" s="1944"/>
      <c r="AQ1" s="1944"/>
      <c r="AR1" s="1944"/>
      <c r="AS1" s="1944"/>
      <c r="AX1" s="1944" t="s">
        <v>530</v>
      </c>
      <c r="AY1" s="1944"/>
      <c r="AZ1" s="1944"/>
      <c r="BA1" s="1944"/>
      <c r="BB1" s="1944"/>
      <c r="BC1" s="1944"/>
      <c r="BG1" s="1944" t="s">
        <v>803</v>
      </c>
      <c r="BH1" s="1944"/>
      <c r="BI1" s="1944"/>
      <c r="BJ1" s="1944"/>
      <c r="BK1" s="1944"/>
      <c r="BL1" s="1944"/>
      <c r="BM1" s="1944"/>
      <c r="BN1" s="1944"/>
      <c r="BO1" s="1944"/>
      <c r="BP1" s="1944"/>
      <c r="BT1" s="1944" t="s">
        <v>696</v>
      </c>
      <c r="BU1" s="1944"/>
      <c r="BV1" s="1944"/>
      <c r="BW1" s="1944"/>
      <c r="BX1" s="1944"/>
      <c r="BY1" s="1944"/>
      <c r="BZ1" s="1944"/>
      <c r="CA1" s="1944"/>
      <c r="CB1" s="1944"/>
      <c r="CC1" s="1944"/>
      <c r="CD1" s="1944"/>
      <c r="CH1" s="1944" t="s">
        <v>697</v>
      </c>
      <c r="CI1" s="1944"/>
      <c r="CJ1" s="1944"/>
      <c r="CK1" s="1944"/>
      <c r="CL1" s="1944"/>
      <c r="CM1" s="1944"/>
      <c r="CN1" s="1944"/>
      <c r="CO1" s="1944"/>
      <c r="CP1" s="1944"/>
      <c r="CQ1" s="1944"/>
      <c r="CU1" s="1944" t="s">
        <v>847</v>
      </c>
      <c r="CV1" s="1944"/>
      <c r="CW1" s="1944"/>
      <c r="CX1" s="1944"/>
      <c r="CY1" s="1944"/>
      <c r="CZ1" s="1944"/>
      <c r="DA1" s="1944"/>
      <c r="DB1" s="1944"/>
      <c r="DC1" s="1944"/>
      <c r="DD1" s="1944"/>
      <c r="DE1" s="1944"/>
      <c r="DF1" s="1944"/>
      <c r="DH1" s="1944" t="s">
        <v>848</v>
      </c>
      <c r="DI1" s="1944"/>
      <c r="DJ1" s="1944"/>
      <c r="DK1" s="1944"/>
      <c r="DL1" s="1944"/>
      <c r="DM1" s="1944"/>
      <c r="DN1" s="1944"/>
      <c r="DO1" s="1944"/>
      <c r="DP1" s="1944"/>
      <c r="DQ1" s="1944"/>
      <c r="DU1" s="1944" t="s">
        <v>79</v>
      </c>
      <c r="DV1" s="1944"/>
      <c r="DW1" s="1944"/>
      <c r="DX1" s="1944"/>
      <c r="DY1" s="1944"/>
      <c r="DZ1" s="1944"/>
      <c r="EA1" s="1944"/>
      <c r="EB1" s="1944"/>
      <c r="EC1" s="1944"/>
      <c r="ED1" s="1944"/>
      <c r="EE1" s="1944"/>
      <c r="EI1" s="1944" t="s">
        <v>864</v>
      </c>
      <c r="EJ1" s="1944"/>
      <c r="EK1" s="1944"/>
      <c r="EL1" s="1944"/>
      <c r="EM1" s="1944"/>
      <c r="EN1" s="1944"/>
      <c r="EO1" s="1944"/>
      <c r="EP1" s="1944"/>
      <c r="EQ1" s="1944"/>
      <c r="ER1" s="1944"/>
      <c r="ES1" s="1944"/>
      <c r="EW1" s="1944" t="s">
        <v>10</v>
      </c>
      <c r="EX1" s="1944"/>
      <c r="EY1" s="1944"/>
      <c r="EZ1" s="1944"/>
      <c r="FA1" s="1944"/>
      <c r="FB1" s="1944"/>
      <c r="FC1" s="1944"/>
      <c r="FD1" s="1944"/>
      <c r="FE1" s="1944"/>
      <c r="FF1" s="1944"/>
      <c r="FG1" s="1944"/>
      <c r="FL1" s="1944" t="s">
        <v>871</v>
      </c>
      <c r="FM1" s="1944"/>
      <c r="FN1" s="1944"/>
      <c r="FO1" s="1944"/>
      <c r="FP1" s="1944"/>
      <c r="FQ1" s="1944"/>
      <c r="FR1" s="1944"/>
      <c r="FS1" s="1944"/>
      <c r="FT1" s="1944"/>
      <c r="FU1" s="1944"/>
      <c r="FY1" s="1945" t="s">
        <v>11</v>
      </c>
      <c r="FZ1" s="1944"/>
      <c r="GA1" s="1944"/>
      <c r="GB1" s="1944"/>
      <c r="GC1" s="1944"/>
      <c r="GD1" s="1944"/>
      <c r="GE1" s="1944"/>
      <c r="GF1" s="1944"/>
      <c r="GG1" s="1944"/>
      <c r="GH1" s="1944"/>
      <c r="GI1" s="1944"/>
      <c r="GM1" s="1945" t="s">
        <v>878</v>
      </c>
      <c r="GN1" s="1944"/>
      <c r="GO1" s="1944"/>
      <c r="GP1" s="1944"/>
      <c r="GQ1" s="1944"/>
      <c r="GR1" s="1944"/>
      <c r="GS1" s="1944"/>
      <c r="GT1" s="1944"/>
      <c r="GU1" s="1944"/>
      <c r="GV1" s="1944"/>
      <c r="GW1" s="1944"/>
      <c r="HA1" s="1945" t="s">
        <v>12</v>
      </c>
      <c r="HB1" s="1944"/>
      <c r="HC1" s="1944"/>
      <c r="HD1" s="1944"/>
      <c r="HE1" s="1944"/>
      <c r="HF1" s="1944"/>
      <c r="HG1" s="1944"/>
      <c r="HH1" s="1944"/>
      <c r="HI1" s="1944"/>
      <c r="HJ1" s="1944"/>
      <c r="HK1" s="1944"/>
      <c r="HO1" s="1946" t="s">
        <v>910</v>
      </c>
      <c r="HP1" s="1946"/>
      <c r="HQ1" s="1946"/>
      <c r="HR1" s="1946"/>
      <c r="HS1" s="1946"/>
      <c r="HT1" s="1946"/>
      <c r="HU1" s="1946"/>
      <c r="HV1" s="1946"/>
      <c r="HW1" s="1946"/>
      <c r="HX1" s="1946"/>
      <c r="HY1" s="1946"/>
      <c r="HZ1" s="1946"/>
      <c r="IA1" s="1946"/>
      <c r="IC1" s="1946" t="s">
        <v>13</v>
      </c>
      <c r="ID1" s="1946"/>
      <c r="IE1" s="1946"/>
      <c r="IF1" s="1946"/>
      <c r="IG1" s="1946"/>
      <c r="IH1" s="1946"/>
      <c r="II1" s="1946"/>
      <c r="IJ1" s="1946"/>
      <c r="IK1" s="1946"/>
      <c r="IL1" s="1946"/>
      <c r="IM1" s="1946"/>
      <c r="IQ1" s="1946" t="s">
        <v>908</v>
      </c>
      <c r="IR1" s="1946"/>
      <c r="IS1" s="1946"/>
      <c r="IT1" s="1946"/>
      <c r="IU1" s="1946"/>
      <c r="IV1" s="1946"/>
      <c r="IW1" s="1946"/>
      <c r="IX1" s="1946"/>
      <c r="IY1" s="1946"/>
      <c r="IZ1" s="1946"/>
      <c r="JA1" s="1946"/>
      <c r="JE1" s="1946" t="s">
        <v>14</v>
      </c>
      <c r="JF1" s="1946"/>
      <c r="JG1" s="1946"/>
      <c r="JH1" s="1946"/>
      <c r="JI1" s="1946"/>
      <c r="JJ1" s="1946"/>
      <c r="JK1" s="1946"/>
      <c r="JL1" s="1946"/>
      <c r="JM1" s="1946"/>
      <c r="JO1" s="1947" t="s">
        <v>918</v>
      </c>
      <c r="JP1" s="1947"/>
      <c r="JQ1" s="1947"/>
      <c r="JR1" s="1947"/>
      <c r="JS1" s="1947"/>
      <c r="JT1" s="1947"/>
      <c r="JU1" s="1947"/>
      <c r="JV1" s="1947"/>
      <c r="JW1" s="1947"/>
      <c r="JX1" s="1947"/>
      <c r="JY1" s="1947"/>
    </row>
    <row r="2" spans="1:287" ht="39.75" customHeight="1" x14ac:dyDescent="0.3">
      <c r="A2" s="870" t="s">
        <v>425</v>
      </c>
      <c r="B2" s="870" t="s">
        <v>453</v>
      </c>
      <c r="C2" s="870" t="s">
        <v>426</v>
      </c>
      <c r="D2" s="870" t="s">
        <v>535</v>
      </c>
      <c r="E2" s="870" t="s">
        <v>467</v>
      </c>
      <c r="F2" s="870" t="s">
        <v>467</v>
      </c>
      <c r="G2" s="870" t="s">
        <v>429</v>
      </c>
      <c r="H2" s="870" t="s">
        <v>429</v>
      </c>
      <c r="I2" s="859">
        <v>1000</v>
      </c>
      <c r="J2" s="859">
        <v>1.0629999999999999</v>
      </c>
      <c r="L2" s="870" t="s">
        <v>425</v>
      </c>
      <c r="M2" s="870" t="s">
        <v>453</v>
      </c>
      <c r="N2" s="870" t="s">
        <v>426</v>
      </c>
      <c r="O2" s="870" t="s">
        <v>535</v>
      </c>
      <c r="P2" s="870" t="s">
        <v>429</v>
      </c>
      <c r="Q2" s="870" t="s">
        <v>429</v>
      </c>
      <c r="U2" s="870" t="s">
        <v>425</v>
      </c>
      <c r="V2" s="870" t="s">
        <v>453</v>
      </c>
      <c r="W2" s="870" t="s">
        <v>426</v>
      </c>
      <c r="X2" s="870" t="s">
        <v>535</v>
      </c>
      <c r="Y2" s="870" t="s">
        <v>467</v>
      </c>
      <c r="Z2" s="870" t="s">
        <v>467</v>
      </c>
      <c r="AA2" s="859">
        <v>1000</v>
      </c>
      <c r="AB2" s="859">
        <v>1.0629999999999999</v>
      </c>
      <c r="AD2" s="871" t="s">
        <v>425</v>
      </c>
      <c r="AE2" s="871" t="s">
        <v>453</v>
      </c>
      <c r="AF2" s="871" t="s">
        <v>426</v>
      </c>
      <c r="AG2" s="871" t="s">
        <v>535</v>
      </c>
      <c r="AH2" s="871" t="s">
        <v>429</v>
      </c>
      <c r="AI2" s="871" t="s">
        <v>429</v>
      </c>
      <c r="AJ2" s="859">
        <v>1000</v>
      </c>
      <c r="AK2" s="859">
        <v>1.0629999999999999</v>
      </c>
      <c r="AM2" s="871" t="s">
        <v>425</v>
      </c>
      <c r="AN2" s="871" t="s">
        <v>453</v>
      </c>
      <c r="AO2" s="871" t="s">
        <v>426</v>
      </c>
      <c r="AP2" s="871" t="s">
        <v>535</v>
      </c>
      <c r="AQ2" s="871" t="s">
        <v>467</v>
      </c>
      <c r="AR2" s="871" t="s">
        <v>467</v>
      </c>
      <c r="AS2" s="871" t="s">
        <v>429</v>
      </c>
      <c r="AT2" s="859">
        <v>1000</v>
      </c>
      <c r="AU2" s="859">
        <v>1.0629999999999999</v>
      </c>
      <c r="AX2" s="776" t="s">
        <v>425</v>
      </c>
      <c r="AY2" s="776" t="s">
        <v>453</v>
      </c>
      <c r="AZ2" s="776" t="s">
        <v>426</v>
      </c>
      <c r="BA2" s="776" t="s">
        <v>535</v>
      </c>
      <c r="BB2" s="776" t="s">
        <v>429</v>
      </c>
      <c r="BC2" s="776" t="s">
        <v>429</v>
      </c>
      <c r="BD2" s="859">
        <v>1000</v>
      </c>
      <c r="BE2" s="859">
        <v>1.0629999999999999</v>
      </c>
      <c r="BG2" s="776" t="s">
        <v>425</v>
      </c>
      <c r="BH2" s="776" t="s">
        <v>453</v>
      </c>
      <c r="BI2" s="776" t="s">
        <v>426</v>
      </c>
      <c r="BJ2" s="776" t="s">
        <v>535</v>
      </c>
      <c r="BK2" s="776" t="s">
        <v>467</v>
      </c>
      <c r="BL2" s="776" t="s">
        <v>487</v>
      </c>
      <c r="BM2" s="776" t="s">
        <v>429</v>
      </c>
      <c r="BN2" s="776" t="s">
        <v>490</v>
      </c>
      <c r="BO2" s="776" t="s">
        <v>524</v>
      </c>
      <c r="BP2" s="776" t="s">
        <v>440</v>
      </c>
      <c r="BQ2" s="859">
        <v>1000</v>
      </c>
      <c r="BR2" s="859">
        <v>1.0629999999999999</v>
      </c>
      <c r="BT2" s="776" t="s">
        <v>425</v>
      </c>
      <c r="BU2" s="776" t="s">
        <v>453</v>
      </c>
      <c r="BV2" s="776" t="s">
        <v>426</v>
      </c>
      <c r="BW2" s="776" t="s">
        <v>535</v>
      </c>
      <c r="BX2" s="776" t="s">
        <v>427</v>
      </c>
      <c r="BY2" s="776" t="s">
        <v>467</v>
      </c>
      <c r="BZ2" s="776" t="s">
        <v>487</v>
      </c>
      <c r="CA2" s="776" t="s">
        <v>429</v>
      </c>
      <c r="CB2" s="776" t="s">
        <v>821</v>
      </c>
      <c r="CC2" s="776" t="s">
        <v>824</v>
      </c>
      <c r="CD2" s="776" t="s">
        <v>823</v>
      </c>
      <c r="CE2" s="859">
        <v>1000</v>
      </c>
      <c r="CF2" s="859">
        <v>1.0629999999999999</v>
      </c>
      <c r="CH2" s="776" t="s">
        <v>425</v>
      </c>
      <c r="CI2" s="776" t="s">
        <v>453</v>
      </c>
      <c r="CJ2" s="776" t="s">
        <v>426</v>
      </c>
      <c r="CK2" s="776" t="s">
        <v>535</v>
      </c>
      <c r="CL2" s="776" t="s">
        <v>467</v>
      </c>
      <c r="CM2" s="776" t="s">
        <v>487</v>
      </c>
      <c r="CN2" s="776" t="s">
        <v>429</v>
      </c>
      <c r="CO2" s="776" t="s">
        <v>821</v>
      </c>
      <c r="CP2" s="776" t="s">
        <v>824</v>
      </c>
      <c r="CQ2" s="776" t="s">
        <v>823</v>
      </c>
      <c r="CR2" s="859">
        <v>1000</v>
      </c>
      <c r="CS2" s="859">
        <v>1.0629999999999999</v>
      </c>
      <c r="CU2" s="776" t="s">
        <v>425</v>
      </c>
      <c r="CV2" s="776" t="s">
        <v>453</v>
      </c>
      <c r="CW2" s="776" t="s">
        <v>426</v>
      </c>
      <c r="CX2" s="776" t="s">
        <v>535</v>
      </c>
      <c r="CY2" s="776" t="s">
        <v>467</v>
      </c>
      <c r="CZ2" s="776" t="s">
        <v>487</v>
      </c>
      <c r="DA2" s="776" t="s">
        <v>429</v>
      </c>
      <c r="DB2" s="776" t="s">
        <v>467</v>
      </c>
      <c r="DC2" s="776" t="s">
        <v>487</v>
      </c>
      <c r="DD2" s="776" t="s">
        <v>429</v>
      </c>
      <c r="DE2" s="859">
        <v>1000</v>
      </c>
      <c r="DF2" s="859">
        <v>1.0629999999999999</v>
      </c>
      <c r="DH2" s="776" t="s">
        <v>425</v>
      </c>
      <c r="DI2" s="776" t="s">
        <v>453</v>
      </c>
      <c r="DJ2" s="776" t="s">
        <v>426</v>
      </c>
      <c r="DK2" s="776" t="s">
        <v>535</v>
      </c>
      <c r="DL2" s="776" t="s">
        <v>467</v>
      </c>
      <c r="DM2" s="776" t="s">
        <v>487</v>
      </c>
      <c r="DN2" s="776" t="s">
        <v>429</v>
      </c>
      <c r="DO2" s="776" t="s">
        <v>467</v>
      </c>
      <c r="DP2" s="776" t="s">
        <v>487</v>
      </c>
      <c r="DQ2" s="776" t="s">
        <v>429</v>
      </c>
      <c r="DR2" s="859">
        <v>1000</v>
      </c>
      <c r="DS2" s="859">
        <v>1.0629999999999999</v>
      </c>
      <c r="DU2" s="776" t="s">
        <v>425</v>
      </c>
      <c r="DV2" s="776" t="s">
        <v>453</v>
      </c>
      <c r="DW2" s="776" t="s">
        <v>426</v>
      </c>
      <c r="DX2" s="776" t="s">
        <v>535</v>
      </c>
      <c r="DY2" s="776" t="s">
        <v>427</v>
      </c>
      <c r="DZ2" s="776" t="s">
        <v>467</v>
      </c>
      <c r="EA2" s="776" t="s">
        <v>487</v>
      </c>
      <c r="EB2" s="776" t="s">
        <v>429</v>
      </c>
      <c r="EC2" s="776" t="s">
        <v>858</v>
      </c>
      <c r="ED2" s="776" t="s">
        <v>862</v>
      </c>
      <c r="EE2" s="776" t="s">
        <v>863</v>
      </c>
      <c r="EF2" s="859">
        <v>1000</v>
      </c>
      <c r="EG2" s="859">
        <v>1.0629999999999999</v>
      </c>
      <c r="EI2" s="776" t="s">
        <v>425</v>
      </c>
      <c r="EJ2" s="776" t="s">
        <v>453</v>
      </c>
      <c r="EK2" s="776" t="s">
        <v>426</v>
      </c>
      <c r="EL2" s="776" t="s">
        <v>535</v>
      </c>
      <c r="EM2" s="776" t="s">
        <v>427</v>
      </c>
      <c r="EN2" s="776" t="s">
        <v>467</v>
      </c>
      <c r="EO2" s="776" t="s">
        <v>487</v>
      </c>
      <c r="EP2" s="776" t="s">
        <v>429</v>
      </c>
      <c r="EQ2" s="776" t="s">
        <v>858</v>
      </c>
      <c r="ER2" s="776" t="s">
        <v>862</v>
      </c>
      <c r="ES2" s="776" t="s">
        <v>863</v>
      </c>
      <c r="ET2" s="859">
        <v>1000</v>
      </c>
      <c r="EU2" s="859">
        <v>1.0629999999999999</v>
      </c>
      <c r="EW2" s="776" t="s">
        <v>425</v>
      </c>
      <c r="EX2" s="776" t="s">
        <v>453</v>
      </c>
      <c r="EY2" s="776" t="s">
        <v>426</v>
      </c>
      <c r="EZ2" s="776" t="s">
        <v>535</v>
      </c>
      <c r="FA2" s="776" t="s">
        <v>427</v>
      </c>
      <c r="FB2" s="776" t="s">
        <v>467</v>
      </c>
      <c r="FC2" s="776" t="s">
        <v>487</v>
      </c>
      <c r="FD2" s="776" t="s">
        <v>429</v>
      </c>
      <c r="FE2" s="776" t="s">
        <v>467</v>
      </c>
      <c r="FF2" s="776" t="s">
        <v>487</v>
      </c>
      <c r="FG2" s="776" t="s">
        <v>429</v>
      </c>
      <c r="FH2" s="859">
        <v>1000</v>
      </c>
      <c r="FI2" s="859">
        <v>1.0629999999999999</v>
      </c>
      <c r="FK2" s="776" t="s">
        <v>425</v>
      </c>
      <c r="FL2" s="776" t="s">
        <v>453</v>
      </c>
      <c r="FM2" s="776" t="s">
        <v>426</v>
      </c>
      <c r="FN2" s="776" t="s">
        <v>535</v>
      </c>
      <c r="FO2" s="776" t="s">
        <v>427</v>
      </c>
      <c r="FP2" s="776" t="s">
        <v>467</v>
      </c>
      <c r="FQ2" s="776" t="s">
        <v>487</v>
      </c>
      <c r="FR2" s="776" t="s">
        <v>429</v>
      </c>
      <c r="FS2" s="776" t="s">
        <v>467</v>
      </c>
      <c r="FT2" s="776" t="s">
        <v>487</v>
      </c>
      <c r="FU2" s="776" t="s">
        <v>429</v>
      </c>
      <c r="FV2" s="859">
        <v>1000</v>
      </c>
      <c r="FW2" s="859">
        <v>1.0629999999999999</v>
      </c>
      <c r="FY2" s="1374" t="s">
        <v>425</v>
      </c>
      <c r="FZ2" s="1374" t="s">
        <v>453</v>
      </c>
      <c r="GA2" s="1374" t="s">
        <v>426</v>
      </c>
      <c r="GB2" s="1374" t="s">
        <v>535</v>
      </c>
      <c r="GC2" s="1374" t="s">
        <v>427</v>
      </c>
      <c r="GD2" s="1374" t="s">
        <v>467</v>
      </c>
      <c r="GE2" s="1374" t="s">
        <v>487</v>
      </c>
      <c r="GF2" s="1374" t="s">
        <v>429</v>
      </c>
      <c r="GG2" s="1374" t="s">
        <v>467</v>
      </c>
      <c r="GH2" s="1374" t="s">
        <v>487</v>
      </c>
      <c r="GI2" s="1374" t="s">
        <v>429</v>
      </c>
      <c r="GJ2" s="859">
        <v>1000</v>
      </c>
      <c r="GK2" s="859">
        <v>1.0629999999999999</v>
      </c>
      <c r="GM2" s="1374" t="s">
        <v>425</v>
      </c>
      <c r="GN2" s="1374" t="s">
        <v>453</v>
      </c>
      <c r="GO2" s="1374" t="s">
        <v>426</v>
      </c>
      <c r="GP2" s="1374" t="s">
        <v>535</v>
      </c>
      <c r="GQ2" s="1374" t="s">
        <v>427</v>
      </c>
      <c r="GR2" s="1374" t="s">
        <v>467</v>
      </c>
      <c r="GS2" s="1374" t="s">
        <v>487</v>
      </c>
      <c r="GT2" s="1374" t="s">
        <v>429</v>
      </c>
      <c r="GU2" s="1374" t="s">
        <v>467</v>
      </c>
      <c r="GV2" s="1374" t="s">
        <v>487</v>
      </c>
      <c r="GW2" s="1374" t="s">
        <v>429</v>
      </c>
      <c r="GX2" s="859">
        <v>1000</v>
      </c>
      <c r="GY2" s="859">
        <v>1.0629999999999999</v>
      </c>
      <c r="HA2" s="776" t="s">
        <v>425</v>
      </c>
      <c r="HB2" s="776" t="s">
        <v>453</v>
      </c>
      <c r="HC2" s="776" t="s">
        <v>426</v>
      </c>
      <c r="HD2" s="776" t="s">
        <v>535</v>
      </c>
      <c r="HE2" s="776" t="s">
        <v>427</v>
      </c>
      <c r="HF2" s="776" t="s">
        <v>467</v>
      </c>
      <c r="HG2" s="776" t="s">
        <v>487</v>
      </c>
      <c r="HH2" s="776" t="s">
        <v>429</v>
      </c>
      <c r="HI2" s="776" t="s">
        <v>467</v>
      </c>
      <c r="HJ2" s="776" t="s">
        <v>487</v>
      </c>
      <c r="HK2" s="776" t="s">
        <v>429</v>
      </c>
      <c r="HL2" s="859">
        <v>1000</v>
      </c>
      <c r="HM2" s="859">
        <v>1</v>
      </c>
      <c r="HO2" s="776" t="s">
        <v>425</v>
      </c>
      <c r="HP2" s="776" t="s">
        <v>453</v>
      </c>
      <c r="HQ2" s="776" t="s">
        <v>426</v>
      </c>
      <c r="HR2" s="776" t="s">
        <v>535</v>
      </c>
      <c r="HS2" s="776" t="s">
        <v>427</v>
      </c>
      <c r="HT2" s="776" t="s">
        <v>467</v>
      </c>
      <c r="HU2" s="776" t="s">
        <v>487</v>
      </c>
      <c r="HV2" s="776" t="s">
        <v>429</v>
      </c>
      <c r="HW2" s="776" t="s">
        <v>467</v>
      </c>
      <c r="HX2" s="776" t="s">
        <v>487</v>
      </c>
      <c r="HY2" s="776" t="s">
        <v>429</v>
      </c>
      <c r="HZ2" s="859">
        <v>1000</v>
      </c>
      <c r="IA2" s="859">
        <v>1</v>
      </c>
      <c r="IC2" s="776" t="s">
        <v>425</v>
      </c>
      <c r="ID2" s="776" t="s">
        <v>453</v>
      </c>
      <c r="IE2" s="776" t="s">
        <v>426</v>
      </c>
      <c r="IF2" s="776" t="s">
        <v>535</v>
      </c>
      <c r="IG2" s="776" t="s">
        <v>427</v>
      </c>
      <c r="IH2" s="776" t="s">
        <v>467</v>
      </c>
      <c r="II2" s="776" t="s">
        <v>487</v>
      </c>
      <c r="IJ2" s="776" t="s">
        <v>429</v>
      </c>
      <c r="IK2" s="776" t="s">
        <v>467</v>
      </c>
      <c r="IL2" s="776" t="s">
        <v>487</v>
      </c>
      <c r="IM2" s="776" t="s">
        <v>429</v>
      </c>
      <c r="IN2" s="859">
        <v>1000</v>
      </c>
      <c r="IO2" s="859">
        <v>1</v>
      </c>
      <c r="IQ2" s="776" t="s">
        <v>425</v>
      </c>
      <c r="IR2" s="776" t="s">
        <v>453</v>
      </c>
      <c r="IS2" s="776" t="s">
        <v>426</v>
      </c>
      <c r="IT2" s="776" t="s">
        <v>535</v>
      </c>
      <c r="IU2" s="776" t="s">
        <v>427</v>
      </c>
      <c r="IV2" s="776" t="s">
        <v>467</v>
      </c>
      <c r="IW2" s="776" t="s">
        <v>487</v>
      </c>
      <c r="IX2" s="776" t="s">
        <v>429</v>
      </c>
      <c r="IY2" s="776" t="s">
        <v>467</v>
      </c>
      <c r="IZ2" s="776" t="s">
        <v>487</v>
      </c>
      <c r="JA2" s="776" t="s">
        <v>429</v>
      </c>
      <c r="JB2" s="859">
        <v>1000</v>
      </c>
      <c r="JC2" s="859">
        <v>1</v>
      </c>
      <c r="JE2" s="776" t="s">
        <v>425</v>
      </c>
      <c r="JF2" s="776" t="s">
        <v>453</v>
      </c>
      <c r="JG2" s="776" t="s">
        <v>426</v>
      </c>
      <c r="JH2" s="776" t="s">
        <v>535</v>
      </c>
      <c r="JI2" s="776" t="s">
        <v>427</v>
      </c>
      <c r="JJ2" s="776" t="s">
        <v>429</v>
      </c>
      <c r="JK2" s="776" t="s">
        <v>429</v>
      </c>
      <c r="JL2" s="859">
        <v>1000</v>
      </c>
      <c r="JM2" s="859">
        <v>1</v>
      </c>
      <c r="JO2" s="776" t="s">
        <v>425</v>
      </c>
      <c r="JP2" s="776" t="s">
        <v>453</v>
      </c>
      <c r="JQ2" s="776" t="s">
        <v>426</v>
      </c>
      <c r="JR2" s="776" t="s">
        <v>535</v>
      </c>
      <c r="JS2" s="776" t="s">
        <v>427</v>
      </c>
      <c r="JT2" s="776" t="s">
        <v>467</v>
      </c>
      <c r="JU2" s="776" t="s">
        <v>487</v>
      </c>
      <c r="JV2" s="776" t="s">
        <v>429</v>
      </c>
      <c r="JW2" s="776" t="s">
        <v>467</v>
      </c>
      <c r="JX2" s="776" t="s">
        <v>487</v>
      </c>
      <c r="JY2" s="776" t="s">
        <v>429</v>
      </c>
      <c r="JZ2" s="859">
        <v>1000</v>
      </c>
      <c r="KA2" s="859">
        <v>1</v>
      </c>
    </row>
    <row r="3" spans="1:287" ht="15" customHeight="1" x14ac:dyDescent="0.3">
      <c r="A3" s="872" t="s">
        <v>442</v>
      </c>
      <c r="B3" s="872" t="s">
        <v>220</v>
      </c>
      <c r="C3" s="872" t="s">
        <v>497</v>
      </c>
      <c r="D3" s="872" t="s">
        <v>297</v>
      </c>
      <c r="E3" s="873">
        <v>51697388000</v>
      </c>
      <c r="F3" s="873">
        <f>+E3/$I$2*$J$2</f>
        <v>54954323.443999998</v>
      </c>
      <c r="G3" s="873">
        <v>0</v>
      </c>
      <c r="H3" s="873">
        <f>+G3/$I$2*$J$2</f>
        <v>0</v>
      </c>
      <c r="I3" s="860">
        <f>+F3+F4</f>
        <v>74875015.728</v>
      </c>
      <c r="L3" s="874" t="s">
        <v>442</v>
      </c>
      <c r="M3" s="874" t="s">
        <v>220</v>
      </c>
      <c r="N3" s="874" t="s">
        <v>497</v>
      </c>
      <c r="O3" s="874" t="s">
        <v>297</v>
      </c>
      <c r="P3" s="875">
        <v>7439252680</v>
      </c>
      <c r="Q3" s="875">
        <f>+P3/$R$1*$S$1</f>
        <v>7907925.5988399992</v>
      </c>
      <c r="R3" s="860">
        <f>+Q3+Q4</f>
        <v>7850172.8534859996</v>
      </c>
      <c r="U3" s="874" t="s">
        <v>442</v>
      </c>
      <c r="V3" s="874" t="s">
        <v>220</v>
      </c>
      <c r="W3" s="874" t="s">
        <v>497</v>
      </c>
      <c r="X3" s="874" t="s">
        <v>297</v>
      </c>
      <c r="Y3" s="875">
        <v>51697388000</v>
      </c>
      <c r="Z3" s="875">
        <f>+Y3/$AA$2*$AB$2</f>
        <v>54954323.443999998</v>
      </c>
      <c r="AD3" s="874" t="s">
        <v>442</v>
      </c>
      <c r="AE3" s="874" t="s">
        <v>220</v>
      </c>
      <c r="AF3" s="874" t="s">
        <v>497</v>
      </c>
      <c r="AG3" s="876" t="s">
        <v>297</v>
      </c>
      <c r="AH3" s="875">
        <v>7086544813</v>
      </c>
      <c r="AI3" s="875">
        <f>+AH3/$AJ$2*$AK$2</f>
        <v>7532997.1362189995</v>
      </c>
      <c r="AJ3" s="860">
        <f>+AI3+AI4</f>
        <v>27453674.995308999</v>
      </c>
      <c r="AM3" s="874" t="s">
        <v>442</v>
      </c>
      <c r="AN3" s="874" t="s">
        <v>220</v>
      </c>
      <c r="AO3" s="874" t="s">
        <v>497</v>
      </c>
      <c r="AP3" s="874" t="s">
        <v>297</v>
      </c>
      <c r="AQ3" s="875">
        <v>51697388000</v>
      </c>
      <c r="AR3" s="875">
        <f>+AQ3/$AT$2*$AU$2</f>
        <v>54954323.443999998</v>
      </c>
      <c r="AS3" s="875">
        <v>0</v>
      </c>
      <c r="AT3" s="860">
        <f>+AR3+AR4</f>
        <v>74875015.728</v>
      </c>
      <c r="AV3" s="862"/>
      <c r="AX3" s="874" t="s">
        <v>444</v>
      </c>
      <c r="AY3" s="874" t="s">
        <v>468</v>
      </c>
      <c r="AZ3" s="874" t="s">
        <v>445</v>
      </c>
      <c r="BA3" s="874" t="s">
        <v>277</v>
      </c>
      <c r="BB3" s="875">
        <v>13182279</v>
      </c>
      <c r="BC3" s="875">
        <f t="shared" ref="BC3:BC13" si="0">+BB3/$BD$2*$BE$2</f>
        <v>14012.762577</v>
      </c>
      <c r="BG3" s="877" t="s">
        <v>442</v>
      </c>
      <c r="BH3" s="877" t="s">
        <v>220</v>
      </c>
      <c r="BI3" s="877" t="s">
        <v>497</v>
      </c>
      <c r="BJ3" s="877" t="s">
        <v>297</v>
      </c>
      <c r="BK3" s="878">
        <v>51697388000</v>
      </c>
      <c r="BL3" s="878">
        <v>0</v>
      </c>
      <c r="BM3" s="878">
        <v>0</v>
      </c>
      <c r="BN3" s="861">
        <f t="shared" ref="BN3:BN48" si="1">+BK3/$BQ$2*$BR$2</f>
        <v>54954323.443999998</v>
      </c>
      <c r="BO3" s="861">
        <f t="shared" ref="BO3:BO48" si="2">+BL3/$BQ$2*$BR$2</f>
        <v>0</v>
      </c>
      <c r="BP3" s="861">
        <f t="shared" ref="BP3:BP48" si="3">+BM3/$BQ$2*$BR$2</f>
        <v>0</v>
      </c>
      <c r="BT3" s="602" t="s">
        <v>544</v>
      </c>
      <c r="BU3" s="602" t="s">
        <v>545</v>
      </c>
      <c r="BV3" s="602" t="s">
        <v>447</v>
      </c>
      <c r="BW3" s="602" t="s">
        <v>447</v>
      </c>
      <c r="BX3" s="603" t="s">
        <v>547</v>
      </c>
      <c r="BY3" s="604">
        <v>0</v>
      </c>
      <c r="BZ3" s="604">
        <v>0</v>
      </c>
      <c r="CA3" s="604">
        <v>0</v>
      </c>
      <c r="CB3" s="862">
        <f>+BY3/$CE$2*$CF$2</f>
        <v>0</v>
      </c>
      <c r="CC3" s="862">
        <f>+BZ3/$CE$2*$CF$2</f>
        <v>0</v>
      </c>
      <c r="CD3" s="862">
        <f>+CA3/$CE$2*$CF$2</f>
        <v>0</v>
      </c>
      <c r="CH3" s="602" t="s">
        <v>442</v>
      </c>
      <c r="CI3" s="602" t="s">
        <v>220</v>
      </c>
      <c r="CJ3" s="602" t="s">
        <v>497</v>
      </c>
      <c r="CK3" s="602" t="s">
        <v>297</v>
      </c>
      <c r="CL3" s="604">
        <v>51697388000</v>
      </c>
      <c r="CM3" s="604">
        <v>0</v>
      </c>
      <c r="CN3" s="604">
        <v>0</v>
      </c>
      <c r="CO3" s="879">
        <f>+CL3/$CR$2*$CS$2</f>
        <v>54954323.443999998</v>
      </c>
      <c r="CP3" s="879">
        <f>+CM3/$CR$2*$CS$2</f>
        <v>0</v>
      </c>
      <c r="CQ3" s="879">
        <f>+CN3/$CR$2*$CS$2</f>
        <v>0</v>
      </c>
      <c r="CU3" s="602" t="s">
        <v>442</v>
      </c>
      <c r="CV3" s="602" t="s">
        <v>220</v>
      </c>
      <c r="CW3" s="602" t="s">
        <v>447</v>
      </c>
      <c r="CX3" s="602" t="s">
        <v>447</v>
      </c>
      <c r="CY3" s="604">
        <v>0</v>
      </c>
      <c r="CZ3" s="604">
        <v>0</v>
      </c>
      <c r="DA3" s="604">
        <v>0</v>
      </c>
      <c r="DB3" s="862">
        <f>+CY3/$DE$2*$DF$2</f>
        <v>0</v>
      </c>
      <c r="DC3" s="862">
        <f>+CZ3/$DE$2*$DF$2</f>
        <v>0</v>
      </c>
      <c r="DD3" s="862">
        <f>+DA3/$DE$2*$DF$2</f>
        <v>0</v>
      </c>
      <c r="DH3" s="602" t="s">
        <v>442</v>
      </c>
      <c r="DI3" s="602" t="s">
        <v>220</v>
      </c>
      <c r="DJ3" s="602" t="s">
        <v>497</v>
      </c>
      <c r="DK3" s="602" t="s">
        <v>297</v>
      </c>
      <c r="DL3" s="604">
        <v>51697388000</v>
      </c>
      <c r="DM3" s="604">
        <v>0</v>
      </c>
      <c r="DN3" s="604">
        <v>0</v>
      </c>
      <c r="DO3" s="862">
        <f>+DL3/$DR$2*$DS$2</f>
        <v>54954323.443999998</v>
      </c>
      <c r="DP3" s="862">
        <f>+DM3/$DR$2*$DS$2</f>
        <v>0</v>
      </c>
      <c r="DQ3" s="862">
        <f>+DN3/$DR$2*$DS$2</f>
        <v>0</v>
      </c>
      <c r="DU3" s="880" t="s">
        <v>444</v>
      </c>
      <c r="DV3" s="880" t="s">
        <v>468</v>
      </c>
      <c r="DW3" s="880" t="s">
        <v>446</v>
      </c>
      <c r="DX3" s="880" t="s">
        <v>322</v>
      </c>
      <c r="DY3" s="881" t="s">
        <v>547</v>
      </c>
      <c r="DZ3" s="882">
        <v>0</v>
      </c>
      <c r="EA3" s="882">
        <v>0</v>
      </c>
      <c r="EB3" s="882">
        <v>51656</v>
      </c>
      <c r="EC3" s="883">
        <f>+DZ3/$EF$2*$EG$2</f>
        <v>0</v>
      </c>
      <c r="ED3" s="883">
        <f>+EA3/$EF$2*$EG$2</f>
        <v>0</v>
      </c>
      <c r="EE3" s="883">
        <f>+EB3/$EF$2*$EG$2</f>
        <v>54.910327999999993</v>
      </c>
      <c r="EI3" s="602" t="s">
        <v>442</v>
      </c>
      <c r="EJ3" s="602" t="s">
        <v>220</v>
      </c>
      <c r="EK3" s="602" t="s">
        <v>497</v>
      </c>
      <c r="EL3" s="602" t="s">
        <v>297</v>
      </c>
      <c r="EM3" s="602" t="s">
        <v>547</v>
      </c>
      <c r="EN3" s="602">
        <v>51697388000</v>
      </c>
      <c r="EO3" s="602">
        <v>0</v>
      </c>
      <c r="EP3" s="602">
        <v>0</v>
      </c>
      <c r="EQ3" s="884">
        <f>+EN3/$ET$2*$EU$2</f>
        <v>54954323.443999998</v>
      </c>
      <c r="ER3" s="884">
        <f>+EO3/$ET$2*$EU$2</f>
        <v>0</v>
      </c>
      <c r="ES3" s="884">
        <f>+EP3/$ET$2*$EU$2</f>
        <v>0</v>
      </c>
      <c r="EW3" s="602" t="s">
        <v>444</v>
      </c>
      <c r="EX3" s="602" t="s">
        <v>468</v>
      </c>
      <c r="EY3" s="602" t="s">
        <v>474</v>
      </c>
      <c r="EZ3" s="602" t="s">
        <v>276</v>
      </c>
      <c r="FA3" s="603" t="s">
        <v>547</v>
      </c>
      <c r="FB3" s="884">
        <v>2038223000</v>
      </c>
      <c r="FC3" s="884">
        <v>0</v>
      </c>
      <c r="FD3" s="884">
        <v>0</v>
      </c>
      <c r="FE3" s="884">
        <f>+FB3/$FH$2*$FI$2</f>
        <v>2166631.0490000001</v>
      </c>
      <c r="FF3" s="884">
        <f>+FC3/$FH$2*$FI$2</f>
        <v>0</v>
      </c>
      <c r="FG3" s="884">
        <f>+FD3/$FH$2*$FI$2</f>
        <v>0</v>
      </c>
      <c r="FK3" s="602" t="s">
        <v>442</v>
      </c>
      <c r="FL3" s="602" t="s">
        <v>220</v>
      </c>
      <c r="FM3" s="602" t="s">
        <v>497</v>
      </c>
      <c r="FN3" s="602" t="s">
        <v>297</v>
      </c>
      <c r="FO3" s="602" t="s">
        <v>547</v>
      </c>
      <c r="FP3" s="884">
        <v>51697388000</v>
      </c>
      <c r="FQ3" s="884">
        <v>0</v>
      </c>
      <c r="FR3" s="884">
        <v>0</v>
      </c>
      <c r="FS3" s="862">
        <f>+FP3/$FV$2*$FW$2</f>
        <v>54954323.443999998</v>
      </c>
      <c r="FT3" s="862">
        <f>+FQ3/$FV$2*$FW$2</f>
        <v>0</v>
      </c>
      <c r="FU3" s="862">
        <f>+FR3/$FV$2*$FW$2</f>
        <v>0</v>
      </c>
      <c r="FY3" s="602" t="s">
        <v>442</v>
      </c>
      <c r="FZ3" s="602" t="s">
        <v>220</v>
      </c>
      <c r="GA3" s="602" t="s">
        <v>443</v>
      </c>
      <c r="GB3" s="602" t="s">
        <v>321</v>
      </c>
      <c r="GC3" s="603" t="s">
        <v>547</v>
      </c>
      <c r="GD3" s="604">
        <v>0</v>
      </c>
      <c r="GE3" s="604">
        <v>61995537</v>
      </c>
      <c r="GF3" s="604">
        <v>0</v>
      </c>
      <c r="GG3" s="884">
        <f>+GD3/$GJ$2*$GK$2</f>
        <v>0</v>
      </c>
      <c r="GH3" s="884">
        <f>+GE3/$GJ$2*$GK$2</f>
        <v>65901.255830999988</v>
      </c>
      <c r="GI3" s="884">
        <f>+GF3/$GJ$2*$GK$2</f>
        <v>0</v>
      </c>
      <c r="GM3" s="885" t="s">
        <v>442</v>
      </c>
      <c r="GN3" s="886" t="s">
        <v>220</v>
      </c>
      <c r="GO3" s="885" t="s">
        <v>497</v>
      </c>
      <c r="GP3" s="885" t="s">
        <v>297</v>
      </c>
      <c r="GQ3" s="886" t="s">
        <v>547</v>
      </c>
      <c r="GR3" s="887">
        <v>51697388000</v>
      </c>
      <c r="GS3" s="887">
        <v>0</v>
      </c>
      <c r="GT3" s="887">
        <v>0</v>
      </c>
      <c r="GU3" s="887">
        <f>+GR3/$GX$2*$GY$2</f>
        <v>54954323.443999998</v>
      </c>
      <c r="GV3" s="887">
        <f>+GS3/$GX$2*$GY$2</f>
        <v>0</v>
      </c>
      <c r="GW3" s="887">
        <f>+GT3/$GX$2*$GY$2</f>
        <v>0</v>
      </c>
      <c r="HA3" s="602" t="s">
        <v>444</v>
      </c>
      <c r="HB3" s="602" t="s">
        <v>468</v>
      </c>
      <c r="HC3" s="602" t="s">
        <v>474</v>
      </c>
      <c r="HD3" s="602" t="s">
        <v>276</v>
      </c>
      <c r="HE3" s="603" t="s">
        <v>547</v>
      </c>
      <c r="HF3" s="604">
        <v>0</v>
      </c>
      <c r="HG3" s="604">
        <v>1456425985</v>
      </c>
      <c r="HH3" s="604">
        <v>652018635</v>
      </c>
      <c r="HI3" s="604">
        <f>+HF3/$HL$2*$HM$2</f>
        <v>0</v>
      </c>
      <c r="HJ3" s="604">
        <f>+HG3/$HL$2*$HM$2</f>
        <v>1456425.9850000001</v>
      </c>
      <c r="HK3" s="604">
        <f>+HH3/$HL$2*$HM$2</f>
        <v>652018.63500000001</v>
      </c>
      <c r="HO3" s="885" t="s">
        <v>442</v>
      </c>
      <c r="HP3" s="885" t="s">
        <v>220</v>
      </c>
      <c r="HQ3" s="885" t="s">
        <v>497</v>
      </c>
      <c r="HR3" s="885" t="s">
        <v>297</v>
      </c>
      <c r="HS3" s="603" t="s">
        <v>547</v>
      </c>
      <c r="HT3" s="604">
        <v>51697388000</v>
      </c>
      <c r="HU3" s="604">
        <v>0</v>
      </c>
      <c r="HV3" s="604">
        <v>0</v>
      </c>
      <c r="HW3" s="862">
        <f>+HT3/$HZ$2*$IA$2</f>
        <v>51697388</v>
      </c>
      <c r="HX3" s="862">
        <f>+HU3/$HZ$2*$IA$2</f>
        <v>0</v>
      </c>
      <c r="HY3" s="862">
        <f>+HV3/$HZ$2*$IA$2</f>
        <v>0</v>
      </c>
      <c r="IC3" s="602" t="s">
        <v>442</v>
      </c>
      <c r="ID3" s="602" t="s">
        <v>220</v>
      </c>
      <c r="IE3" s="602" t="s">
        <v>443</v>
      </c>
      <c r="IF3" s="602" t="s">
        <v>321</v>
      </c>
      <c r="IG3" s="603" t="s">
        <v>547</v>
      </c>
      <c r="IH3" s="604">
        <v>0</v>
      </c>
      <c r="II3" s="604">
        <v>95712408</v>
      </c>
      <c r="IJ3" s="604">
        <v>157707945</v>
      </c>
      <c r="IK3" s="883">
        <f>+IH3/$IN$2*$IO$2</f>
        <v>0</v>
      </c>
      <c r="IL3" s="883">
        <f t="shared" ref="IL3:IM3" si="4">+II3/$IN$2*$IO$2</f>
        <v>95712.407999999996</v>
      </c>
      <c r="IM3" s="883">
        <f t="shared" si="4"/>
        <v>157707.94500000001</v>
      </c>
      <c r="IQ3" s="885" t="s">
        <v>442</v>
      </c>
      <c r="IR3" s="885" t="s">
        <v>220</v>
      </c>
      <c r="IS3" s="885" t="s">
        <v>497</v>
      </c>
      <c r="IT3" s="885" t="s">
        <v>297</v>
      </c>
      <c r="IU3" s="886" t="s">
        <v>547</v>
      </c>
      <c r="IV3" s="887">
        <v>51697388000</v>
      </c>
      <c r="IW3" s="887">
        <v>0</v>
      </c>
      <c r="IX3" s="887">
        <v>0</v>
      </c>
      <c r="IY3" s="888">
        <f>+IV3/$JB$2*$JC$2</f>
        <v>51697388</v>
      </c>
      <c r="IZ3" s="888">
        <f t="shared" ref="IZ3:JA3" si="5">+IW3/$JB$2*$JC$2</f>
        <v>0</v>
      </c>
      <c r="JA3" s="888">
        <f t="shared" si="5"/>
        <v>0</v>
      </c>
      <c r="JE3" s="886" t="s">
        <v>444</v>
      </c>
      <c r="JF3" s="886" t="s">
        <v>468</v>
      </c>
      <c r="JG3" s="886" t="s">
        <v>445</v>
      </c>
      <c r="JH3" s="886" t="s">
        <v>277</v>
      </c>
      <c r="JI3" s="603" t="s">
        <v>547</v>
      </c>
      <c r="JJ3" s="604">
        <v>21453079</v>
      </c>
      <c r="JK3" s="862">
        <f>JJ3/$JL$2*$JM$2</f>
        <v>21453.079000000002</v>
      </c>
      <c r="JO3" s="884" t="s">
        <v>442</v>
      </c>
      <c r="JP3" s="884" t="s">
        <v>220</v>
      </c>
      <c r="JQ3" s="884" t="s">
        <v>497</v>
      </c>
      <c r="JR3" s="605" t="s">
        <v>297</v>
      </c>
      <c r="JS3" s="605" t="s">
        <v>547</v>
      </c>
      <c r="JT3" s="889">
        <v>51697388000</v>
      </c>
      <c r="JU3" s="889">
        <v>0</v>
      </c>
      <c r="JV3" s="889">
        <v>0</v>
      </c>
      <c r="JW3" s="863">
        <f>+JT3/$JZ$2*$KA$2</f>
        <v>51697388</v>
      </c>
      <c r="JX3" s="863">
        <f t="shared" ref="JX3:JY3" si="6">+JU3/$JZ$2*$KA$2</f>
        <v>0</v>
      </c>
      <c r="JY3" s="863">
        <f t="shared" si="6"/>
        <v>0</v>
      </c>
    </row>
    <row r="4" spans="1:287" ht="15" customHeight="1" x14ac:dyDescent="0.3">
      <c r="A4" s="872" t="s">
        <v>442</v>
      </c>
      <c r="B4" s="872" t="s">
        <v>220</v>
      </c>
      <c r="C4" s="872" t="s">
        <v>443</v>
      </c>
      <c r="D4" s="872" t="s">
        <v>321</v>
      </c>
      <c r="E4" s="873">
        <v>18740068000</v>
      </c>
      <c r="F4" s="873">
        <f t="shared" ref="F4:F43" si="7">+E4/$I$2*$J$2</f>
        <v>19920692.283999998</v>
      </c>
      <c r="G4" s="873">
        <v>0</v>
      </c>
      <c r="H4" s="873">
        <f t="shared" ref="H4:H43" si="8">+G4/$I$2*$J$2</f>
        <v>0</v>
      </c>
      <c r="L4" s="874" t="s">
        <v>442</v>
      </c>
      <c r="M4" s="874" t="s">
        <v>220</v>
      </c>
      <c r="N4" s="874" t="s">
        <v>443</v>
      </c>
      <c r="O4" s="874" t="s">
        <v>321</v>
      </c>
      <c r="P4" s="875">
        <v>-54329958</v>
      </c>
      <c r="Q4" s="875">
        <f t="shared" ref="Q4:Q16" si="9">+P4/$R$1*$S$1</f>
        <v>-57752.745353999999</v>
      </c>
      <c r="U4" s="874" t="s">
        <v>442</v>
      </c>
      <c r="V4" s="874" t="s">
        <v>220</v>
      </c>
      <c r="W4" s="874" t="s">
        <v>443</v>
      </c>
      <c r="X4" s="874" t="s">
        <v>321</v>
      </c>
      <c r="Y4" s="875">
        <v>18740068000</v>
      </c>
      <c r="Z4" s="875">
        <f t="shared" ref="Z4:Z26" si="10">+Y4/$AA$2*$AB$2</f>
        <v>19920692.283999998</v>
      </c>
      <c r="AD4" s="874" t="s">
        <v>442</v>
      </c>
      <c r="AE4" s="874" t="s">
        <v>220</v>
      </c>
      <c r="AF4" s="874" t="s">
        <v>443</v>
      </c>
      <c r="AG4" s="876" t="s">
        <v>321</v>
      </c>
      <c r="AH4" s="875">
        <v>18740054430</v>
      </c>
      <c r="AI4" s="875">
        <f t="shared" ref="AI4:AI16" si="11">+AH4/$AJ$2*$AK$2</f>
        <v>19920677.85909</v>
      </c>
      <c r="AM4" s="874" t="s">
        <v>442</v>
      </c>
      <c r="AN4" s="874" t="s">
        <v>220</v>
      </c>
      <c r="AO4" s="874" t="s">
        <v>443</v>
      </c>
      <c r="AP4" s="874" t="s">
        <v>321</v>
      </c>
      <c r="AQ4" s="875">
        <v>18740068000</v>
      </c>
      <c r="AR4" s="875">
        <f>+AQ4/$AT$2*$AU$2</f>
        <v>19920692.283999998</v>
      </c>
      <c r="AS4" s="875">
        <v>0</v>
      </c>
      <c r="AV4" s="862"/>
      <c r="AX4" s="874" t="s">
        <v>444</v>
      </c>
      <c r="AY4" s="874" t="s">
        <v>468</v>
      </c>
      <c r="AZ4" s="874" t="s">
        <v>474</v>
      </c>
      <c r="BA4" s="874" t="s">
        <v>276</v>
      </c>
      <c r="BB4" s="875">
        <v>88348600</v>
      </c>
      <c r="BC4" s="875">
        <f t="shared" si="0"/>
        <v>93914.561799999996</v>
      </c>
      <c r="BG4" s="877" t="s">
        <v>442</v>
      </c>
      <c r="BH4" s="877" t="s">
        <v>220</v>
      </c>
      <c r="BI4" s="877">
        <v>42403001</v>
      </c>
      <c r="BJ4" s="877" t="s">
        <v>297</v>
      </c>
      <c r="BK4" s="878">
        <v>0</v>
      </c>
      <c r="BL4" s="878">
        <v>51697388000</v>
      </c>
      <c r="BM4" s="878">
        <v>51231026071</v>
      </c>
      <c r="BN4" s="861">
        <f t="shared" si="1"/>
        <v>0</v>
      </c>
      <c r="BO4" s="861">
        <f t="shared" si="2"/>
        <v>54954323.443999998</v>
      </c>
      <c r="BP4" s="861">
        <f t="shared" si="3"/>
        <v>54458580.713473</v>
      </c>
      <c r="BT4" s="602" t="s">
        <v>452</v>
      </c>
      <c r="BU4" s="602" t="s">
        <v>128</v>
      </c>
      <c r="BV4" s="602" t="s">
        <v>447</v>
      </c>
      <c r="BW4" s="602" t="s">
        <v>447</v>
      </c>
      <c r="BX4" s="603" t="s">
        <v>547</v>
      </c>
      <c r="BY4" s="604">
        <v>0</v>
      </c>
      <c r="BZ4" s="604">
        <v>0</v>
      </c>
      <c r="CA4" s="604">
        <v>0</v>
      </c>
      <c r="CB4" s="862">
        <f t="shared" ref="CB4:CB17" si="12">+BY4/$CE$2*$CF$2</f>
        <v>0</v>
      </c>
      <c r="CC4" s="862">
        <f t="shared" ref="CC4:CC17" si="13">+BZ4/$CE$2*$CF$2</f>
        <v>0</v>
      </c>
      <c r="CD4" s="862">
        <f t="shared" ref="CD4:CD17" si="14">+CA4/$CE$2*$CF$2</f>
        <v>0</v>
      </c>
      <c r="CH4" s="602" t="s">
        <v>442</v>
      </c>
      <c r="CI4" s="602" t="s">
        <v>220</v>
      </c>
      <c r="CJ4" s="602" t="s">
        <v>443</v>
      </c>
      <c r="CK4" s="602" t="s">
        <v>321</v>
      </c>
      <c r="CL4" s="604">
        <v>18740068000</v>
      </c>
      <c r="CM4" s="604">
        <v>0</v>
      </c>
      <c r="CN4" s="604">
        <v>0</v>
      </c>
      <c r="CO4" s="879">
        <f t="shared" ref="CO4:CO49" si="15">+CL4/$CR$2*$CS$2</f>
        <v>19920692.283999998</v>
      </c>
      <c r="CP4" s="879">
        <f t="shared" ref="CP4:CP49" si="16">+CM4/$CR$2*$CS$2</f>
        <v>0</v>
      </c>
      <c r="CQ4" s="879">
        <f t="shared" ref="CQ4:CQ49" si="17">+CN4/$CR$2*$CS$2</f>
        <v>0</v>
      </c>
      <c r="CU4" s="602" t="s">
        <v>442</v>
      </c>
      <c r="CV4" s="602" t="s">
        <v>220</v>
      </c>
      <c r="CW4" s="602" t="s">
        <v>497</v>
      </c>
      <c r="CX4" s="602" t="s">
        <v>297</v>
      </c>
      <c r="CY4" s="604">
        <v>0</v>
      </c>
      <c r="CZ4" s="604">
        <v>0</v>
      </c>
      <c r="DA4" s="604">
        <v>39357448</v>
      </c>
      <c r="DB4" s="862">
        <f t="shared" ref="DB4:DB26" si="18">+CY4/$DE$2*$DF$2</f>
        <v>0</v>
      </c>
      <c r="DC4" s="862">
        <f t="shared" ref="DC4:DC26" si="19">+CZ4/$DE$2*$DF$2</f>
        <v>0</v>
      </c>
      <c r="DD4" s="862">
        <f t="shared" ref="DD4:DD25" si="20">+DA4/$DE$2*$DF$2</f>
        <v>41836.967223999993</v>
      </c>
      <c r="DH4" s="602" t="s">
        <v>442</v>
      </c>
      <c r="DI4" s="602" t="s">
        <v>220</v>
      </c>
      <c r="DJ4" s="602" t="s">
        <v>443</v>
      </c>
      <c r="DK4" s="602" t="s">
        <v>321</v>
      </c>
      <c r="DL4" s="604">
        <v>18740068000</v>
      </c>
      <c r="DM4" s="604">
        <v>0</v>
      </c>
      <c r="DN4" s="604">
        <v>0</v>
      </c>
      <c r="DO4" s="862">
        <f t="shared" ref="DO4:DO48" si="21">+DL4/$DR$2*$DS$2</f>
        <v>19920692.283999998</v>
      </c>
      <c r="DP4" s="862">
        <f t="shared" ref="DP4:DP48" si="22">+DM4/$DR$2*$DS$2</f>
        <v>0</v>
      </c>
      <c r="DQ4" s="862">
        <f t="shared" ref="DQ4:DQ48" si="23">+DN4/$DR$2*$DS$2</f>
        <v>0</v>
      </c>
      <c r="DU4" s="880" t="s">
        <v>444</v>
      </c>
      <c r="DV4" s="880" t="s">
        <v>468</v>
      </c>
      <c r="DW4" s="880" t="s">
        <v>447</v>
      </c>
      <c r="DX4" s="880" t="s">
        <v>447</v>
      </c>
      <c r="DY4" s="881" t="s">
        <v>547</v>
      </c>
      <c r="DZ4" s="882">
        <v>0</v>
      </c>
      <c r="EA4" s="882">
        <v>0</v>
      </c>
      <c r="EB4" s="882">
        <v>0</v>
      </c>
      <c r="EC4" s="883">
        <f t="shared" ref="EC4:EC17" si="24">+DZ4/$EF$2*$EG$2</f>
        <v>0</v>
      </c>
      <c r="ED4" s="883">
        <f t="shared" ref="ED4:ED17" si="25">+EA4/$EF$2*$EG$2</f>
        <v>0</v>
      </c>
      <c r="EE4" s="883">
        <f t="shared" ref="EE4:EE17" si="26">+EB4/$EF$2*$EG$2</f>
        <v>0</v>
      </c>
      <c r="EI4" s="602" t="s">
        <v>442</v>
      </c>
      <c r="EJ4" s="602" t="s">
        <v>220</v>
      </c>
      <c r="EK4" s="602" t="s">
        <v>443</v>
      </c>
      <c r="EL4" s="602" t="s">
        <v>321</v>
      </c>
      <c r="EM4" s="602" t="s">
        <v>547</v>
      </c>
      <c r="EN4" s="602">
        <v>18897776000</v>
      </c>
      <c r="EO4" s="602">
        <v>0</v>
      </c>
      <c r="EP4" s="602">
        <v>0</v>
      </c>
      <c r="EQ4" s="884">
        <f t="shared" ref="EQ4:EQ49" si="27">+EN4/$ET$2*$EU$2</f>
        <v>20088335.888</v>
      </c>
      <c r="ER4" s="884">
        <f t="shared" ref="ER4:ER49" si="28">+EO4/$ET$2*$EU$2</f>
        <v>0</v>
      </c>
      <c r="ES4" s="884">
        <f t="shared" ref="ES4:ES49" si="29">+EP4/$ET$2*$EU$2</f>
        <v>0</v>
      </c>
      <c r="EW4" s="602" t="s">
        <v>444</v>
      </c>
      <c r="EX4" s="602" t="s">
        <v>468</v>
      </c>
      <c r="EY4" s="602" t="s">
        <v>446</v>
      </c>
      <c r="EZ4" s="602" t="s">
        <v>322</v>
      </c>
      <c r="FA4" s="603" t="s">
        <v>547</v>
      </c>
      <c r="FB4" s="884">
        <v>0</v>
      </c>
      <c r="FC4" s="884">
        <v>0</v>
      </c>
      <c r="FD4" s="884">
        <v>51656</v>
      </c>
      <c r="FE4" s="884">
        <f t="shared" ref="FE4:FE23" si="30">+FB4/$FH$2*$FI$2</f>
        <v>0</v>
      </c>
      <c r="FF4" s="884">
        <f t="shared" ref="FF4:FF23" si="31">+FC4/$FH$2*$FI$2</f>
        <v>0</v>
      </c>
      <c r="FG4" s="884">
        <f t="shared" ref="FG4:FG23" si="32">+FD4/$FH$2*$FI$2</f>
        <v>54.910327999999993</v>
      </c>
      <c r="FK4" s="602" t="s">
        <v>442</v>
      </c>
      <c r="FL4" s="602" t="s">
        <v>220</v>
      </c>
      <c r="FM4" s="602" t="s">
        <v>443</v>
      </c>
      <c r="FN4" s="602" t="s">
        <v>321</v>
      </c>
      <c r="FO4" s="602" t="s">
        <v>547</v>
      </c>
      <c r="FP4" s="884">
        <v>18897776000</v>
      </c>
      <c r="FQ4" s="884">
        <v>0</v>
      </c>
      <c r="FR4" s="884">
        <v>0</v>
      </c>
      <c r="FS4" s="862">
        <f t="shared" ref="FS4:FS51" si="33">+FP4/$FV$2*$FW$2</f>
        <v>20088335.888</v>
      </c>
      <c r="FT4" s="862">
        <f t="shared" ref="FT4:FT51" si="34">+FQ4/$FV$2*$FW$2</f>
        <v>0</v>
      </c>
      <c r="FU4" s="862">
        <f t="shared" ref="FU4:FU51" si="35">+FR4/$FV$2*$FW$2</f>
        <v>0</v>
      </c>
      <c r="FY4" s="602" t="s">
        <v>444</v>
      </c>
      <c r="FZ4" s="602" t="s">
        <v>468</v>
      </c>
      <c r="GA4" s="602" t="s">
        <v>447</v>
      </c>
      <c r="GB4" s="602" t="s">
        <v>447</v>
      </c>
      <c r="GC4" s="603" t="s">
        <v>547</v>
      </c>
      <c r="GD4" s="604">
        <v>0</v>
      </c>
      <c r="GE4" s="604">
        <v>0</v>
      </c>
      <c r="GF4" s="604">
        <v>0</v>
      </c>
      <c r="GG4" s="884">
        <f t="shared" ref="GG4:GG24" si="36">+GD4/$GJ$2*$GK$2</f>
        <v>0</v>
      </c>
      <c r="GH4" s="884">
        <f t="shared" ref="GH4:GH24" si="37">+GE4/$GJ$2*$GK$2</f>
        <v>0</v>
      </c>
      <c r="GI4" s="884">
        <f t="shared" ref="GI4:GI24" si="38">+GF4/$GJ$2*$GK$2</f>
        <v>0</v>
      </c>
      <c r="GM4" s="885" t="s">
        <v>442</v>
      </c>
      <c r="GN4" s="886" t="s">
        <v>220</v>
      </c>
      <c r="GO4" s="885" t="s">
        <v>443</v>
      </c>
      <c r="GP4" s="885" t="s">
        <v>321</v>
      </c>
      <c r="GQ4" s="886" t="s">
        <v>547</v>
      </c>
      <c r="GR4" s="887">
        <v>18897776000</v>
      </c>
      <c r="GS4" s="887">
        <v>0</v>
      </c>
      <c r="GT4" s="887">
        <v>0</v>
      </c>
      <c r="GU4" s="887">
        <f t="shared" ref="GU4:GU50" si="39">+GR4/$GX$2*$GY$2</f>
        <v>20088335.888</v>
      </c>
      <c r="GV4" s="887">
        <f t="shared" ref="GV4:GV50" si="40">+GS4/$GX$2*$GY$2</f>
        <v>0</v>
      </c>
      <c r="GW4" s="887">
        <f t="shared" ref="GW4:GW50" si="41">+GT4/$GX$2*$GY$2</f>
        <v>0</v>
      </c>
      <c r="HA4" s="602" t="s">
        <v>444</v>
      </c>
      <c r="HB4" s="602" t="s">
        <v>468</v>
      </c>
      <c r="HC4" s="602" t="s">
        <v>445</v>
      </c>
      <c r="HD4" s="602" t="s">
        <v>277</v>
      </c>
      <c r="HE4" s="603" t="s">
        <v>547</v>
      </c>
      <c r="HF4" s="604">
        <v>0</v>
      </c>
      <c r="HG4" s="604">
        <v>0</v>
      </c>
      <c r="HH4" s="604">
        <v>18145476</v>
      </c>
      <c r="HI4" s="604">
        <f t="shared" ref="HI4:HI22" si="42">+HF4/$HL$2*$HM$2</f>
        <v>0</v>
      </c>
      <c r="HJ4" s="604">
        <f t="shared" ref="HJ4:HJ22" si="43">+HG4/$HL$2*$HM$2</f>
        <v>0</v>
      </c>
      <c r="HK4" s="604">
        <f t="shared" ref="HK4:HK22" si="44">+HH4/$HL$2*$HM$2</f>
        <v>18145.475999999999</v>
      </c>
      <c r="HO4" s="885" t="s">
        <v>442</v>
      </c>
      <c r="HP4" s="885" t="s">
        <v>220</v>
      </c>
      <c r="HQ4" s="885" t="s">
        <v>443</v>
      </c>
      <c r="HR4" s="885" t="s">
        <v>321</v>
      </c>
      <c r="HS4" s="603" t="s">
        <v>547</v>
      </c>
      <c r="HT4" s="604">
        <v>18897776000</v>
      </c>
      <c r="HU4" s="604">
        <v>0</v>
      </c>
      <c r="HV4" s="604">
        <v>0</v>
      </c>
      <c r="HW4" s="862">
        <f t="shared" ref="HW4:HW51" si="45">+HT4/$HZ$2*$IA$2</f>
        <v>18897776</v>
      </c>
      <c r="HX4" s="862">
        <f t="shared" ref="HX4:HX51" si="46">+HU4/$HZ$2*$IA$2</f>
        <v>0</v>
      </c>
      <c r="HY4" s="862">
        <f t="shared" ref="HY4:HY51" si="47">+HV4/$HZ$2*$IA$2</f>
        <v>0</v>
      </c>
      <c r="IC4" s="602" t="s">
        <v>442</v>
      </c>
      <c r="ID4" s="602" t="s">
        <v>220</v>
      </c>
      <c r="IE4" s="602" t="s">
        <v>447</v>
      </c>
      <c r="IF4" s="602" t="s">
        <v>447</v>
      </c>
      <c r="IG4" s="603" t="s">
        <v>547</v>
      </c>
      <c r="IH4" s="604">
        <v>0</v>
      </c>
      <c r="II4" s="604">
        <v>0</v>
      </c>
      <c r="IJ4" s="604">
        <v>0</v>
      </c>
      <c r="IK4" s="883">
        <f t="shared" ref="IK4:IK41" si="48">+IH4/$IN$2*$IO$2</f>
        <v>0</v>
      </c>
      <c r="IL4" s="883">
        <f t="shared" ref="IL4:IL41" si="49">+II4/$IN$2*$IO$2</f>
        <v>0</v>
      </c>
      <c r="IM4" s="883">
        <f t="shared" ref="IM4:IM41" si="50">+IJ4/$IN$2*$IO$2</f>
        <v>0</v>
      </c>
      <c r="IQ4" s="885" t="s">
        <v>442</v>
      </c>
      <c r="IR4" s="885" t="s">
        <v>220</v>
      </c>
      <c r="IS4" s="885" t="s">
        <v>443</v>
      </c>
      <c r="IT4" s="885" t="s">
        <v>321</v>
      </c>
      <c r="IU4" s="886" t="s">
        <v>547</v>
      </c>
      <c r="IV4" s="887">
        <v>18897776000</v>
      </c>
      <c r="IW4" s="887">
        <v>0</v>
      </c>
      <c r="IX4" s="887">
        <v>0</v>
      </c>
      <c r="IY4" s="888">
        <f t="shared" ref="IY4:IY23" si="51">+IV4/$JB$2*$JC$2</f>
        <v>18897776</v>
      </c>
      <c r="IZ4" s="888">
        <f t="shared" ref="IZ4:IZ23" si="52">+IW4/$JB$2*$JC$2</f>
        <v>0</v>
      </c>
      <c r="JA4" s="888">
        <f t="shared" ref="JA4:JA23" si="53">+IX4/$JB$2*$JC$2</f>
        <v>0</v>
      </c>
      <c r="JE4" s="886" t="s">
        <v>444</v>
      </c>
      <c r="JF4" s="886" t="s">
        <v>468</v>
      </c>
      <c r="JG4" s="886" t="s">
        <v>474</v>
      </c>
      <c r="JH4" s="886" t="s">
        <v>276</v>
      </c>
      <c r="JI4" s="603" t="s">
        <v>547</v>
      </c>
      <c r="JJ4" s="604">
        <v>190231663</v>
      </c>
      <c r="JK4" s="862">
        <f t="shared" ref="JK4:JK23" si="54">JJ4/$JL$2*$JM$2</f>
        <v>190231.663</v>
      </c>
      <c r="JO4" s="884" t="s">
        <v>442</v>
      </c>
      <c r="JP4" s="884" t="s">
        <v>220</v>
      </c>
      <c r="JQ4" s="884" t="s">
        <v>443</v>
      </c>
      <c r="JR4" s="605" t="s">
        <v>321</v>
      </c>
      <c r="JS4" s="605" t="s">
        <v>547</v>
      </c>
      <c r="JT4" s="889">
        <v>18897776000</v>
      </c>
      <c r="JU4" s="889">
        <v>0</v>
      </c>
      <c r="JV4" s="889">
        <v>0</v>
      </c>
      <c r="JW4" s="863">
        <f t="shared" ref="JW4:JW56" si="55">+JT4/$JZ$2*$KA$2</f>
        <v>18897776</v>
      </c>
      <c r="JX4" s="863">
        <f t="shared" ref="JX4:JX56" si="56">+JU4/$JZ$2*$KA$2</f>
        <v>0</v>
      </c>
      <c r="JY4" s="863">
        <f t="shared" ref="JY4:JY56" si="57">+JV4/$JZ$2*$KA$2</f>
        <v>0</v>
      </c>
    </row>
    <row r="5" spans="1:287" ht="15" customHeight="1" x14ac:dyDescent="0.3">
      <c r="A5" s="872" t="s">
        <v>442</v>
      </c>
      <c r="B5" s="872" t="s">
        <v>220</v>
      </c>
      <c r="C5" s="872" t="s">
        <v>447</v>
      </c>
      <c r="D5" s="872" t="s">
        <v>447</v>
      </c>
      <c r="E5" s="873">
        <v>0</v>
      </c>
      <c r="F5" s="873">
        <f t="shared" si="7"/>
        <v>0</v>
      </c>
      <c r="G5" s="873">
        <v>0</v>
      </c>
      <c r="H5" s="873">
        <f t="shared" si="8"/>
        <v>0</v>
      </c>
      <c r="L5" s="874" t="s">
        <v>444</v>
      </c>
      <c r="M5" s="874" t="s">
        <v>468</v>
      </c>
      <c r="N5" s="874" t="s">
        <v>446</v>
      </c>
      <c r="O5" s="874" t="s">
        <v>322</v>
      </c>
      <c r="P5" s="875">
        <v>141517</v>
      </c>
      <c r="Q5" s="875">
        <f t="shared" si="9"/>
        <v>150.432571</v>
      </c>
      <c r="U5" s="874" t="s">
        <v>444</v>
      </c>
      <c r="V5" s="874" t="s">
        <v>468</v>
      </c>
      <c r="W5" s="874" t="s">
        <v>474</v>
      </c>
      <c r="X5" s="874" t="s">
        <v>276</v>
      </c>
      <c r="Y5" s="875">
        <v>1810619225</v>
      </c>
      <c r="Z5" s="875">
        <f t="shared" si="10"/>
        <v>1924688.236175</v>
      </c>
      <c r="AD5" s="874" t="s">
        <v>444</v>
      </c>
      <c r="AE5" s="874" t="s">
        <v>468</v>
      </c>
      <c r="AF5" s="874" t="s">
        <v>471</v>
      </c>
      <c r="AG5" s="876" t="s">
        <v>279</v>
      </c>
      <c r="AH5" s="875">
        <v>1447554</v>
      </c>
      <c r="AI5" s="875">
        <f t="shared" si="11"/>
        <v>1538.749902</v>
      </c>
      <c r="AM5" s="874" t="s">
        <v>442</v>
      </c>
      <c r="AN5" s="874" t="s">
        <v>220</v>
      </c>
      <c r="AO5" s="874" t="s">
        <v>497</v>
      </c>
      <c r="AP5" s="874" t="s">
        <v>297</v>
      </c>
      <c r="AQ5" s="875">
        <v>0</v>
      </c>
      <c r="AR5" s="875">
        <f t="shared" ref="AR5:AR48" si="58">+AQ5/$AT$2*$AU$2</f>
        <v>0</v>
      </c>
      <c r="AS5" s="875">
        <v>51231026071</v>
      </c>
      <c r="AV5" s="862"/>
      <c r="AX5" s="874" t="s">
        <v>451</v>
      </c>
      <c r="AY5" s="874" t="s">
        <v>470</v>
      </c>
      <c r="AZ5" s="874" t="s">
        <v>447</v>
      </c>
      <c r="BA5" s="874" t="s">
        <v>447</v>
      </c>
      <c r="BB5" s="875">
        <v>220000000</v>
      </c>
      <c r="BC5" s="875">
        <f t="shared" si="0"/>
        <v>233860</v>
      </c>
      <c r="BG5" s="874" t="s">
        <v>442</v>
      </c>
      <c r="BH5" s="874" t="s">
        <v>220</v>
      </c>
      <c r="BI5" s="874" t="s">
        <v>443</v>
      </c>
      <c r="BJ5" s="874" t="s">
        <v>321</v>
      </c>
      <c r="BK5" s="875">
        <v>18740068000</v>
      </c>
      <c r="BL5" s="875">
        <v>0</v>
      </c>
      <c r="BM5" s="875">
        <v>0</v>
      </c>
      <c r="BN5" s="864">
        <f t="shared" si="1"/>
        <v>19920692.283999998</v>
      </c>
      <c r="BO5" s="864">
        <f t="shared" si="2"/>
        <v>0</v>
      </c>
      <c r="BP5" s="864">
        <f t="shared" si="3"/>
        <v>0</v>
      </c>
      <c r="BT5" s="602" t="s">
        <v>442</v>
      </c>
      <c r="BU5" s="602" t="s">
        <v>220</v>
      </c>
      <c r="BV5" s="602">
        <v>42403001</v>
      </c>
      <c r="BW5" s="602" t="s">
        <v>297</v>
      </c>
      <c r="BX5" s="603" t="s">
        <v>547</v>
      </c>
      <c r="BY5" s="604">
        <v>0</v>
      </c>
      <c r="BZ5" s="604">
        <v>0</v>
      </c>
      <c r="CA5" s="604">
        <v>427004481</v>
      </c>
      <c r="CB5" s="862">
        <f t="shared" si="12"/>
        <v>0</v>
      </c>
      <c r="CC5" s="862">
        <f t="shared" si="13"/>
        <v>0</v>
      </c>
      <c r="CD5" s="862">
        <f t="shared" si="14"/>
        <v>453905.76330300001</v>
      </c>
      <c r="CH5" s="602" t="s">
        <v>442</v>
      </c>
      <c r="CI5" s="602" t="s">
        <v>220</v>
      </c>
      <c r="CJ5" s="602" t="s">
        <v>447</v>
      </c>
      <c r="CK5" s="602" t="s">
        <v>447</v>
      </c>
      <c r="CL5" s="604">
        <v>0</v>
      </c>
      <c r="CM5" s="604">
        <v>0</v>
      </c>
      <c r="CN5" s="604">
        <v>0</v>
      </c>
      <c r="CO5" s="879">
        <f t="shared" si="15"/>
        <v>0</v>
      </c>
      <c r="CP5" s="879">
        <f t="shared" si="16"/>
        <v>0</v>
      </c>
      <c r="CQ5" s="879">
        <f t="shared" si="17"/>
        <v>0</v>
      </c>
      <c r="CU5" s="602" t="s">
        <v>444</v>
      </c>
      <c r="CV5" s="602" t="s">
        <v>468</v>
      </c>
      <c r="CW5" s="602" t="s">
        <v>472</v>
      </c>
      <c r="CX5" s="602" t="s">
        <v>473</v>
      </c>
      <c r="CY5" s="604">
        <v>0</v>
      </c>
      <c r="CZ5" s="604">
        <v>0</v>
      </c>
      <c r="DA5" s="604">
        <v>71575000</v>
      </c>
      <c r="DB5" s="862">
        <f t="shared" si="18"/>
        <v>0</v>
      </c>
      <c r="DC5" s="862">
        <f t="shared" si="19"/>
        <v>0</v>
      </c>
      <c r="DD5" s="862">
        <f t="shared" si="20"/>
        <v>76084.224999999991</v>
      </c>
      <c r="DH5" s="602" t="s">
        <v>442</v>
      </c>
      <c r="DI5" s="602" t="s">
        <v>220</v>
      </c>
      <c r="DJ5" s="602" t="s">
        <v>447</v>
      </c>
      <c r="DK5" s="602" t="s">
        <v>447</v>
      </c>
      <c r="DL5" s="604">
        <v>0</v>
      </c>
      <c r="DM5" s="604">
        <v>0</v>
      </c>
      <c r="DN5" s="604">
        <v>0</v>
      </c>
      <c r="DO5" s="862">
        <f t="shared" si="21"/>
        <v>0</v>
      </c>
      <c r="DP5" s="862">
        <f t="shared" si="22"/>
        <v>0</v>
      </c>
      <c r="DQ5" s="862">
        <f t="shared" si="23"/>
        <v>0</v>
      </c>
      <c r="DU5" s="880" t="s">
        <v>444</v>
      </c>
      <c r="DV5" s="880" t="s">
        <v>468</v>
      </c>
      <c r="DW5" s="880" t="s">
        <v>445</v>
      </c>
      <c r="DX5" s="880" t="s">
        <v>277</v>
      </c>
      <c r="DY5" s="881" t="s">
        <v>547</v>
      </c>
      <c r="DZ5" s="882">
        <v>0</v>
      </c>
      <c r="EA5" s="882">
        <v>0</v>
      </c>
      <c r="EB5" s="882">
        <v>21026092</v>
      </c>
      <c r="EC5" s="883">
        <f t="shared" si="24"/>
        <v>0</v>
      </c>
      <c r="ED5" s="883">
        <f t="shared" si="25"/>
        <v>0</v>
      </c>
      <c r="EE5" s="883">
        <f t="shared" si="26"/>
        <v>22350.735796000001</v>
      </c>
      <c r="EI5" s="602" t="s">
        <v>442</v>
      </c>
      <c r="EJ5" s="602" t="s">
        <v>220</v>
      </c>
      <c r="EK5" s="602" t="s">
        <v>447</v>
      </c>
      <c r="EL5" s="602" t="s">
        <v>447</v>
      </c>
      <c r="EM5" s="602" t="s">
        <v>547</v>
      </c>
      <c r="EN5" s="602">
        <v>0</v>
      </c>
      <c r="EO5" s="602">
        <v>0</v>
      </c>
      <c r="EP5" s="602">
        <v>0</v>
      </c>
      <c r="EQ5" s="884">
        <f t="shared" si="27"/>
        <v>0</v>
      </c>
      <c r="ER5" s="884">
        <f t="shared" si="28"/>
        <v>0</v>
      </c>
      <c r="ES5" s="884">
        <f t="shared" si="29"/>
        <v>0</v>
      </c>
      <c r="EW5" s="602" t="s">
        <v>444</v>
      </c>
      <c r="EX5" s="602" t="s">
        <v>468</v>
      </c>
      <c r="EY5" s="602" t="s">
        <v>447</v>
      </c>
      <c r="EZ5" s="602" t="s">
        <v>447</v>
      </c>
      <c r="FA5" s="603" t="s">
        <v>547</v>
      </c>
      <c r="FB5" s="884">
        <v>0</v>
      </c>
      <c r="FC5" s="884">
        <v>0</v>
      </c>
      <c r="FD5" s="884">
        <v>0</v>
      </c>
      <c r="FE5" s="884">
        <f t="shared" si="30"/>
        <v>0</v>
      </c>
      <c r="FF5" s="884">
        <f t="shared" si="31"/>
        <v>0</v>
      </c>
      <c r="FG5" s="884">
        <f t="shared" si="32"/>
        <v>0</v>
      </c>
      <c r="FK5" s="602" t="s">
        <v>442</v>
      </c>
      <c r="FL5" s="602" t="s">
        <v>220</v>
      </c>
      <c r="FM5" s="602" t="s">
        <v>497</v>
      </c>
      <c r="FN5" s="602" t="s">
        <v>297</v>
      </c>
      <c r="FO5" s="602" t="s">
        <v>547</v>
      </c>
      <c r="FP5" s="884">
        <v>0</v>
      </c>
      <c r="FQ5" s="884">
        <v>51697388000</v>
      </c>
      <c r="FR5" s="884">
        <v>51697388000</v>
      </c>
      <c r="FS5" s="862">
        <f t="shared" si="33"/>
        <v>0</v>
      </c>
      <c r="FT5" s="862">
        <f t="shared" si="34"/>
        <v>54954323.443999998</v>
      </c>
      <c r="FU5" s="862">
        <f t="shared" si="35"/>
        <v>54954323.443999998</v>
      </c>
      <c r="FY5" s="602" t="s">
        <v>444</v>
      </c>
      <c r="FZ5" s="602" t="s">
        <v>468</v>
      </c>
      <c r="GA5" s="602" t="s">
        <v>445</v>
      </c>
      <c r="GB5" s="602" t="s">
        <v>277</v>
      </c>
      <c r="GC5" s="603" t="s">
        <v>547</v>
      </c>
      <c r="GD5" s="604">
        <v>0</v>
      </c>
      <c r="GE5" s="604">
        <v>23242752</v>
      </c>
      <c r="GF5" s="604">
        <v>19854920</v>
      </c>
      <c r="GG5" s="884">
        <f t="shared" si="36"/>
        <v>0</v>
      </c>
      <c r="GH5" s="884">
        <f t="shared" si="37"/>
        <v>24707.045375999998</v>
      </c>
      <c r="GI5" s="884">
        <f t="shared" si="38"/>
        <v>21105.779959999996</v>
      </c>
      <c r="GM5" s="885" t="s">
        <v>442</v>
      </c>
      <c r="GN5" s="886" t="s">
        <v>220</v>
      </c>
      <c r="GO5" s="885" t="s">
        <v>447</v>
      </c>
      <c r="GP5" s="885" t="s">
        <v>447</v>
      </c>
      <c r="GQ5" s="886" t="s">
        <v>547</v>
      </c>
      <c r="GR5" s="887">
        <v>0</v>
      </c>
      <c r="GS5" s="887">
        <v>0</v>
      </c>
      <c r="GT5" s="887">
        <v>0</v>
      </c>
      <c r="GU5" s="887">
        <f t="shared" si="39"/>
        <v>0</v>
      </c>
      <c r="GV5" s="887">
        <f t="shared" si="40"/>
        <v>0</v>
      </c>
      <c r="GW5" s="887">
        <f t="shared" si="41"/>
        <v>0</v>
      </c>
      <c r="HA5" s="602" t="s">
        <v>444</v>
      </c>
      <c r="HB5" s="602" t="s">
        <v>468</v>
      </c>
      <c r="HC5" s="602" t="s">
        <v>447</v>
      </c>
      <c r="HD5" s="602" t="s">
        <v>447</v>
      </c>
      <c r="HE5" s="603" t="s">
        <v>547</v>
      </c>
      <c r="HF5" s="604">
        <v>0</v>
      </c>
      <c r="HG5" s="604">
        <v>0</v>
      </c>
      <c r="HH5" s="604">
        <v>0</v>
      </c>
      <c r="HI5" s="604">
        <f t="shared" si="42"/>
        <v>0</v>
      </c>
      <c r="HJ5" s="604">
        <f t="shared" si="43"/>
        <v>0</v>
      </c>
      <c r="HK5" s="604">
        <f t="shared" si="44"/>
        <v>0</v>
      </c>
      <c r="HO5" s="885" t="s">
        <v>442</v>
      </c>
      <c r="HP5" s="885" t="s">
        <v>220</v>
      </c>
      <c r="HQ5" s="885" t="s">
        <v>497</v>
      </c>
      <c r="HR5" s="885" t="s">
        <v>297</v>
      </c>
      <c r="HS5" s="603" t="s">
        <v>547</v>
      </c>
      <c r="HT5" s="604">
        <v>0</v>
      </c>
      <c r="HU5" s="604">
        <v>51697388000</v>
      </c>
      <c r="HV5" s="604">
        <v>51697388000</v>
      </c>
      <c r="HW5" s="862">
        <f t="shared" si="45"/>
        <v>0</v>
      </c>
      <c r="HX5" s="862">
        <f t="shared" si="46"/>
        <v>51697388</v>
      </c>
      <c r="HY5" s="862">
        <f t="shared" si="47"/>
        <v>51697388</v>
      </c>
      <c r="IC5" s="602" t="s">
        <v>444</v>
      </c>
      <c r="ID5" s="602" t="s">
        <v>468</v>
      </c>
      <c r="IE5" s="602" t="s">
        <v>474</v>
      </c>
      <c r="IF5" s="602" t="s">
        <v>276</v>
      </c>
      <c r="IG5" s="603" t="s">
        <v>547</v>
      </c>
      <c r="IH5" s="604">
        <v>152018731</v>
      </c>
      <c r="II5" s="604">
        <v>0</v>
      </c>
      <c r="IJ5" s="604">
        <v>0</v>
      </c>
      <c r="IK5" s="883">
        <f t="shared" si="48"/>
        <v>152018.731</v>
      </c>
      <c r="IL5" s="883">
        <f t="shared" si="49"/>
        <v>0</v>
      </c>
      <c r="IM5" s="883">
        <f t="shared" si="50"/>
        <v>0</v>
      </c>
      <c r="IQ5" s="885" t="s">
        <v>442</v>
      </c>
      <c r="IR5" s="885" t="s">
        <v>220</v>
      </c>
      <c r="IS5" s="885" t="s">
        <v>443</v>
      </c>
      <c r="IT5" s="885" t="s">
        <v>321</v>
      </c>
      <c r="IU5" s="886" t="s">
        <v>547</v>
      </c>
      <c r="IV5" s="887">
        <v>0</v>
      </c>
      <c r="IW5" s="887">
        <v>18897762375</v>
      </c>
      <c r="IX5" s="887">
        <v>18897762375</v>
      </c>
      <c r="IY5" s="888">
        <f t="shared" si="51"/>
        <v>0</v>
      </c>
      <c r="IZ5" s="888">
        <f t="shared" si="52"/>
        <v>18897762.375</v>
      </c>
      <c r="JA5" s="888">
        <f t="shared" si="53"/>
        <v>18897762.375</v>
      </c>
      <c r="JE5" s="886" t="s">
        <v>444</v>
      </c>
      <c r="JF5" s="886" t="s">
        <v>468</v>
      </c>
      <c r="JG5" s="886" t="s">
        <v>446</v>
      </c>
      <c r="JH5" s="886" t="s">
        <v>322</v>
      </c>
      <c r="JI5" s="603" t="s">
        <v>547</v>
      </c>
      <c r="JJ5" s="604">
        <v>144640</v>
      </c>
      <c r="JK5" s="862">
        <f t="shared" si="54"/>
        <v>144.63999999999999</v>
      </c>
      <c r="JO5" s="884" t="s">
        <v>442</v>
      </c>
      <c r="JP5" s="884" t="s">
        <v>220</v>
      </c>
      <c r="JQ5" s="884" t="s">
        <v>443</v>
      </c>
      <c r="JR5" s="605" t="s">
        <v>321</v>
      </c>
      <c r="JS5" s="605" t="s">
        <v>547</v>
      </c>
      <c r="JT5" s="889">
        <v>0</v>
      </c>
      <c r="JU5" s="889">
        <v>18897762375</v>
      </c>
      <c r="JV5" s="889">
        <v>18897762375</v>
      </c>
      <c r="JW5" s="863">
        <f t="shared" si="55"/>
        <v>0</v>
      </c>
      <c r="JX5" s="863">
        <f t="shared" si="56"/>
        <v>18897762.375</v>
      </c>
      <c r="JY5" s="863">
        <f t="shared" si="57"/>
        <v>18897762.375</v>
      </c>
    </row>
    <row r="6" spans="1:287" ht="15" customHeight="1" x14ac:dyDescent="0.3">
      <c r="A6" s="872" t="s">
        <v>442</v>
      </c>
      <c r="B6" s="872" t="s">
        <v>220</v>
      </c>
      <c r="C6" s="872" t="s">
        <v>497</v>
      </c>
      <c r="D6" s="872" t="s">
        <v>297</v>
      </c>
      <c r="E6" s="873">
        <v>0</v>
      </c>
      <c r="F6" s="873">
        <f t="shared" si="7"/>
        <v>0</v>
      </c>
      <c r="G6" s="873">
        <v>36705228578</v>
      </c>
      <c r="H6" s="873">
        <f t="shared" si="8"/>
        <v>39017657.978413999</v>
      </c>
      <c r="I6" s="860">
        <f>+H6+H7</f>
        <v>39075410.723767996</v>
      </c>
      <c r="L6" s="874" t="s">
        <v>444</v>
      </c>
      <c r="M6" s="874" t="s">
        <v>468</v>
      </c>
      <c r="N6" s="874" t="s">
        <v>445</v>
      </c>
      <c r="O6" s="874" t="s">
        <v>277</v>
      </c>
      <c r="P6" s="875">
        <v>25932023</v>
      </c>
      <c r="Q6" s="875">
        <f t="shared" si="9"/>
        <v>27565.740449000001</v>
      </c>
      <c r="U6" s="874" t="s">
        <v>444</v>
      </c>
      <c r="V6" s="874" t="s">
        <v>468</v>
      </c>
      <c r="W6" s="874" t="s">
        <v>498</v>
      </c>
      <c r="X6" s="874" t="s">
        <v>343</v>
      </c>
      <c r="Y6" s="875">
        <v>533745000</v>
      </c>
      <c r="Z6" s="875">
        <f t="shared" si="10"/>
        <v>567370.93499999994</v>
      </c>
      <c r="AD6" s="874" t="s">
        <v>444</v>
      </c>
      <c r="AE6" s="874" t="s">
        <v>468</v>
      </c>
      <c r="AF6" s="874" t="s">
        <v>445</v>
      </c>
      <c r="AG6" s="876" t="s">
        <v>277</v>
      </c>
      <c r="AH6" s="875">
        <v>25693589</v>
      </c>
      <c r="AI6" s="875">
        <f t="shared" si="11"/>
        <v>27312.285107</v>
      </c>
      <c r="AM6" s="874" t="s">
        <v>442</v>
      </c>
      <c r="AN6" s="874" t="s">
        <v>220</v>
      </c>
      <c r="AO6" s="874" t="s">
        <v>443</v>
      </c>
      <c r="AP6" s="874" t="s">
        <v>321</v>
      </c>
      <c r="AQ6" s="875">
        <v>0</v>
      </c>
      <c r="AR6" s="875">
        <f t="shared" si="58"/>
        <v>0</v>
      </c>
      <c r="AS6" s="875">
        <v>18740054430</v>
      </c>
      <c r="AV6" s="862"/>
      <c r="AX6" s="874" t="s">
        <v>660</v>
      </c>
      <c r="AY6" s="874" t="s">
        <v>154</v>
      </c>
      <c r="AZ6" s="874" t="s">
        <v>447</v>
      </c>
      <c r="BA6" s="874" t="s">
        <v>447</v>
      </c>
      <c r="BB6" s="875">
        <v>240761998</v>
      </c>
      <c r="BC6" s="875">
        <f t="shared" si="0"/>
        <v>255930.00387399999</v>
      </c>
      <c r="BG6" s="874" t="s">
        <v>442</v>
      </c>
      <c r="BH6" s="874" t="s">
        <v>220</v>
      </c>
      <c r="BI6" s="874" t="s">
        <v>443</v>
      </c>
      <c r="BJ6" s="874" t="s">
        <v>321</v>
      </c>
      <c r="BK6" s="875">
        <v>0</v>
      </c>
      <c r="BL6" s="875">
        <v>18740054430</v>
      </c>
      <c r="BM6" s="875">
        <v>18740054430</v>
      </c>
      <c r="BN6" s="864">
        <f t="shared" si="1"/>
        <v>0</v>
      </c>
      <c r="BO6" s="864">
        <f t="shared" si="2"/>
        <v>19920677.85909</v>
      </c>
      <c r="BP6" s="864">
        <f t="shared" si="3"/>
        <v>19920677.85909</v>
      </c>
      <c r="BT6" s="602" t="s">
        <v>442</v>
      </c>
      <c r="BU6" s="602" t="s">
        <v>220</v>
      </c>
      <c r="BV6" s="602" t="s">
        <v>447</v>
      </c>
      <c r="BW6" s="602" t="s">
        <v>447</v>
      </c>
      <c r="BX6" s="603" t="s">
        <v>547</v>
      </c>
      <c r="BY6" s="604">
        <v>0</v>
      </c>
      <c r="BZ6" s="604">
        <v>0</v>
      </c>
      <c r="CA6" s="604">
        <v>0</v>
      </c>
      <c r="CB6" s="862">
        <f t="shared" si="12"/>
        <v>0</v>
      </c>
      <c r="CC6" s="862">
        <f t="shared" si="13"/>
        <v>0</v>
      </c>
      <c r="CD6" s="862">
        <f t="shared" si="14"/>
        <v>0</v>
      </c>
      <c r="CH6" s="602" t="s">
        <v>442</v>
      </c>
      <c r="CI6" s="602" t="s">
        <v>220</v>
      </c>
      <c r="CJ6" s="602" t="s">
        <v>497</v>
      </c>
      <c r="CK6" s="602" t="s">
        <v>297</v>
      </c>
      <c r="CL6" s="604">
        <v>0</v>
      </c>
      <c r="CM6" s="604">
        <v>51697388000</v>
      </c>
      <c r="CN6" s="604">
        <v>51658030552</v>
      </c>
      <c r="CO6" s="879">
        <f t="shared" si="15"/>
        <v>0</v>
      </c>
      <c r="CP6" s="879">
        <f t="shared" si="16"/>
        <v>54954323.443999998</v>
      </c>
      <c r="CQ6" s="879">
        <f t="shared" si="17"/>
        <v>54912486.476775996</v>
      </c>
      <c r="CU6" s="602" t="s">
        <v>444</v>
      </c>
      <c r="CV6" s="602" t="s">
        <v>468</v>
      </c>
      <c r="CW6" s="602" t="s">
        <v>445</v>
      </c>
      <c r="CX6" s="602" t="s">
        <v>277</v>
      </c>
      <c r="CY6" s="604">
        <v>0</v>
      </c>
      <c r="CZ6" s="604">
        <v>21691332</v>
      </c>
      <c r="DA6" s="604">
        <v>20931436</v>
      </c>
      <c r="DB6" s="862">
        <f t="shared" si="18"/>
        <v>0</v>
      </c>
      <c r="DC6" s="862">
        <f t="shared" si="19"/>
        <v>23057.885915999996</v>
      </c>
      <c r="DD6" s="862">
        <f t="shared" si="20"/>
        <v>22250.116468</v>
      </c>
      <c r="DH6" s="602" t="s">
        <v>442</v>
      </c>
      <c r="DI6" s="602" t="s">
        <v>220</v>
      </c>
      <c r="DJ6" s="602" t="s">
        <v>443</v>
      </c>
      <c r="DK6" s="602" t="s">
        <v>321</v>
      </c>
      <c r="DL6" s="604">
        <v>0</v>
      </c>
      <c r="DM6" s="604">
        <v>18740054430</v>
      </c>
      <c r="DN6" s="604">
        <v>18740054430</v>
      </c>
      <c r="DO6" s="862">
        <f t="shared" si="21"/>
        <v>0</v>
      </c>
      <c r="DP6" s="862">
        <f t="shared" si="22"/>
        <v>19920677.85909</v>
      </c>
      <c r="DQ6" s="862">
        <f t="shared" si="23"/>
        <v>19920677.85909</v>
      </c>
      <c r="DU6" s="880" t="s">
        <v>444</v>
      </c>
      <c r="DV6" s="880" t="s">
        <v>468</v>
      </c>
      <c r="DW6" s="880" t="s">
        <v>474</v>
      </c>
      <c r="DX6" s="880" t="s">
        <v>276</v>
      </c>
      <c r="DY6" s="881" t="s">
        <v>547</v>
      </c>
      <c r="DZ6" s="882">
        <v>0</v>
      </c>
      <c r="EA6" s="882">
        <v>1283430596</v>
      </c>
      <c r="EB6" s="882">
        <v>109029403</v>
      </c>
      <c r="EC6" s="883">
        <f t="shared" si="24"/>
        <v>0</v>
      </c>
      <c r="ED6" s="883">
        <f t="shared" si="25"/>
        <v>1364286.7235479997</v>
      </c>
      <c r="EE6" s="883">
        <f t="shared" si="26"/>
        <v>115898.255389</v>
      </c>
      <c r="EI6" s="602" t="s">
        <v>442</v>
      </c>
      <c r="EJ6" s="602" t="s">
        <v>220</v>
      </c>
      <c r="EK6" s="602" t="s">
        <v>443</v>
      </c>
      <c r="EL6" s="602" t="s">
        <v>321</v>
      </c>
      <c r="EM6" s="602" t="s">
        <v>547</v>
      </c>
      <c r="EN6" s="602">
        <v>0</v>
      </c>
      <c r="EO6" s="602">
        <v>18740054430</v>
      </c>
      <c r="EP6" s="602">
        <v>18740054430</v>
      </c>
      <c r="EQ6" s="884">
        <f t="shared" si="27"/>
        <v>0</v>
      </c>
      <c r="ER6" s="884">
        <f t="shared" si="28"/>
        <v>19920677.85909</v>
      </c>
      <c r="ES6" s="884">
        <f t="shared" si="29"/>
        <v>19920677.85909</v>
      </c>
      <c r="EW6" s="602" t="s">
        <v>444</v>
      </c>
      <c r="EX6" s="602" t="s">
        <v>468</v>
      </c>
      <c r="EY6" s="602" t="s">
        <v>474</v>
      </c>
      <c r="EZ6" s="602" t="s">
        <v>276</v>
      </c>
      <c r="FA6" s="603" t="s">
        <v>547</v>
      </c>
      <c r="FB6" s="884">
        <v>0</v>
      </c>
      <c r="FC6" s="884">
        <v>29899953</v>
      </c>
      <c r="FD6" s="884">
        <v>1142191065</v>
      </c>
      <c r="FE6" s="884">
        <f t="shared" si="30"/>
        <v>0</v>
      </c>
      <c r="FF6" s="884">
        <f t="shared" si="31"/>
        <v>31783.650039</v>
      </c>
      <c r="FG6" s="884">
        <f t="shared" si="32"/>
        <v>1214149.102095</v>
      </c>
      <c r="FK6" s="602" t="s">
        <v>442</v>
      </c>
      <c r="FL6" s="602" t="s">
        <v>220</v>
      </c>
      <c r="FM6" s="602" t="s">
        <v>443</v>
      </c>
      <c r="FN6" s="602" t="s">
        <v>321</v>
      </c>
      <c r="FO6" s="602" t="s">
        <v>547</v>
      </c>
      <c r="FP6" s="884">
        <v>0</v>
      </c>
      <c r="FQ6" s="884">
        <v>18740054430</v>
      </c>
      <c r="FR6" s="884">
        <v>18740054430</v>
      </c>
      <c r="FS6" s="862">
        <f t="shared" si="33"/>
        <v>0</v>
      </c>
      <c r="FT6" s="862">
        <f t="shared" si="34"/>
        <v>19920677.85909</v>
      </c>
      <c r="FU6" s="862">
        <f t="shared" si="35"/>
        <v>19920677.85909</v>
      </c>
      <c r="FY6" s="602" t="s">
        <v>444</v>
      </c>
      <c r="FZ6" s="602" t="s">
        <v>468</v>
      </c>
      <c r="GA6" s="602" t="s">
        <v>472</v>
      </c>
      <c r="GB6" s="602" t="s">
        <v>473</v>
      </c>
      <c r="GC6" s="603" t="s">
        <v>547</v>
      </c>
      <c r="GD6" s="604">
        <v>0</v>
      </c>
      <c r="GE6" s="604">
        <v>0</v>
      </c>
      <c r="GF6" s="604">
        <v>20360484</v>
      </c>
      <c r="GG6" s="884">
        <f t="shared" si="36"/>
        <v>0</v>
      </c>
      <c r="GH6" s="884">
        <f t="shared" si="37"/>
        <v>0</v>
      </c>
      <c r="GI6" s="884">
        <f t="shared" si="38"/>
        <v>21643.194491999999</v>
      </c>
      <c r="GM6" s="885" t="s">
        <v>442</v>
      </c>
      <c r="GN6" s="886" t="s">
        <v>220</v>
      </c>
      <c r="GO6" s="885" t="s">
        <v>497</v>
      </c>
      <c r="GP6" s="885" t="s">
        <v>297</v>
      </c>
      <c r="GQ6" s="886" t="s">
        <v>547</v>
      </c>
      <c r="GR6" s="887">
        <v>0</v>
      </c>
      <c r="GS6" s="887">
        <v>51697388000</v>
      </c>
      <c r="GT6" s="887">
        <v>51697388000</v>
      </c>
      <c r="GU6" s="887">
        <f t="shared" si="39"/>
        <v>0</v>
      </c>
      <c r="GV6" s="887">
        <f t="shared" si="40"/>
        <v>54954323.443999998</v>
      </c>
      <c r="GW6" s="887">
        <f t="shared" si="41"/>
        <v>54954323.443999998</v>
      </c>
      <c r="HA6" s="602" t="s">
        <v>444</v>
      </c>
      <c r="HB6" s="602" t="s">
        <v>468</v>
      </c>
      <c r="HC6" s="602" t="s">
        <v>446</v>
      </c>
      <c r="HD6" s="602" t="s">
        <v>322</v>
      </c>
      <c r="HE6" s="603" t="s">
        <v>547</v>
      </c>
      <c r="HF6" s="604">
        <v>0</v>
      </c>
      <c r="HG6" s="604">
        <v>0</v>
      </c>
      <c r="HH6" s="604">
        <v>116227</v>
      </c>
      <c r="HI6" s="604">
        <f t="shared" si="42"/>
        <v>0</v>
      </c>
      <c r="HJ6" s="604">
        <f t="shared" si="43"/>
        <v>0</v>
      </c>
      <c r="HK6" s="604">
        <f t="shared" si="44"/>
        <v>116.227</v>
      </c>
      <c r="HO6" s="885" t="s">
        <v>442</v>
      </c>
      <c r="HP6" s="885" t="s">
        <v>220</v>
      </c>
      <c r="HQ6" s="885" t="s">
        <v>443</v>
      </c>
      <c r="HR6" s="885" t="s">
        <v>321</v>
      </c>
      <c r="HS6" s="603" t="s">
        <v>547</v>
      </c>
      <c r="HT6" s="604">
        <v>0</v>
      </c>
      <c r="HU6" s="604">
        <v>18802049967</v>
      </c>
      <c r="HV6" s="604">
        <v>18740054430</v>
      </c>
      <c r="HW6" s="862">
        <f t="shared" si="45"/>
        <v>0</v>
      </c>
      <c r="HX6" s="862">
        <f t="shared" si="46"/>
        <v>18802049.967</v>
      </c>
      <c r="HY6" s="862">
        <f t="shared" si="47"/>
        <v>18740054.43</v>
      </c>
      <c r="IC6" s="602" t="s">
        <v>444</v>
      </c>
      <c r="ID6" s="602" t="s">
        <v>468</v>
      </c>
      <c r="IE6" s="602" t="s">
        <v>445</v>
      </c>
      <c r="IF6" s="602" t="s">
        <v>277</v>
      </c>
      <c r="IG6" s="603" t="s">
        <v>547</v>
      </c>
      <c r="IH6" s="604">
        <v>0</v>
      </c>
      <c r="II6" s="604">
        <v>-9895153</v>
      </c>
      <c r="IJ6" s="604">
        <v>18145476</v>
      </c>
      <c r="IK6" s="883">
        <f t="shared" si="48"/>
        <v>0</v>
      </c>
      <c r="IL6" s="883">
        <f t="shared" si="49"/>
        <v>-9895.1530000000002</v>
      </c>
      <c r="IM6" s="883">
        <f t="shared" si="50"/>
        <v>18145.475999999999</v>
      </c>
      <c r="IQ6" s="885" t="s">
        <v>442</v>
      </c>
      <c r="IR6" s="885" t="s">
        <v>220</v>
      </c>
      <c r="IS6" s="885" t="s">
        <v>447</v>
      </c>
      <c r="IT6" s="885" t="s">
        <v>447</v>
      </c>
      <c r="IU6" s="886" t="s">
        <v>547</v>
      </c>
      <c r="IV6" s="887">
        <v>0</v>
      </c>
      <c r="IW6" s="887">
        <v>0</v>
      </c>
      <c r="IX6" s="887">
        <v>0</v>
      </c>
      <c r="IY6" s="888">
        <f t="shared" si="51"/>
        <v>0</v>
      </c>
      <c r="IZ6" s="888">
        <f t="shared" si="52"/>
        <v>0</v>
      </c>
      <c r="JA6" s="888">
        <f t="shared" si="53"/>
        <v>0</v>
      </c>
      <c r="JE6" s="886" t="s">
        <v>444</v>
      </c>
      <c r="JF6" s="886" t="s">
        <v>468</v>
      </c>
      <c r="JG6" s="886" t="s">
        <v>498</v>
      </c>
      <c r="JH6" s="886" t="s">
        <v>343</v>
      </c>
      <c r="JI6" s="603" t="s">
        <v>547</v>
      </c>
      <c r="JJ6" s="604">
        <v>175376356</v>
      </c>
      <c r="JK6" s="862">
        <f t="shared" si="54"/>
        <v>175376.356</v>
      </c>
      <c r="JO6" s="884" t="s">
        <v>442</v>
      </c>
      <c r="JP6" s="884" t="s">
        <v>220</v>
      </c>
      <c r="JQ6" s="884" t="s">
        <v>497</v>
      </c>
      <c r="JR6" s="605" t="s">
        <v>297</v>
      </c>
      <c r="JS6" s="605" t="s">
        <v>547</v>
      </c>
      <c r="JT6" s="889">
        <v>0</v>
      </c>
      <c r="JU6" s="889">
        <v>51697388000</v>
      </c>
      <c r="JV6" s="889">
        <v>51697388000</v>
      </c>
      <c r="JW6" s="863">
        <f t="shared" si="55"/>
        <v>0</v>
      </c>
      <c r="JX6" s="863">
        <f t="shared" si="56"/>
        <v>51697388</v>
      </c>
      <c r="JY6" s="863">
        <f t="shared" si="57"/>
        <v>51697388</v>
      </c>
    </row>
    <row r="7" spans="1:287" ht="15" customHeight="1" x14ac:dyDescent="0.3">
      <c r="A7" s="872" t="s">
        <v>442</v>
      </c>
      <c r="B7" s="872" t="s">
        <v>220</v>
      </c>
      <c r="C7" s="872" t="s">
        <v>443</v>
      </c>
      <c r="D7" s="872" t="s">
        <v>321</v>
      </c>
      <c r="E7" s="873">
        <v>0</v>
      </c>
      <c r="F7" s="873">
        <f t="shared" si="7"/>
        <v>0</v>
      </c>
      <c r="G7" s="873">
        <v>54329958</v>
      </c>
      <c r="H7" s="873">
        <f t="shared" si="8"/>
        <v>57752.745353999999</v>
      </c>
      <c r="L7" s="874" t="s">
        <v>444</v>
      </c>
      <c r="M7" s="874" t="s">
        <v>468</v>
      </c>
      <c r="N7" s="874" t="s">
        <v>472</v>
      </c>
      <c r="O7" s="874" t="s">
        <v>473</v>
      </c>
      <c r="P7" s="875">
        <v>5599983</v>
      </c>
      <c r="Q7" s="875">
        <f t="shared" si="9"/>
        <v>5952.7819289999998</v>
      </c>
      <c r="U7" s="874" t="s">
        <v>444</v>
      </c>
      <c r="V7" s="874" t="s">
        <v>468</v>
      </c>
      <c r="W7" s="874" t="s">
        <v>445</v>
      </c>
      <c r="X7" s="874" t="s">
        <v>277</v>
      </c>
      <c r="Y7" s="875">
        <v>315806000</v>
      </c>
      <c r="Z7" s="875">
        <f t="shared" si="10"/>
        <v>335701.77799999999</v>
      </c>
      <c r="AD7" s="874" t="s">
        <v>444</v>
      </c>
      <c r="AE7" s="874" t="s">
        <v>468</v>
      </c>
      <c r="AF7" s="874" t="s">
        <v>474</v>
      </c>
      <c r="AG7" s="876" t="s">
        <v>276</v>
      </c>
      <c r="AH7" s="875">
        <v>303428863</v>
      </c>
      <c r="AI7" s="875">
        <f t="shared" si="11"/>
        <v>322544.88136900001</v>
      </c>
      <c r="AM7" s="874" t="s">
        <v>442</v>
      </c>
      <c r="AN7" s="874" t="s">
        <v>220</v>
      </c>
      <c r="AO7" s="874" t="s">
        <v>447</v>
      </c>
      <c r="AP7" s="874" t="s">
        <v>447</v>
      </c>
      <c r="AQ7" s="875">
        <v>0</v>
      </c>
      <c r="AR7" s="875">
        <f t="shared" si="58"/>
        <v>0</v>
      </c>
      <c r="AS7" s="875">
        <v>0</v>
      </c>
      <c r="AV7" s="862"/>
      <c r="AX7" s="874" t="s">
        <v>661</v>
      </c>
      <c r="AY7" s="874" t="s">
        <v>305</v>
      </c>
      <c r="AZ7" s="874" t="s">
        <v>447</v>
      </c>
      <c r="BA7" s="874" t="s">
        <v>447</v>
      </c>
      <c r="BB7" s="875">
        <v>4369976208</v>
      </c>
      <c r="BC7" s="875">
        <f t="shared" si="0"/>
        <v>4645284.7091039997</v>
      </c>
      <c r="BG7" s="874" t="s">
        <v>444</v>
      </c>
      <c r="BH7" s="874" t="s">
        <v>468</v>
      </c>
      <c r="BI7" s="874" t="s">
        <v>474</v>
      </c>
      <c r="BJ7" s="874" t="s">
        <v>276</v>
      </c>
      <c r="BK7" s="875">
        <v>1810619225</v>
      </c>
      <c r="BL7" s="875">
        <v>0</v>
      </c>
      <c r="BM7" s="875">
        <v>0</v>
      </c>
      <c r="BN7" s="864">
        <f t="shared" si="1"/>
        <v>1924688.236175</v>
      </c>
      <c r="BO7" s="864">
        <f t="shared" si="2"/>
        <v>0</v>
      </c>
      <c r="BP7" s="864">
        <f t="shared" si="3"/>
        <v>0</v>
      </c>
      <c r="BT7" s="602" t="s">
        <v>444</v>
      </c>
      <c r="BU7" s="602" t="s">
        <v>468</v>
      </c>
      <c r="BV7" s="602">
        <v>42406001</v>
      </c>
      <c r="BW7" s="602" t="s">
        <v>276</v>
      </c>
      <c r="BX7" s="603" t="s">
        <v>547</v>
      </c>
      <c r="BY7" s="604">
        <v>0</v>
      </c>
      <c r="BZ7" s="604">
        <v>0</v>
      </c>
      <c r="CA7" s="604">
        <v>23000000</v>
      </c>
      <c r="CB7" s="862">
        <f t="shared" si="12"/>
        <v>0</v>
      </c>
      <c r="CC7" s="862">
        <f t="shared" si="13"/>
        <v>0</v>
      </c>
      <c r="CD7" s="862">
        <f t="shared" si="14"/>
        <v>24449</v>
      </c>
      <c r="CH7" s="602" t="s">
        <v>442</v>
      </c>
      <c r="CI7" s="602" t="s">
        <v>220</v>
      </c>
      <c r="CJ7" s="602" t="s">
        <v>443</v>
      </c>
      <c r="CK7" s="602" t="s">
        <v>321</v>
      </c>
      <c r="CL7" s="604">
        <v>0</v>
      </c>
      <c r="CM7" s="604">
        <v>18740054430</v>
      </c>
      <c r="CN7" s="604">
        <v>18740054430</v>
      </c>
      <c r="CO7" s="879">
        <f t="shared" si="15"/>
        <v>0</v>
      </c>
      <c r="CP7" s="879">
        <f t="shared" si="16"/>
        <v>19920677.85909</v>
      </c>
      <c r="CQ7" s="879">
        <f t="shared" si="17"/>
        <v>19920677.85909</v>
      </c>
      <c r="CU7" s="602" t="s">
        <v>444</v>
      </c>
      <c r="CV7" s="602" t="s">
        <v>468</v>
      </c>
      <c r="CW7" s="602" t="s">
        <v>445</v>
      </c>
      <c r="CX7" s="602" t="s">
        <v>277</v>
      </c>
      <c r="CY7" s="604">
        <v>0</v>
      </c>
      <c r="CZ7" s="604">
        <v>0</v>
      </c>
      <c r="DA7" s="604">
        <v>0</v>
      </c>
      <c r="DB7" s="862">
        <f t="shared" si="18"/>
        <v>0</v>
      </c>
      <c r="DC7" s="862">
        <f t="shared" si="19"/>
        <v>0</v>
      </c>
      <c r="DD7" s="862">
        <f t="shared" si="20"/>
        <v>0</v>
      </c>
      <c r="DH7" s="602" t="s">
        <v>442</v>
      </c>
      <c r="DI7" s="602" t="s">
        <v>220</v>
      </c>
      <c r="DJ7" s="602" t="s">
        <v>497</v>
      </c>
      <c r="DK7" s="602" t="s">
        <v>297</v>
      </c>
      <c r="DL7" s="604">
        <v>0</v>
      </c>
      <c r="DM7" s="604">
        <v>51697388000</v>
      </c>
      <c r="DN7" s="604">
        <v>51697388000</v>
      </c>
      <c r="DO7" s="862">
        <f t="shared" si="21"/>
        <v>0</v>
      </c>
      <c r="DP7" s="862">
        <f t="shared" si="22"/>
        <v>54954323.443999998</v>
      </c>
      <c r="DQ7" s="862">
        <f t="shared" si="23"/>
        <v>54954323.443999998</v>
      </c>
      <c r="DU7" s="880" t="s">
        <v>448</v>
      </c>
      <c r="DV7" s="880" t="s">
        <v>469</v>
      </c>
      <c r="DW7" s="880" t="s">
        <v>447</v>
      </c>
      <c r="DX7" s="880" t="s">
        <v>447</v>
      </c>
      <c r="DY7" s="881" t="s">
        <v>547</v>
      </c>
      <c r="DZ7" s="882">
        <v>0</v>
      </c>
      <c r="EA7" s="882">
        <v>15930849000</v>
      </c>
      <c r="EB7" s="882">
        <v>4882361192</v>
      </c>
      <c r="EC7" s="883">
        <f t="shared" si="24"/>
        <v>0</v>
      </c>
      <c r="ED7" s="883">
        <f t="shared" si="25"/>
        <v>16934492.487</v>
      </c>
      <c r="EE7" s="883">
        <f t="shared" si="26"/>
        <v>5189949.9470959995</v>
      </c>
      <c r="EI7" s="602" t="s">
        <v>442</v>
      </c>
      <c r="EJ7" s="602" t="s">
        <v>220</v>
      </c>
      <c r="EK7" s="602" t="s">
        <v>497</v>
      </c>
      <c r="EL7" s="602" t="s">
        <v>297</v>
      </c>
      <c r="EM7" s="602" t="s">
        <v>547</v>
      </c>
      <c r="EN7" s="602">
        <v>0</v>
      </c>
      <c r="EO7" s="602">
        <v>51697388000</v>
      </c>
      <c r="EP7" s="602">
        <v>51697388000</v>
      </c>
      <c r="EQ7" s="884">
        <f t="shared" si="27"/>
        <v>0</v>
      </c>
      <c r="ER7" s="884">
        <f t="shared" si="28"/>
        <v>54954323.443999998</v>
      </c>
      <c r="ES7" s="884">
        <f t="shared" si="29"/>
        <v>54954323.443999998</v>
      </c>
      <c r="EW7" s="602" t="s">
        <v>444</v>
      </c>
      <c r="EX7" s="602" t="s">
        <v>468</v>
      </c>
      <c r="EY7" s="602" t="s">
        <v>445</v>
      </c>
      <c r="EZ7" s="602" t="s">
        <v>277</v>
      </c>
      <c r="FA7" s="603" t="s">
        <v>547</v>
      </c>
      <c r="FB7" s="884">
        <v>0</v>
      </c>
      <c r="FC7" s="884">
        <v>0</v>
      </c>
      <c r="FD7" s="884">
        <v>16352329</v>
      </c>
      <c r="FE7" s="884">
        <f t="shared" si="30"/>
        <v>0</v>
      </c>
      <c r="FF7" s="884">
        <f t="shared" si="31"/>
        <v>0</v>
      </c>
      <c r="FG7" s="884">
        <f t="shared" si="32"/>
        <v>17382.525727</v>
      </c>
      <c r="FK7" s="602" t="s">
        <v>442</v>
      </c>
      <c r="FL7" s="602" t="s">
        <v>220</v>
      </c>
      <c r="FM7" s="602" t="s">
        <v>447</v>
      </c>
      <c r="FN7" s="602" t="s">
        <v>447</v>
      </c>
      <c r="FO7" s="602" t="s">
        <v>547</v>
      </c>
      <c r="FP7" s="884">
        <v>0</v>
      </c>
      <c r="FQ7" s="884">
        <v>0</v>
      </c>
      <c r="FR7" s="884">
        <v>0</v>
      </c>
      <c r="FS7" s="862">
        <f t="shared" si="33"/>
        <v>0</v>
      </c>
      <c r="FT7" s="862">
        <f t="shared" si="34"/>
        <v>0</v>
      </c>
      <c r="FU7" s="862">
        <f t="shared" si="35"/>
        <v>0</v>
      </c>
      <c r="FY7" s="602" t="s">
        <v>444</v>
      </c>
      <c r="FZ7" s="602" t="s">
        <v>468</v>
      </c>
      <c r="GA7" s="602" t="s">
        <v>474</v>
      </c>
      <c r="GB7" s="602" t="s">
        <v>276</v>
      </c>
      <c r="GC7" s="603" t="s">
        <v>547</v>
      </c>
      <c r="GD7" s="604">
        <v>0</v>
      </c>
      <c r="GE7" s="604">
        <v>22848000</v>
      </c>
      <c r="GF7" s="604">
        <v>84958081</v>
      </c>
      <c r="GG7" s="884">
        <f t="shared" si="36"/>
        <v>0</v>
      </c>
      <c r="GH7" s="884">
        <f t="shared" si="37"/>
        <v>24287.423999999999</v>
      </c>
      <c r="GI7" s="884">
        <f t="shared" si="38"/>
        <v>90310.440103000001</v>
      </c>
      <c r="GM7" s="885" t="s">
        <v>442</v>
      </c>
      <c r="GN7" s="886" t="s">
        <v>220</v>
      </c>
      <c r="GO7" s="885" t="s">
        <v>443</v>
      </c>
      <c r="GP7" s="885" t="s">
        <v>321</v>
      </c>
      <c r="GQ7" s="886" t="s">
        <v>547</v>
      </c>
      <c r="GR7" s="887">
        <v>0</v>
      </c>
      <c r="GS7" s="887">
        <v>18802049967</v>
      </c>
      <c r="GT7" s="887">
        <v>18740054430</v>
      </c>
      <c r="GU7" s="887">
        <f t="shared" si="39"/>
        <v>0</v>
      </c>
      <c r="GV7" s="887">
        <f t="shared" si="40"/>
        <v>19986579.114921</v>
      </c>
      <c r="GW7" s="887">
        <f t="shared" si="41"/>
        <v>19920677.85909</v>
      </c>
      <c r="HA7" s="602" t="s">
        <v>448</v>
      </c>
      <c r="HB7" s="602" t="s">
        <v>469</v>
      </c>
      <c r="HC7" s="602" t="s">
        <v>447</v>
      </c>
      <c r="HD7" s="602" t="s">
        <v>447</v>
      </c>
      <c r="HE7" s="603" t="s">
        <v>547</v>
      </c>
      <c r="HF7" s="604">
        <v>0</v>
      </c>
      <c r="HG7" s="604">
        <v>0</v>
      </c>
      <c r="HH7" s="604">
        <v>2070382665</v>
      </c>
      <c r="HI7" s="604">
        <f t="shared" si="42"/>
        <v>0</v>
      </c>
      <c r="HJ7" s="604">
        <f t="shared" si="43"/>
        <v>0</v>
      </c>
      <c r="HK7" s="604">
        <f t="shared" si="44"/>
        <v>2070382.665</v>
      </c>
      <c r="HO7" s="885" t="s">
        <v>442</v>
      </c>
      <c r="HP7" s="885" t="s">
        <v>220</v>
      </c>
      <c r="HQ7" s="885" t="s">
        <v>447</v>
      </c>
      <c r="HR7" s="885" t="s">
        <v>447</v>
      </c>
      <c r="HS7" s="603" t="s">
        <v>547</v>
      </c>
      <c r="HT7" s="604">
        <v>0</v>
      </c>
      <c r="HU7" s="604">
        <v>0</v>
      </c>
      <c r="HV7" s="604">
        <v>0</v>
      </c>
      <c r="HW7" s="862">
        <f t="shared" si="45"/>
        <v>0</v>
      </c>
      <c r="HX7" s="862">
        <f t="shared" si="46"/>
        <v>0</v>
      </c>
      <c r="HY7" s="862">
        <f t="shared" si="47"/>
        <v>0</v>
      </c>
      <c r="IC7" s="602" t="s">
        <v>444</v>
      </c>
      <c r="ID7" s="602" t="s">
        <v>468</v>
      </c>
      <c r="IE7" s="602" t="s">
        <v>474</v>
      </c>
      <c r="IF7" s="602" t="s">
        <v>276</v>
      </c>
      <c r="IG7" s="603" t="s">
        <v>547</v>
      </c>
      <c r="IH7" s="604">
        <v>0</v>
      </c>
      <c r="II7" s="604">
        <v>659703925</v>
      </c>
      <c r="IJ7" s="604">
        <v>1347412858</v>
      </c>
      <c r="IK7" s="883">
        <f t="shared" si="48"/>
        <v>0</v>
      </c>
      <c r="IL7" s="883">
        <f t="shared" si="49"/>
        <v>659703.92500000005</v>
      </c>
      <c r="IM7" s="883">
        <f t="shared" si="50"/>
        <v>1347412.858</v>
      </c>
      <c r="IQ7" s="885" t="s">
        <v>442</v>
      </c>
      <c r="IR7" s="885" t="s">
        <v>220</v>
      </c>
      <c r="IS7" s="885" t="s">
        <v>497</v>
      </c>
      <c r="IT7" s="885" t="s">
        <v>297</v>
      </c>
      <c r="IU7" s="886" t="s">
        <v>547</v>
      </c>
      <c r="IV7" s="887">
        <v>0</v>
      </c>
      <c r="IW7" s="887">
        <v>51697388000</v>
      </c>
      <c r="IX7" s="887">
        <v>51697388000</v>
      </c>
      <c r="IY7" s="888">
        <f t="shared" si="51"/>
        <v>0</v>
      </c>
      <c r="IZ7" s="888">
        <f t="shared" si="52"/>
        <v>51697388</v>
      </c>
      <c r="JA7" s="888">
        <f t="shared" si="53"/>
        <v>51697388</v>
      </c>
      <c r="JE7" s="886" t="s">
        <v>444</v>
      </c>
      <c r="JF7" s="886" t="s">
        <v>468</v>
      </c>
      <c r="JG7" s="886" t="s">
        <v>472</v>
      </c>
      <c r="JH7" s="886" t="s">
        <v>473</v>
      </c>
      <c r="JI7" s="603" t="s">
        <v>547</v>
      </c>
      <c r="JJ7" s="604">
        <v>11758439</v>
      </c>
      <c r="JK7" s="862">
        <f t="shared" si="54"/>
        <v>11758.439</v>
      </c>
      <c r="JO7" s="884" t="s">
        <v>442</v>
      </c>
      <c r="JP7" s="884" t="s">
        <v>220</v>
      </c>
      <c r="JQ7" s="884" t="s">
        <v>447</v>
      </c>
      <c r="JR7" s="605" t="s">
        <v>447</v>
      </c>
      <c r="JS7" s="605" t="s">
        <v>547</v>
      </c>
      <c r="JT7" s="889">
        <v>0</v>
      </c>
      <c r="JU7" s="889">
        <v>0</v>
      </c>
      <c r="JV7" s="889">
        <v>0</v>
      </c>
      <c r="JW7" s="863">
        <f t="shared" si="55"/>
        <v>0</v>
      </c>
      <c r="JX7" s="863">
        <f t="shared" si="56"/>
        <v>0</v>
      </c>
      <c r="JY7" s="863">
        <f t="shared" si="57"/>
        <v>0</v>
      </c>
    </row>
    <row r="8" spans="1:287" ht="15" customHeight="1" x14ac:dyDescent="0.3">
      <c r="A8" s="872" t="s">
        <v>444</v>
      </c>
      <c r="B8" s="872" t="s">
        <v>468</v>
      </c>
      <c r="C8" s="872" t="s">
        <v>474</v>
      </c>
      <c r="D8" s="872" t="s">
        <v>276</v>
      </c>
      <c r="E8" s="873">
        <v>1810619225</v>
      </c>
      <c r="F8" s="873">
        <f t="shared" si="7"/>
        <v>1924688.236175</v>
      </c>
      <c r="G8" s="873">
        <v>0</v>
      </c>
      <c r="H8" s="873">
        <f t="shared" si="8"/>
        <v>0</v>
      </c>
      <c r="L8" s="874" t="s">
        <v>660</v>
      </c>
      <c r="M8" s="874" t="s">
        <v>154</v>
      </c>
      <c r="N8" s="874" t="s">
        <v>447</v>
      </c>
      <c r="O8" s="874" t="s">
        <v>447</v>
      </c>
      <c r="P8" s="875">
        <v>1447699543</v>
      </c>
      <c r="Q8" s="875">
        <f t="shared" si="9"/>
        <v>1538904.614209</v>
      </c>
      <c r="U8" s="874" t="s">
        <v>444</v>
      </c>
      <c r="V8" s="874" t="s">
        <v>468</v>
      </c>
      <c r="W8" s="874" t="s">
        <v>472</v>
      </c>
      <c r="X8" s="874" t="s">
        <v>473</v>
      </c>
      <c r="Y8" s="875">
        <v>198649775</v>
      </c>
      <c r="Z8" s="875">
        <f t="shared" si="10"/>
        <v>211164.71082499999</v>
      </c>
      <c r="AD8" s="874" t="s">
        <v>444</v>
      </c>
      <c r="AE8" s="874" t="s">
        <v>468</v>
      </c>
      <c r="AF8" s="874" t="s">
        <v>472</v>
      </c>
      <c r="AG8" s="876" t="s">
        <v>473</v>
      </c>
      <c r="AH8" s="875">
        <v>14974518</v>
      </c>
      <c r="AI8" s="875">
        <f t="shared" si="11"/>
        <v>15917.912633999998</v>
      </c>
      <c r="AM8" s="874" t="s">
        <v>444</v>
      </c>
      <c r="AN8" s="874" t="s">
        <v>468</v>
      </c>
      <c r="AO8" s="874" t="s">
        <v>474</v>
      </c>
      <c r="AP8" s="874" t="s">
        <v>276</v>
      </c>
      <c r="AQ8" s="875">
        <v>1810619225</v>
      </c>
      <c r="AR8" s="875">
        <f t="shared" si="58"/>
        <v>1924688.236175</v>
      </c>
      <c r="AS8" s="875">
        <v>0</v>
      </c>
      <c r="AV8" s="862"/>
      <c r="AX8" s="874" t="s">
        <v>662</v>
      </c>
      <c r="AY8" s="874" t="s">
        <v>308</v>
      </c>
      <c r="AZ8" s="874" t="s">
        <v>447</v>
      </c>
      <c r="BA8" s="874" t="s">
        <v>447</v>
      </c>
      <c r="BB8" s="875">
        <v>602960959</v>
      </c>
      <c r="BC8" s="875">
        <f t="shared" si="0"/>
        <v>640947.49941699998</v>
      </c>
      <c r="BG8" s="874" t="s">
        <v>444</v>
      </c>
      <c r="BH8" s="874" t="s">
        <v>468</v>
      </c>
      <c r="BI8" s="874" t="s">
        <v>474</v>
      </c>
      <c r="BJ8" s="874" t="s">
        <v>276</v>
      </c>
      <c r="BK8" s="875">
        <v>0</v>
      </c>
      <c r="BL8" s="875">
        <v>474879832</v>
      </c>
      <c r="BM8" s="875">
        <v>391777463</v>
      </c>
      <c r="BN8" s="864">
        <f t="shared" si="1"/>
        <v>0</v>
      </c>
      <c r="BO8" s="864">
        <f t="shared" si="2"/>
        <v>504797.26141599996</v>
      </c>
      <c r="BP8" s="864">
        <f t="shared" si="3"/>
        <v>416459.44316899998</v>
      </c>
      <c r="BT8" s="602" t="s">
        <v>444</v>
      </c>
      <c r="BU8" s="602" t="s">
        <v>468</v>
      </c>
      <c r="BV8" s="602">
        <v>42406002</v>
      </c>
      <c r="BW8" s="602" t="s">
        <v>277</v>
      </c>
      <c r="BX8" s="603" t="s">
        <v>547</v>
      </c>
      <c r="BY8" s="604">
        <v>0</v>
      </c>
      <c r="BZ8" s="604">
        <v>-3369576</v>
      </c>
      <c r="CA8" s="604">
        <v>12195094</v>
      </c>
      <c r="CB8" s="862">
        <f t="shared" si="12"/>
        <v>0</v>
      </c>
      <c r="CC8" s="862">
        <f t="shared" si="13"/>
        <v>-3581.8592879999997</v>
      </c>
      <c r="CD8" s="862">
        <f t="shared" si="14"/>
        <v>12963.384921999999</v>
      </c>
      <c r="CH8" s="602" t="s">
        <v>444</v>
      </c>
      <c r="CI8" s="602" t="s">
        <v>468</v>
      </c>
      <c r="CJ8" s="602" t="s">
        <v>474</v>
      </c>
      <c r="CK8" s="602" t="s">
        <v>276</v>
      </c>
      <c r="CL8" s="604">
        <v>1810619225</v>
      </c>
      <c r="CM8" s="604">
        <v>0</v>
      </c>
      <c r="CN8" s="604">
        <v>0</v>
      </c>
      <c r="CO8" s="879">
        <f t="shared" si="15"/>
        <v>1924688.236175</v>
      </c>
      <c r="CP8" s="879">
        <f t="shared" si="16"/>
        <v>0</v>
      </c>
      <c r="CQ8" s="879">
        <f t="shared" si="17"/>
        <v>0</v>
      </c>
      <c r="CU8" s="602" t="s">
        <v>444</v>
      </c>
      <c r="CV8" s="602" t="s">
        <v>468</v>
      </c>
      <c r="CW8" s="602" t="s">
        <v>447</v>
      </c>
      <c r="CX8" s="602" t="s">
        <v>447</v>
      </c>
      <c r="CY8" s="604">
        <v>0</v>
      </c>
      <c r="CZ8" s="604">
        <v>0</v>
      </c>
      <c r="DA8" s="604">
        <v>0</v>
      </c>
      <c r="DB8" s="862">
        <f t="shared" si="18"/>
        <v>0</v>
      </c>
      <c r="DC8" s="862">
        <f t="shared" si="19"/>
        <v>0</v>
      </c>
      <c r="DD8" s="862">
        <f t="shared" si="20"/>
        <v>0</v>
      </c>
      <c r="DH8" s="602" t="s">
        <v>444</v>
      </c>
      <c r="DI8" s="602" t="s">
        <v>468</v>
      </c>
      <c r="DJ8" s="602" t="s">
        <v>474</v>
      </c>
      <c r="DK8" s="602" t="s">
        <v>276</v>
      </c>
      <c r="DL8" s="604">
        <v>1810619225</v>
      </c>
      <c r="DM8" s="604">
        <v>0</v>
      </c>
      <c r="DN8" s="604">
        <v>0</v>
      </c>
      <c r="DO8" s="862">
        <f t="shared" si="21"/>
        <v>1924688.236175</v>
      </c>
      <c r="DP8" s="862">
        <f t="shared" si="22"/>
        <v>0</v>
      </c>
      <c r="DQ8" s="862">
        <f t="shared" si="23"/>
        <v>0</v>
      </c>
      <c r="DU8" s="880" t="s">
        <v>451</v>
      </c>
      <c r="DV8" s="880" t="s">
        <v>470</v>
      </c>
      <c r="DW8" s="880" t="s">
        <v>447</v>
      </c>
      <c r="DX8" s="880" t="s">
        <v>447</v>
      </c>
      <c r="DY8" s="881" t="s">
        <v>547</v>
      </c>
      <c r="DZ8" s="882">
        <v>0</v>
      </c>
      <c r="EA8" s="882">
        <v>0</v>
      </c>
      <c r="EB8" s="882">
        <v>275067839</v>
      </c>
      <c r="EC8" s="883">
        <f t="shared" si="24"/>
        <v>0</v>
      </c>
      <c r="ED8" s="883">
        <f t="shared" si="25"/>
        <v>0</v>
      </c>
      <c r="EE8" s="883">
        <f t="shared" si="26"/>
        <v>292397.11285699997</v>
      </c>
      <c r="EI8" s="602" t="s">
        <v>444</v>
      </c>
      <c r="EJ8" s="602" t="s">
        <v>468</v>
      </c>
      <c r="EK8" s="602" t="s">
        <v>474</v>
      </c>
      <c r="EL8" s="602" t="s">
        <v>276</v>
      </c>
      <c r="EM8" s="602" t="s">
        <v>547</v>
      </c>
      <c r="EN8" s="602">
        <v>1810619225</v>
      </c>
      <c r="EO8" s="602">
        <v>0</v>
      </c>
      <c r="EP8" s="602">
        <v>0</v>
      </c>
      <c r="EQ8" s="884">
        <f t="shared" si="27"/>
        <v>1924688.236175</v>
      </c>
      <c r="ER8" s="884">
        <f t="shared" si="28"/>
        <v>0</v>
      </c>
      <c r="ES8" s="884">
        <f t="shared" si="29"/>
        <v>0</v>
      </c>
      <c r="EW8" s="602" t="s">
        <v>448</v>
      </c>
      <c r="EX8" s="602" t="s">
        <v>469</v>
      </c>
      <c r="EY8" s="602" t="s">
        <v>447</v>
      </c>
      <c r="EZ8" s="602" t="s">
        <v>447</v>
      </c>
      <c r="FA8" s="603" t="s">
        <v>547</v>
      </c>
      <c r="FB8" s="884">
        <v>0</v>
      </c>
      <c r="FC8" s="884">
        <v>0</v>
      </c>
      <c r="FD8" s="884">
        <v>4927611406</v>
      </c>
      <c r="FE8" s="884">
        <f t="shared" si="30"/>
        <v>0</v>
      </c>
      <c r="FF8" s="884">
        <f t="shared" si="31"/>
        <v>0</v>
      </c>
      <c r="FG8" s="884">
        <f t="shared" si="32"/>
        <v>5238050.9245779999</v>
      </c>
      <c r="FK8" s="602" t="s">
        <v>444</v>
      </c>
      <c r="FL8" s="602" t="s">
        <v>468</v>
      </c>
      <c r="FM8" s="602" t="s">
        <v>474</v>
      </c>
      <c r="FN8" s="602" t="s">
        <v>276</v>
      </c>
      <c r="FO8" s="602" t="s">
        <v>547</v>
      </c>
      <c r="FP8" s="884">
        <v>3848842225</v>
      </c>
      <c r="FQ8" s="884">
        <v>0</v>
      </c>
      <c r="FR8" s="884">
        <v>0</v>
      </c>
      <c r="FS8" s="862">
        <f t="shared" si="33"/>
        <v>4091319.2851749999</v>
      </c>
      <c r="FT8" s="862">
        <f t="shared" si="34"/>
        <v>0</v>
      </c>
      <c r="FU8" s="862">
        <f t="shared" si="35"/>
        <v>0</v>
      </c>
      <c r="FY8" s="602" t="s">
        <v>444</v>
      </c>
      <c r="FZ8" s="602" t="s">
        <v>468</v>
      </c>
      <c r="GA8" s="602" t="s">
        <v>445</v>
      </c>
      <c r="GB8" s="602" t="s">
        <v>277</v>
      </c>
      <c r="GC8" s="603" t="s">
        <v>547</v>
      </c>
      <c r="GD8" s="604">
        <v>0</v>
      </c>
      <c r="GE8" s="604">
        <v>0</v>
      </c>
      <c r="GF8" s="604">
        <v>0</v>
      </c>
      <c r="GG8" s="884">
        <f t="shared" si="36"/>
        <v>0</v>
      </c>
      <c r="GH8" s="884">
        <f t="shared" si="37"/>
        <v>0</v>
      </c>
      <c r="GI8" s="884">
        <f t="shared" si="38"/>
        <v>0</v>
      </c>
      <c r="GM8" s="885" t="s">
        <v>444</v>
      </c>
      <c r="GN8" s="886" t="s">
        <v>468</v>
      </c>
      <c r="GO8" s="885" t="s">
        <v>474</v>
      </c>
      <c r="GP8" s="885" t="s">
        <v>276</v>
      </c>
      <c r="GQ8" s="886" t="s">
        <v>547</v>
      </c>
      <c r="GR8" s="887">
        <v>3848842225</v>
      </c>
      <c r="GS8" s="887">
        <v>0</v>
      </c>
      <c r="GT8" s="887">
        <v>0</v>
      </c>
      <c r="GU8" s="887">
        <f t="shared" si="39"/>
        <v>4091319.2851749999</v>
      </c>
      <c r="GV8" s="887">
        <f t="shared" si="40"/>
        <v>0</v>
      </c>
      <c r="GW8" s="887">
        <f t="shared" si="41"/>
        <v>0</v>
      </c>
      <c r="HA8" s="602" t="s">
        <v>451</v>
      </c>
      <c r="HB8" s="602" t="s">
        <v>470</v>
      </c>
      <c r="HC8" s="602" t="s">
        <v>447</v>
      </c>
      <c r="HD8" s="602" t="s">
        <v>447</v>
      </c>
      <c r="HE8" s="603" t="s">
        <v>547</v>
      </c>
      <c r="HF8" s="604">
        <v>0</v>
      </c>
      <c r="HG8" s="604">
        <v>3995858070</v>
      </c>
      <c r="HH8" s="604">
        <v>3995858070</v>
      </c>
      <c r="HI8" s="604">
        <f t="shared" si="42"/>
        <v>0</v>
      </c>
      <c r="HJ8" s="604">
        <f t="shared" si="43"/>
        <v>3995858.07</v>
      </c>
      <c r="HK8" s="604">
        <f t="shared" si="44"/>
        <v>3995858.07</v>
      </c>
      <c r="HO8" s="885" t="s">
        <v>444</v>
      </c>
      <c r="HP8" s="885" t="s">
        <v>468</v>
      </c>
      <c r="HQ8" s="885" t="s">
        <v>474</v>
      </c>
      <c r="HR8" s="885" t="s">
        <v>276</v>
      </c>
      <c r="HS8" s="603" t="s">
        <v>547</v>
      </c>
      <c r="HT8" s="604">
        <v>3848842225</v>
      </c>
      <c r="HU8" s="604">
        <v>0</v>
      </c>
      <c r="HV8" s="604">
        <v>0</v>
      </c>
      <c r="HW8" s="862">
        <f t="shared" si="45"/>
        <v>3848842.2250000001</v>
      </c>
      <c r="HX8" s="862">
        <f t="shared" si="46"/>
        <v>0</v>
      </c>
      <c r="HY8" s="862">
        <f t="shared" si="47"/>
        <v>0</v>
      </c>
      <c r="IC8" s="602" t="s">
        <v>444</v>
      </c>
      <c r="ID8" s="602" t="s">
        <v>468</v>
      </c>
      <c r="IE8" s="602" t="s">
        <v>472</v>
      </c>
      <c r="IF8" s="602" t="s">
        <v>473</v>
      </c>
      <c r="IG8" s="603" t="s">
        <v>547</v>
      </c>
      <c r="IH8" s="604">
        <v>0</v>
      </c>
      <c r="II8" s="604">
        <v>-653589</v>
      </c>
      <c r="IJ8" s="604">
        <v>0</v>
      </c>
      <c r="IK8" s="883">
        <f t="shared" si="48"/>
        <v>0</v>
      </c>
      <c r="IL8" s="883">
        <f t="shared" si="49"/>
        <v>-653.58900000000006</v>
      </c>
      <c r="IM8" s="883">
        <f t="shared" si="50"/>
        <v>0</v>
      </c>
      <c r="IQ8" s="885" t="s">
        <v>444</v>
      </c>
      <c r="IR8" s="885" t="s">
        <v>468</v>
      </c>
      <c r="IS8" s="885" t="s">
        <v>474</v>
      </c>
      <c r="IT8" s="885" t="s">
        <v>276</v>
      </c>
      <c r="IU8" s="886" t="s">
        <v>547</v>
      </c>
      <c r="IV8" s="887">
        <v>4000860956</v>
      </c>
      <c r="IW8" s="887">
        <v>0</v>
      </c>
      <c r="IX8" s="887">
        <v>0</v>
      </c>
      <c r="IY8" s="888">
        <f t="shared" si="51"/>
        <v>4000860.9559999998</v>
      </c>
      <c r="IZ8" s="888">
        <f t="shared" si="52"/>
        <v>0</v>
      </c>
      <c r="JA8" s="888">
        <f t="shared" si="53"/>
        <v>0</v>
      </c>
      <c r="JE8" s="886" t="s">
        <v>544</v>
      </c>
      <c r="JF8" s="886" t="s">
        <v>545</v>
      </c>
      <c r="JG8" s="886" t="s">
        <v>447</v>
      </c>
      <c r="JH8" s="886" t="s">
        <v>447</v>
      </c>
      <c r="JI8" s="603" t="s">
        <v>547</v>
      </c>
      <c r="JJ8" s="604">
        <v>2839081410</v>
      </c>
      <c r="JK8" s="862">
        <f t="shared" si="54"/>
        <v>2839081.41</v>
      </c>
      <c r="JO8" s="884" t="s">
        <v>444</v>
      </c>
      <c r="JP8" s="884" t="s">
        <v>468</v>
      </c>
      <c r="JQ8" s="884" t="s">
        <v>474</v>
      </c>
      <c r="JR8" s="605" t="s">
        <v>276</v>
      </c>
      <c r="JS8" s="605" t="s">
        <v>547</v>
      </c>
      <c r="JT8" s="889">
        <v>4000860956</v>
      </c>
      <c r="JU8" s="889">
        <v>0</v>
      </c>
      <c r="JV8" s="889">
        <v>0</v>
      </c>
      <c r="JW8" s="863">
        <f t="shared" si="55"/>
        <v>4000860.9559999998</v>
      </c>
      <c r="JX8" s="863">
        <f t="shared" si="56"/>
        <v>0</v>
      </c>
      <c r="JY8" s="863">
        <f t="shared" si="57"/>
        <v>0</v>
      </c>
    </row>
    <row r="9" spans="1:287" ht="15" customHeight="1" x14ac:dyDescent="0.3">
      <c r="A9" s="872" t="s">
        <v>444</v>
      </c>
      <c r="B9" s="872" t="s">
        <v>468</v>
      </c>
      <c r="C9" s="872" t="s">
        <v>498</v>
      </c>
      <c r="D9" s="872" t="s">
        <v>343</v>
      </c>
      <c r="E9" s="873">
        <v>533745000</v>
      </c>
      <c r="F9" s="873">
        <f t="shared" si="7"/>
        <v>567370.93499999994</v>
      </c>
      <c r="G9" s="873">
        <v>0</v>
      </c>
      <c r="H9" s="873">
        <f t="shared" si="8"/>
        <v>0</v>
      </c>
      <c r="L9" s="874" t="s">
        <v>661</v>
      </c>
      <c r="M9" s="874" t="s">
        <v>305</v>
      </c>
      <c r="N9" s="874" t="s">
        <v>447</v>
      </c>
      <c r="O9" s="874" t="s">
        <v>447</v>
      </c>
      <c r="P9" s="875">
        <v>184070311</v>
      </c>
      <c r="Q9" s="875">
        <f t="shared" si="9"/>
        <v>195666.74059299997</v>
      </c>
      <c r="U9" s="874" t="s">
        <v>444</v>
      </c>
      <c r="V9" s="874" t="s">
        <v>468</v>
      </c>
      <c r="W9" s="874" t="s">
        <v>471</v>
      </c>
      <c r="X9" s="874" t="s">
        <v>279</v>
      </c>
      <c r="Y9" s="875">
        <v>2400000</v>
      </c>
      <c r="Z9" s="875">
        <f t="shared" si="10"/>
        <v>2551.1999999999998</v>
      </c>
      <c r="AD9" s="874" t="s">
        <v>444</v>
      </c>
      <c r="AE9" s="874" t="s">
        <v>468</v>
      </c>
      <c r="AF9" s="874" t="s">
        <v>446</v>
      </c>
      <c r="AG9" s="876" t="s">
        <v>322</v>
      </c>
      <c r="AH9" s="875">
        <v>103312</v>
      </c>
      <c r="AI9" s="875">
        <f t="shared" si="11"/>
        <v>109.82065599999999</v>
      </c>
      <c r="AM9" s="874" t="s">
        <v>444</v>
      </c>
      <c r="AN9" s="874" t="s">
        <v>468</v>
      </c>
      <c r="AO9" s="874" t="s">
        <v>498</v>
      </c>
      <c r="AP9" s="874" t="s">
        <v>343</v>
      </c>
      <c r="AQ9" s="875">
        <v>533745000</v>
      </c>
      <c r="AR9" s="875">
        <f t="shared" si="58"/>
        <v>567370.93499999994</v>
      </c>
      <c r="AS9" s="875">
        <v>0</v>
      </c>
      <c r="AV9" s="862"/>
      <c r="AX9" s="874" t="s">
        <v>663</v>
      </c>
      <c r="AY9" s="874" t="s">
        <v>266</v>
      </c>
      <c r="AZ9" s="874" t="s">
        <v>447</v>
      </c>
      <c r="BA9" s="874" t="s">
        <v>447</v>
      </c>
      <c r="BB9" s="875">
        <v>450709000</v>
      </c>
      <c r="BC9" s="875">
        <f t="shared" si="0"/>
        <v>479103.66699999996</v>
      </c>
      <c r="BG9" s="874" t="s">
        <v>444</v>
      </c>
      <c r="BH9" s="874" t="s">
        <v>468</v>
      </c>
      <c r="BI9" s="874" t="s">
        <v>445</v>
      </c>
      <c r="BJ9" s="874" t="s">
        <v>277</v>
      </c>
      <c r="BK9" s="875">
        <v>315806000</v>
      </c>
      <c r="BL9" s="875">
        <v>0</v>
      </c>
      <c r="BM9" s="875">
        <v>0</v>
      </c>
      <c r="BN9" s="864">
        <f t="shared" si="1"/>
        <v>335701.77799999999</v>
      </c>
      <c r="BO9" s="864">
        <f t="shared" si="2"/>
        <v>0</v>
      </c>
      <c r="BP9" s="864">
        <f t="shared" si="3"/>
        <v>0</v>
      </c>
      <c r="BT9" s="602" t="s">
        <v>444</v>
      </c>
      <c r="BU9" s="602" t="s">
        <v>468</v>
      </c>
      <c r="BV9" s="602" t="s">
        <v>447</v>
      </c>
      <c r="BW9" s="602" t="s">
        <v>447</v>
      </c>
      <c r="BX9" s="603" t="s">
        <v>547</v>
      </c>
      <c r="BY9" s="604">
        <v>0</v>
      </c>
      <c r="BZ9" s="604">
        <v>0</v>
      </c>
      <c r="CA9" s="604">
        <v>0</v>
      </c>
      <c r="CB9" s="862">
        <f t="shared" si="12"/>
        <v>0</v>
      </c>
      <c r="CC9" s="862">
        <f t="shared" si="13"/>
        <v>0</v>
      </c>
      <c r="CD9" s="862">
        <f t="shared" si="14"/>
        <v>0</v>
      </c>
      <c r="CH9" s="602" t="s">
        <v>444</v>
      </c>
      <c r="CI9" s="602" t="s">
        <v>468</v>
      </c>
      <c r="CJ9" s="602" t="s">
        <v>498</v>
      </c>
      <c r="CK9" s="602" t="s">
        <v>343</v>
      </c>
      <c r="CL9" s="604">
        <v>533745000</v>
      </c>
      <c r="CM9" s="604">
        <v>0</v>
      </c>
      <c r="CN9" s="604">
        <v>0</v>
      </c>
      <c r="CO9" s="879">
        <f t="shared" si="15"/>
        <v>567370.93499999994</v>
      </c>
      <c r="CP9" s="879">
        <f t="shared" si="16"/>
        <v>0</v>
      </c>
      <c r="CQ9" s="879">
        <f t="shared" si="17"/>
        <v>0</v>
      </c>
      <c r="CU9" s="602" t="s">
        <v>444</v>
      </c>
      <c r="CV9" s="602" t="s">
        <v>468</v>
      </c>
      <c r="CW9" s="602" t="s">
        <v>474</v>
      </c>
      <c r="CX9" s="602" t="s">
        <v>276</v>
      </c>
      <c r="CY9" s="604">
        <v>0</v>
      </c>
      <c r="CZ9" s="604">
        <v>0</v>
      </c>
      <c r="DA9" s="604">
        <v>60102369</v>
      </c>
      <c r="DB9" s="862">
        <f t="shared" si="18"/>
        <v>0</v>
      </c>
      <c r="DC9" s="862">
        <f t="shared" si="19"/>
        <v>0</v>
      </c>
      <c r="DD9" s="862">
        <f t="shared" si="20"/>
        <v>63888.818246999996</v>
      </c>
      <c r="DH9" s="602" t="s">
        <v>444</v>
      </c>
      <c r="DI9" s="602" t="s">
        <v>468</v>
      </c>
      <c r="DJ9" s="602" t="s">
        <v>498</v>
      </c>
      <c r="DK9" s="602" t="s">
        <v>343</v>
      </c>
      <c r="DL9" s="604">
        <v>533745000</v>
      </c>
      <c r="DM9" s="604">
        <v>0</v>
      </c>
      <c r="DN9" s="604">
        <v>0</v>
      </c>
      <c r="DO9" s="862">
        <f t="shared" si="21"/>
        <v>567370.93499999994</v>
      </c>
      <c r="DP9" s="862">
        <f t="shared" si="22"/>
        <v>0</v>
      </c>
      <c r="DQ9" s="862">
        <f t="shared" si="23"/>
        <v>0</v>
      </c>
      <c r="DU9" s="880" t="s">
        <v>659</v>
      </c>
      <c r="DV9" s="880" t="s">
        <v>221</v>
      </c>
      <c r="DW9" s="880" t="s">
        <v>447</v>
      </c>
      <c r="DX9" s="880" t="s">
        <v>447</v>
      </c>
      <c r="DY9" s="881" t="s">
        <v>547</v>
      </c>
      <c r="DZ9" s="882">
        <v>0</v>
      </c>
      <c r="EA9" s="882">
        <v>1485932961</v>
      </c>
      <c r="EB9" s="882">
        <v>1001560428</v>
      </c>
      <c r="EC9" s="883">
        <f t="shared" si="24"/>
        <v>0</v>
      </c>
      <c r="ED9" s="883">
        <f t="shared" si="25"/>
        <v>1579546.7375429999</v>
      </c>
      <c r="EE9" s="883">
        <f t="shared" si="26"/>
        <v>1064658.7349639998</v>
      </c>
      <c r="EI9" s="602" t="s">
        <v>444</v>
      </c>
      <c r="EJ9" s="602" t="s">
        <v>468</v>
      </c>
      <c r="EK9" s="602" t="s">
        <v>498</v>
      </c>
      <c r="EL9" s="602" t="s">
        <v>343</v>
      </c>
      <c r="EM9" s="602" t="s">
        <v>547</v>
      </c>
      <c r="EN9" s="602">
        <v>533745000</v>
      </c>
      <c r="EO9" s="602">
        <v>0</v>
      </c>
      <c r="EP9" s="602">
        <v>0</v>
      </c>
      <c r="EQ9" s="884">
        <f t="shared" si="27"/>
        <v>567370.93499999994</v>
      </c>
      <c r="ER9" s="884">
        <f t="shared" si="28"/>
        <v>0</v>
      </c>
      <c r="ES9" s="884">
        <f t="shared" si="29"/>
        <v>0</v>
      </c>
      <c r="EW9" s="602" t="s">
        <v>451</v>
      </c>
      <c r="EX9" s="602" t="s">
        <v>470</v>
      </c>
      <c r="EY9" s="602" t="s">
        <v>447</v>
      </c>
      <c r="EZ9" s="602" t="s">
        <v>447</v>
      </c>
      <c r="FA9" s="603" t="s">
        <v>547</v>
      </c>
      <c r="FB9" s="884">
        <v>4640791000</v>
      </c>
      <c r="FC9" s="884">
        <v>0</v>
      </c>
      <c r="FD9" s="884">
        <v>0</v>
      </c>
      <c r="FE9" s="884">
        <f t="shared" si="30"/>
        <v>4933160.8329999996</v>
      </c>
      <c r="FF9" s="884">
        <f t="shared" si="31"/>
        <v>0</v>
      </c>
      <c r="FG9" s="884">
        <f t="shared" si="32"/>
        <v>0</v>
      </c>
      <c r="FK9" s="602" t="s">
        <v>444</v>
      </c>
      <c r="FL9" s="602" t="s">
        <v>468</v>
      </c>
      <c r="FM9" s="602" t="s">
        <v>498</v>
      </c>
      <c r="FN9" s="602" t="s">
        <v>343</v>
      </c>
      <c r="FO9" s="602" t="s">
        <v>547</v>
      </c>
      <c r="FP9" s="884">
        <v>533745000</v>
      </c>
      <c r="FQ9" s="884">
        <v>0</v>
      </c>
      <c r="FR9" s="884">
        <v>0</v>
      </c>
      <c r="FS9" s="862">
        <f t="shared" si="33"/>
        <v>567370.93499999994</v>
      </c>
      <c r="FT9" s="862">
        <f t="shared" si="34"/>
        <v>0</v>
      </c>
      <c r="FU9" s="862">
        <f t="shared" si="35"/>
        <v>0</v>
      </c>
      <c r="FY9" s="602" t="s">
        <v>444</v>
      </c>
      <c r="FZ9" s="602" t="s">
        <v>468</v>
      </c>
      <c r="GA9" s="602" t="s">
        <v>446</v>
      </c>
      <c r="GB9" s="602" t="s">
        <v>322</v>
      </c>
      <c r="GC9" s="603" t="s">
        <v>547</v>
      </c>
      <c r="GD9" s="604">
        <v>0</v>
      </c>
      <c r="GE9" s="604">
        <v>-22516</v>
      </c>
      <c r="GF9" s="604">
        <v>77484</v>
      </c>
      <c r="GG9" s="884">
        <f t="shared" si="36"/>
        <v>0</v>
      </c>
      <c r="GH9" s="884">
        <f t="shared" si="37"/>
        <v>-23.934507999999997</v>
      </c>
      <c r="GI9" s="884">
        <f t="shared" si="38"/>
        <v>82.365491999999989</v>
      </c>
      <c r="GM9" s="885" t="s">
        <v>444</v>
      </c>
      <c r="GN9" s="886" t="s">
        <v>468</v>
      </c>
      <c r="GO9" s="885" t="s">
        <v>498</v>
      </c>
      <c r="GP9" s="885" t="s">
        <v>343</v>
      </c>
      <c r="GQ9" s="886" t="s">
        <v>547</v>
      </c>
      <c r="GR9" s="887">
        <v>533745000</v>
      </c>
      <c r="GS9" s="887">
        <v>0</v>
      </c>
      <c r="GT9" s="887">
        <v>0</v>
      </c>
      <c r="GU9" s="887">
        <f t="shared" si="39"/>
        <v>567370.93499999994</v>
      </c>
      <c r="GV9" s="887">
        <f t="shared" si="40"/>
        <v>0</v>
      </c>
      <c r="GW9" s="887">
        <f t="shared" si="41"/>
        <v>0</v>
      </c>
      <c r="HA9" s="602" t="s">
        <v>451</v>
      </c>
      <c r="HB9" s="602" t="s">
        <v>470</v>
      </c>
      <c r="HC9" s="602" t="s">
        <v>447</v>
      </c>
      <c r="HD9" s="602" t="s">
        <v>447</v>
      </c>
      <c r="HE9" s="603" t="s">
        <v>547</v>
      </c>
      <c r="HF9" s="604">
        <v>0</v>
      </c>
      <c r="HG9" s="604">
        <v>294599653</v>
      </c>
      <c r="HH9" s="604">
        <v>546615976</v>
      </c>
      <c r="HI9" s="604">
        <f t="shared" si="42"/>
        <v>0</v>
      </c>
      <c r="HJ9" s="604">
        <f t="shared" si="43"/>
        <v>294599.65299999999</v>
      </c>
      <c r="HK9" s="604">
        <f t="shared" si="44"/>
        <v>546615.97600000002</v>
      </c>
      <c r="HO9" s="885" t="s">
        <v>444</v>
      </c>
      <c r="HP9" s="885" t="s">
        <v>468</v>
      </c>
      <c r="HQ9" s="885" t="s">
        <v>498</v>
      </c>
      <c r="HR9" s="885" t="s">
        <v>343</v>
      </c>
      <c r="HS9" s="603" t="s">
        <v>547</v>
      </c>
      <c r="HT9" s="604">
        <v>533745000</v>
      </c>
      <c r="HU9" s="604">
        <v>0</v>
      </c>
      <c r="HV9" s="604">
        <v>0</v>
      </c>
      <c r="HW9" s="862">
        <f t="shared" si="45"/>
        <v>533745</v>
      </c>
      <c r="HX9" s="862">
        <f t="shared" si="46"/>
        <v>0</v>
      </c>
      <c r="HY9" s="862">
        <f t="shared" si="47"/>
        <v>0</v>
      </c>
      <c r="IC9" s="602" t="s">
        <v>444</v>
      </c>
      <c r="ID9" s="602" t="s">
        <v>468</v>
      </c>
      <c r="IE9" s="602" t="s">
        <v>446</v>
      </c>
      <c r="IF9" s="602" t="s">
        <v>322</v>
      </c>
      <c r="IG9" s="603" t="s">
        <v>547</v>
      </c>
      <c r="IH9" s="604">
        <v>0</v>
      </c>
      <c r="II9" s="604">
        <v>-642459</v>
      </c>
      <c r="IJ9" s="604">
        <v>25828</v>
      </c>
      <c r="IK9" s="883">
        <f t="shared" si="48"/>
        <v>0</v>
      </c>
      <c r="IL9" s="883">
        <f t="shared" si="49"/>
        <v>-642.45899999999995</v>
      </c>
      <c r="IM9" s="883">
        <f t="shared" si="50"/>
        <v>25.827999999999999</v>
      </c>
      <c r="IQ9" s="885" t="s">
        <v>444</v>
      </c>
      <c r="IR9" s="885" t="s">
        <v>468</v>
      </c>
      <c r="IS9" s="885" t="s">
        <v>498</v>
      </c>
      <c r="IT9" s="885" t="s">
        <v>343</v>
      </c>
      <c r="IU9" s="886" t="s">
        <v>547</v>
      </c>
      <c r="IV9" s="887">
        <v>533745000</v>
      </c>
      <c r="IW9" s="887">
        <v>0</v>
      </c>
      <c r="IX9" s="887">
        <v>0</v>
      </c>
      <c r="IY9" s="888">
        <f t="shared" si="51"/>
        <v>533745</v>
      </c>
      <c r="IZ9" s="888">
        <f t="shared" si="52"/>
        <v>0</v>
      </c>
      <c r="JA9" s="888">
        <f t="shared" si="53"/>
        <v>0</v>
      </c>
      <c r="JE9" s="886" t="s">
        <v>506</v>
      </c>
      <c r="JF9" s="886" t="s">
        <v>507</v>
      </c>
      <c r="JG9" s="886" t="s">
        <v>447</v>
      </c>
      <c r="JH9" s="886" t="s">
        <v>447</v>
      </c>
      <c r="JI9" s="603" t="s">
        <v>547</v>
      </c>
      <c r="JJ9" s="604">
        <v>881025000</v>
      </c>
      <c r="JK9" s="862">
        <f t="shared" si="54"/>
        <v>881025</v>
      </c>
      <c r="JO9" s="884" t="s">
        <v>444</v>
      </c>
      <c r="JP9" s="884" t="s">
        <v>468</v>
      </c>
      <c r="JQ9" s="884" t="s">
        <v>498</v>
      </c>
      <c r="JR9" s="605" t="s">
        <v>343</v>
      </c>
      <c r="JS9" s="605" t="s">
        <v>547</v>
      </c>
      <c r="JT9" s="889">
        <v>533745000</v>
      </c>
      <c r="JU9" s="889">
        <v>0</v>
      </c>
      <c r="JV9" s="889">
        <v>0</v>
      </c>
      <c r="JW9" s="863">
        <f t="shared" si="55"/>
        <v>533745</v>
      </c>
      <c r="JX9" s="863">
        <f t="shared" si="56"/>
        <v>0</v>
      </c>
      <c r="JY9" s="863">
        <f t="shared" si="57"/>
        <v>0</v>
      </c>
    </row>
    <row r="10" spans="1:287" ht="15" customHeight="1" x14ac:dyDescent="0.3">
      <c r="A10" s="872" t="s">
        <v>444</v>
      </c>
      <c r="B10" s="872" t="s">
        <v>468</v>
      </c>
      <c r="C10" s="872" t="s">
        <v>445</v>
      </c>
      <c r="D10" s="872" t="s">
        <v>277</v>
      </c>
      <c r="E10" s="873">
        <v>315806000</v>
      </c>
      <c r="F10" s="873">
        <f t="shared" si="7"/>
        <v>335701.77799999999</v>
      </c>
      <c r="G10" s="873">
        <v>0</v>
      </c>
      <c r="H10" s="873">
        <f t="shared" si="8"/>
        <v>0</v>
      </c>
      <c r="L10" s="874" t="s">
        <v>662</v>
      </c>
      <c r="M10" s="874" t="s">
        <v>308</v>
      </c>
      <c r="N10" s="874" t="s">
        <v>447</v>
      </c>
      <c r="O10" s="874" t="s">
        <v>447</v>
      </c>
      <c r="P10" s="875">
        <v>709894420</v>
      </c>
      <c r="Q10" s="875">
        <f t="shared" si="9"/>
        <v>754617.76846000005</v>
      </c>
      <c r="U10" s="874" t="s">
        <v>444</v>
      </c>
      <c r="V10" s="874" t="s">
        <v>468</v>
      </c>
      <c r="W10" s="874" t="s">
        <v>446</v>
      </c>
      <c r="X10" s="874" t="s">
        <v>322</v>
      </c>
      <c r="Y10" s="875">
        <v>1500000</v>
      </c>
      <c r="Z10" s="875">
        <f t="shared" si="10"/>
        <v>1594.5</v>
      </c>
      <c r="AD10" s="874" t="s">
        <v>451</v>
      </c>
      <c r="AE10" s="874" t="s">
        <v>470</v>
      </c>
      <c r="AF10" s="874" t="s">
        <v>447</v>
      </c>
      <c r="AG10" s="874" t="s">
        <v>447</v>
      </c>
      <c r="AH10" s="875">
        <v>257386764</v>
      </c>
      <c r="AI10" s="875">
        <f t="shared" si="11"/>
        <v>273602.13013199996</v>
      </c>
      <c r="AM10" s="874" t="s">
        <v>444</v>
      </c>
      <c r="AN10" s="874" t="s">
        <v>468</v>
      </c>
      <c r="AO10" s="874" t="s">
        <v>445</v>
      </c>
      <c r="AP10" s="874" t="s">
        <v>277</v>
      </c>
      <c r="AQ10" s="875">
        <v>315806000</v>
      </c>
      <c r="AR10" s="875">
        <f t="shared" si="58"/>
        <v>335701.77799999999</v>
      </c>
      <c r="AS10" s="875">
        <v>0</v>
      </c>
      <c r="AV10" s="862"/>
      <c r="AX10" s="874" t="s">
        <v>664</v>
      </c>
      <c r="AY10" s="874" t="s">
        <v>267</v>
      </c>
      <c r="AZ10" s="874" t="s">
        <v>447</v>
      </c>
      <c r="BA10" s="874" t="s">
        <v>447</v>
      </c>
      <c r="BB10" s="875">
        <v>196735333</v>
      </c>
      <c r="BC10" s="875">
        <f t="shared" si="0"/>
        <v>209129.658979</v>
      </c>
      <c r="BG10" s="874" t="s">
        <v>444</v>
      </c>
      <c r="BH10" s="874" t="s">
        <v>468</v>
      </c>
      <c r="BI10" s="874" t="s">
        <v>445</v>
      </c>
      <c r="BJ10" s="874" t="s">
        <v>277</v>
      </c>
      <c r="BK10" s="875">
        <v>0</v>
      </c>
      <c r="BL10" s="875">
        <v>203211915</v>
      </c>
      <c r="BM10" s="875">
        <v>90739914</v>
      </c>
      <c r="BN10" s="864">
        <f t="shared" si="1"/>
        <v>0</v>
      </c>
      <c r="BO10" s="864">
        <f t="shared" si="2"/>
        <v>216014.26564500001</v>
      </c>
      <c r="BP10" s="864">
        <f t="shared" si="3"/>
        <v>96456.528581999999</v>
      </c>
      <c r="BT10" s="602" t="s">
        <v>451</v>
      </c>
      <c r="BU10" s="602" t="s">
        <v>470</v>
      </c>
      <c r="BV10" s="602" t="s">
        <v>447</v>
      </c>
      <c r="BW10" s="602" t="s">
        <v>447</v>
      </c>
      <c r="BX10" s="603" t="s">
        <v>547</v>
      </c>
      <c r="BY10" s="604">
        <v>0</v>
      </c>
      <c r="BZ10" s="604">
        <v>564724830</v>
      </c>
      <c r="CA10" s="604">
        <v>500265478</v>
      </c>
      <c r="CB10" s="862">
        <f t="shared" si="12"/>
        <v>0</v>
      </c>
      <c r="CC10" s="862">
        <f t="shared" si="13"/>
        <v>600302.49428999994</v>
      </c>
      <c r="CD10" s="862">
        <f t="shared" si="14"/>
        <v>531782.20311400003</v>
      </c>
      <c r="CH10" s="602" t="s">
        <v>444</v>
      </c>
      <c r="CI10" s="602" t="s">
        <v>468</v>
      </c>
      <c r="CJ10" s="602" t="s">
        <v>445</v>
      </c>
      <c r="CK10" s="602" t="s">
        <v>277</v>
      </c>
      <c r="CL10" s="604">
        <v>315806000</v>
      </c>
      <c r="CM10" s="604">
        <v>0</v>
      </c>
      <c r="CN10" s="604">
        <v>0</v>
      </c>
      <c r="CO10" s="879">
        <f t="shared" si="15"/>
        <v>335701.77799999999</v>
      </c>
      <c r="CP10" s="879">
        <f t="shared" si="16"/>
        <v>0</v>
      </c>
      <c r="CQ10" s="879">
        <f t="shared" si="17"/>
        <v>0</v>
      </c>
      <c r="CU10" s="602" t="s">
        <v>451</v>
      </c>
      <c r="CV10" s="602" t="s">
        <v>470</v>
      </c>
      <c r="CW10" s="602" t="s">
        <v>447</v>
      </c>
      <c r="CX10" s="602" t="s">
        <v>447</v>
      </c>
      <c r="CY10" s="604">
        <v>3539367000</v>
      </c>
      <c r="CZ10" s="604">
        <v>0</v>
      </c>
      <c r="DA10" s="604">
        <v>0</v>
      </c>
      <c r="DB10" s="862">
        <f t="shared" si="18"/>
        <v>3762347.1209999998</v>
      </c>
      <c r="DC10" s="862">
        <f t="shared" si="19"/>
        <v>0</v>
      </c>
      <c r="DD10" s="862">
        <f t="shared" si="20"/>
        <v>0</v>
      </c>
      <c r="DH10" s="602" t="s">
        <v>444</v>
      </c>
      <c r="DI10" s="602" t="s">
        <v>468</v>
      </c>
      <c r="DJ10" s="602" t="s">
        <v>445</v>
      </c>
      <c r="DK10" s="602" t="s">
        <v>277</v>
      </c>
      <c r="DL10" s="604">
        <v>315806000</v>
      </c>
      <c r="DM10" s="604">
        <v>0</v>
      </c>
      <c r="DN10" s="604">
        <v>0</v>
      </c>
      <c r="DO10" s="862">
        <f t="shared" si="21"/>
        <v>335701.77799999999</v>
      </c>
      <c r="DP10" s="862">
        <f t="shared" si="22"/>
        <v>0</v>
      </c>
      <c r="DQ10" s="862">
        <f t="shared" si="23"/>
        <v>0</v>
      </c>
      <c r="DU10" s="880" t="s">
        <v>660</v>
      </c>
      <c r="DV10" s="880" t="s">
        <v>154</v>
      </c>
      <c r="DW10" s="880" t="s">
        <v>447</v>
      </c>
      <c r="DX10" s="880" t="s">
        <v>447</v>
      </c>
      <c r="DY10" s="881" t="s">
        <v>547</v>
      </c>
      <c r="DZ10" s="882">
        <v>0</v>
      </c>
      <c r="EA10" s="882">
        <v>13983550232</v>
      </c>
      <c r="EB10" s="882">
        <v>1220526691</v>
      </c>
      <c r="EC10" s="883">
        <f t="shared" si="24"/>
        <v>0</v>
      </c>
      <c r="ED10" s="883">
        <f t="shared" si="25"/>
        <v>14864513.896616001</v>
      </c>
      <c r="EE10" s="883">
        <f t="shared" si="26"/>
        <v>1297419.8725330001</v>
      </c>
      <c r="EI10" s="602" t="s">
        <v>444</v>
      </c>
      <c r="EJ10" s="602" t="s">
        <v>468</v>
      </c>
      <c r="EK10" s="602" t="s">
        <v>445</v>
      </c>
      <c r="EL10" s="602" t="s">
        <v>277</v>
      </c>
      <c r="EM10" s="602" t="s">
        <v>547</v>
      </c>
      <c r="EN10" s="602">
        <v>315806000</v>
      </c>
      <c r="EO10" s="602">
        <v>0</v>
      </c>
      <c r="EP10" s="602">
        <v>0</v>
      </c>
      <c r="EQ10" s="884">
        <f t="shared" si="27"/>
        <v>335701.77799999999</v>
      </c>
      <c r="ER10" s="884">
        <f t="shared" si="28"/>
        <v>0</v>
      </c>
      <c r="ES10" s="884">
        <f t="shared" si="29"/>
        <v>0</v>
      </c>
      <c r="EW10" s="602" t="s">
        <v>451</v>
      </c>
      <c r="EX10" s="602" t="s">
        <v>470</v>
      </c>
      <c r="EY10" s="602" t="s">
        <v>447</v>
      </c>
      <c r="EZ10" s="602" t="s">
        <v>447</v>
      </c>
      <c r="FA10" s="603" t="s">
        <v>547</v>
      </c>
      <c r="FB10" s="884">
        <v>0</v>
      </c>
      <c r="FC10" s="884">
        <v>154438551</v>
      </c>
      <c r="FD10" s="884">
        <v>139369394</v>
      </c>
      <c r="FE10" s="884">
        <f t="shared" si="30"/>
        <v>0</v>
      </c>
      <c r="FF10" s="884">
        <f t="shared" si="31"/>
        <v>164168.17971299999</v>
      </c>
      <c r="FG10" s="884">
        <f t="shared" si="32"/>
        <v>148149.66582199998</v>
      </c>
      <c r="FK10" s="602" t="s">
        <v>444</v>
      </c>
      <c r="FL10" s="602" t="s">
        <v>468</v>
      </c>
      <c r="FM10" s="602" t="s">
        <v>445</v>
      </c>
      <c r="FN10" s="602" t="s">
        <v>277</v>
      </c>
      <c r="FO10" s="602" t="s">
        <v>547</v>
      </c>
      <c r="FP10" s="884">
        <v>315806000</v>
      </c>
      <c r="FQ10" s="884">
        <v>0</v>
      </c>
      <c r="FR10" s="884">
        <v>0</v>
      </c>
      <c r="FS10" s="862">
        <f t="shared" si="33"/>
        <v>335701.77799999999</v>
      </c>
      <c r="FT10" s="862">
        <f t="shared" si="34"/>
        <v>0</v>
      </c>
      <c r="FU10" s="862">
        <f t="shared" si="35"/>
        <v>0</v>
      </c>
      <c r="FY10" s="602" t="s">
        <v>448</v>
      </c>
      <c r="FZ10" s="602" t="s">
        <v>469</v>
      </c>
      <c r="GA10" s="602" t="s">
        <v>447</v>
      </c>
      <c r="GB10" s="602" t="s">
        <v>447</v>
      </c>
      <c r="GC10" s="603" t="s">
        <v>547</v>
      </c>
      <c r="GD10" s="604">
        <v>0</v>
      </c>
      <c r="GE10" s="604">
        <v>0</v>
      </c>
      <c r="GF10" s="604">
        <v>1640153227</v>
      </c>
      <c r="GG10" s="884">
        <f t="shared" si="36"/>
        <v>0</v>
      </c>
      <c r="GH10" s="884">
        <f t="shared" si="37"/>
        <v>0</v>
      </c>
      <c r="GI10" s="884">
        <f t="shared" si="38"/>
        <v>1743482.8803009999</v>
      </c>
      <c r="GM10" s="885" t="s">
        <v>444</v>
      </c>
      <c r="GN10" s="886" t="s">
        <v>468</v>
      </c>
      <c r="GO10" s="885" t="s">
        <v>445</v>
      </c>
      <c r="GP10" s="885" t="s">
        <v>277</v>
      </c>
      <c r="GQ10" s="886" t="s">
        <v>547</v>
      </c>
      <c r="GR10" s="887">
        <v>315806000</v>
      </c>
      <c r="GS10" s="887">
        <v>0</v>
      </c>
      <c r="GT10" s="887">
        <v>0</v>
      </c>
      <c r="GU10" s="887">
        <f t="shared" si="39"/>
        <v>335701.77799999999</v>
      </c>
      <c r="GV10" s="887">
        <f t="shared" si="40"/>
        <v>0</v>
      </c>
      <c r="GW10" s="887">
        <f t="shared" si="41"/>
        <v>0</v>
      </c>
      <c r="HA10" s="602" t="s">
        <v>659</v>
      </c>
      <c r="HB10" s="602" t="s">
        <v>221</v>
      </c>
      <c r="HC10" s="602" t="s">
        <v>447</v>
      </c>
      <c r="HD10" s="602" t="s">
        <v>447</v>
      </c>
      <c r="HE10" s="603" t="s">
        <v>547</v>
      </c>
      <c r="HF10" s="604">
        <v>0</v>
      </c>
      <c r="HG10" s="604">
        <v>785950588</v>
      </c>
      <c r="HH10" s="604">
        <v>558900001</v>
      </c>
      <c r="HI10" s="604">
        <f t="shared" si="42"/>
        <v>0</v>
      </c>
      <c r="HJ10" s="604">
        <f t="shared" si="43"/>
        <v>785950.58799999999</v>
      </c>
      <c r="HK10" s="604">
        <f t="shared" si="44"/>
        <v>558900.00100000005</v>
      </c>
      <c r="HO10" s="885" t="s">
        <v>444</v>
      </c>
      <c r="HP10" s="885" t="s">
        <v>468</v>
      </c>
      <c r="HQ10" s="885" t="s">
        <v>445</v>
      </c>
      <c r="HR10" s="885" t="s">
        <v>277</v>
      </c>
      <c r="HS10" s="603" t="s">
        <v>547</v>
      </c>
      <c r="HT10" s="604">
        <v>315806000</v>
      </c>
      <c r="HU10" s="604">
        <v>0</v>
      </c>
      <c r="HV10" s="604">
        <v>0</v>
      </c>
      <c r="HW10" s="862">
        <f t="shared" si="45"/>
        <v>315806</v>
      </c>
      <c r="HX10" s="862">
        <f t="shared" si="46"/>
        <v>0</v>
      </c>
      <c r="HY10" s="862">
        <f t="shared" si="47"/>
        <v>0</v>
      </c>
      <c r="IC10" s="602" t="s">
        <v>444</v>
      </c>
      <c r="ID10" s="602" t="s">
        <v>468</v>
      </c>
      <c r="IE10" s="602" t="s">
        <v>498</v>
      </c>
      <c r="IF10" s="602" t="s">
        <v>343</v>
      </c>
      <c r="IG10" s="603" t="s">
        <v>547</v>
      </c>
      <c r="IH10" s="604">
        <v>0</v>
      </c>
      <c r="II10" s="604">
        <v>502948968</v>
      </c>
      <c r="IJ10" s="604">
        <v>357211720</v>
      </c>
      <c r="IK10" s="883">
        <f t="shared" si="48"/>
        <v>0</v>
      </c>
      <c r="IL10" s="883">
        <f t="shared" si="49"/>
        <v>502948.96799999999</v>
      </c>
      <c r="IM10" s="883">
        <f t="shared" si="50"/>
        <v>357211.72</v>
      </c>
      <c r="IQ10" s="885" t="s">
        <v>444</v>
      </c>
      <c r="IR10" s="885" t="s">
        <v>468</v>
      </c>
      <c r="IS10" s="885" t="s">
        <v>445</v>
      </c>
      <c r="IT10" s="885" t="s">
        <v>277</v>
      </c>
      <c r="IU10" s="886" t="s">
        <v>547</v>
      </c>
      <c r="IV10" s="887">
        <v>244576737</v>
      </c>
      <c r="IW10" s="887">
        <v>0</v>
      </c>
      <c r="IX10" s="887">
        <v>0</v>
      </c>
      <c r="IY10" s="888">
        <f t="shared" si="51"/>
        <v>244576.73699999999</v>
      </c>
      <c r="IZ10" s="888">
        <f t="shared" si="52"/>
        <v>0</v>
      </c>
      <c r="JA10" s="888">
        <f t="shared" si="53"/>
        <v>0</v>
      </c>
      <c r="JE10" s="886" t="s">
        <v>448</v>
      </c>
      <c r="JF10" s="886" t="s">
        <v>469</v>
      </c>
      <c r="JG10" s="886" t="s">
        <v>447</v>
      </c>
      <c r="JH10" s="886" t="s">
        <v>447</v>
      </c>
      <c r="JI10" s="603" t="s">
        <v>547</v>
      </c>
      <c r="JJ10" s="604">
        <v>440175735</v>
      </c>
      <c r="JK10" s="862">
        <f t="shared" si="54"/>
        <v>440175.73499999999</v>
      </c>
      <c r="JO10" s="884" t="s">
        <v>444</v>
      </c>
      <c r="JP10" s="884" t="s">
        <v>468</v>
      </c>
      <c r="JQ10" s="884" t="s">
        <v>445</v>
      </c>
      <c r="JR10" s="605" t="s">
        <v>277</v>
      </c>
      <c r="JS10" s="605" t="s">
        <v>547</v>
      </c>
      <c r="JT10" s="889">
        <v>244571942</v>
      </c>
      <c r="JU10" s="889">
        <v>0</v>
      </c>
      <c r="JV10" s="889">
        <v>0</v>
      </c>
      <c r="JW10" s="863">
        <f t="shared" si="55"/>
        <v>244571.94200000001</v>
      </c>
      <c r="JX10" s="863">
        <f t="shared" si="56"/>
        <v>0</v>
      </c>
      <c r="JY10" s="863">
        <f t="shared" si="57"/>
        <v>0</v>
      </c>
    </row>
    <row r="11" spans="1:287" ht="15" customHeight="1" x14ac:dyDescent="0.3">
      <c r="A11" s="872" t="s">
        <v>444</v>
      </c>
      <c r="B11" s="872" t="s">
        <v>468</v>
      </c>
      <c r="C11" s="872" t="s">
        <v>472</v>
      </c>
      <c r="D11" s="872" t="s">
        <v>473</v>
      </c>
      <c r="E11" s="873">
        <v>198649775</v>
      </c>
      <c r="F11" s="873">
        <f t="shared" si="7"/>
        <v>211164.71082499999</v>
      </c>
      <c r="G11" s="873">
        <v>0</v>
      </c>
      <c r="H11" s="873">
        <f t="shared" si="8"/>
        <v>0</v>
      </c>
      <c r="L11" s="874" t="s">
        <v>663</v>
      </c>
      <c r="M11" s="874" t="s">
        <v>266</v>
      </c>
      <c r="N11" s="874" t="s">
        <v>447</v>
      </c>
      <c r="O11" s="874" t="s">
        <v>447</v>
      </c>
      <c r="P11" s="875">
        <v>125400000</v>
      </c>
      <c r="Q11" s="875">
        <f t="shared" si="9"/>
        <v>133300.19999999998</v>
      </c>
      <c r="U11" s="874" t="s">
        <v>544</v>
      </c>
      <c r="V11" s="874" t="s">
        <v>545</v>
      </c>
      <c r="W11" s="874" t="s">
        <v>447</v>
      </c>
      <c r="X11" s="874" t="s">
        <v>447</v>
      </c>
      <c r="Y11" s="875">
        <v>10000</v>
      </c>
      <c r="Z11" s="875">
        <f t="shared" si="10"/>
        <v>10.629999999999999</v>
      </c>
      <c r="AD11" s="874" t="s">
        <v>660</v>
      </c>
      <c r="AE11" s="874" t="s">
        <v>154</v>
      </c>
      <c r="AF11" s="874" t="s">
        <v>447</v>
      </c>
      <c r="AG11" s="874" t="s">
        <v>447</v>
      </c>
      <c r="AH11" s="875">
        <v>2764149071</v>
      </c>
      <c r="AI11" s="875">
        <f t="shared" si="11"/>
        <v>2938290.4624729999</v>
      </c>
      <c r="AM11" s="874" t="s">
        <v>444</v>
      </c>
      <c r="AN11" s="874" t="s">
        <v>468</v>
      </c>
      <c r="AO11" s="874" t="s">
        <v>472</v>
      </c>
      <c r="AP11" s="874" t="s">
        <v>473</v>
      </c>
      <c r="AQ11" s="875">
        <v>198649775</v>
      </c>
      <c r="AR11" s="875">
        <f t="shared" si="58"/>
        <v>211164.71082499999</v>
      </c>
      <c r="AS11" s="875">
        <v>0</v>
      </c>
      <c r="AV11" s="862"/>
      <c r="AX11" s="874" t="s">
        <v>665</v>
      </c>
      <c r="AY11" s="874" t="s">
        <v>342</v>
      </c>
      <c r="AZ11" s="874" t="s">
        <v>447</v>
      </c>
      <c r="BA11" s="874" t="s">
        <v>447</v>
      </c>
      <c r="BB11" s="875">
        <v>45710000</v>
      </c>
      <c r="BC11" s="875">
        <f t="shared" si="0"/>
        <v>48589.729999999996</v>
      </c>
      <c r="BG11" s="874" t="s">
        <v>444</v>
      </c>
      <c r="BH11" s="874" t="s">
        <v>468</v>
      </c>
      <c r="BI11" s="874" t="s">
        <v>446</v>
      </c>
      <c r="BJ11" s="874" t="s">
        <v>322</v>
      </c>
      <c r="BK11" s="875">
        <v>1500000</v>
      </c>
      <c r="BL11" s="875">
        <v>0</v>
      </c>
      <c r="BM11" s="875">
        <v>0</v>
      </c>
      <c r="BN11" s="864">
        <f t="shared" si="1"/>
        <v>1594.5</v>
      </c>
      <c r="BO11" s="864">
        <f t="shared" si="2"/>
        <v>0</v>
      </c>
      <c r="BP11" s="864">
        <f t="shared" si="3"/>
        <v>0</v>
      </c>
      <c r="BT11" s="602" t="s">
        <v>659</v>
      </c>
      <c r="BU11" s="602" t="s">
        <v>221</v>
      </c>
      <c r="BV11" s="602" t="s">
        <v>447</v>
      </c>
      <c r="BW11" s="602" t="s">
        <v>447</v>
      </c>
      <c r="BX11" s="603" t="s">
        <v>547</v>
      </c>
      <c r="BY11" s="604">
        <v>0</v>
      </c>
      <c r="BZ11" s="604">
        <v>207145992</v>
      </c>
      <c r="CA11" s="604">
        <v>77268932</v>
      </c>
      <c r="CB11" s="862">
        <f t="shared" si="12"/>
        <v>0</v>
      </c>
      <c r="CC11" s="862">
        <f t="shared" si="13"/>
        <v>220196.18949599998</v>
      </c>
      <c r="CD11" s="862">
        <f t="shared" si="14"/>
        <v>82136.874715999991</v>
      </c>
      <c r="CH11" s="602" t="s">
        <v>444</v>
      </c>
      <c r="CI11" s="602" t="s">
        <v>468</v>
      </c>
      <c r="CJ11" s="602" t="s">
        <v>472</v>
      </c>
      <c r="CK11" s="602" t="s">
        <v>473</v>
      </c>
      <c r="CL11" s="604">
        <v>198649775</v>
      </c>
      <c r="CM11" s="604">
        <v>0</v>
      </c>
      <c r="CN11" s="604">
        <v>0</v>
      </c>
      <c r="CO11" s="879">
        <f t="shared" si="15"/>
        <v>211164.71082499999</v>
      </c>
      <c r="CP11" s="879">
        <f t="shared" si="16"/>
        <v>0</v>
      </c>
      <c r="CQ11" s="879">
        <f t="shared" si="17"/>
        <v>0</v>
      </c>
      <c r="CU11" s="602" t="s">
        <v>451</v>
      </c>
      <c r="CV11" s="602" t="s">
        <v>470</v>
      </c>
      <c r="CW11" s="602" t="s">
        <v>447</v>
      </c>
      <c r="CX11" s="602" t="s">
        <v>447</v>
      </c>
      <c r="CY11" s="604">
        <v>0</v>
      </c>
      <c r="CZ11" s="604">
        <v>275067839</v>
      </c>
      <c r="DA11" s="604">
        <v>564724830</v>
      </c>
      <c r="DB11" s="862">
        <f t="shared" si="18"/>
        <v>0</v>
      </c>
      <c r="DC11" s="862">
        <f t="shared" si="19"/>
        <v>292397.11285699997</v>
      </c>
      <c r="DD11" s="862">
        <f t="shared" si="20"/>
        <v>600302.49428999994</v>
      </c>
      <c r="DH11" s="602" t="s">
        <v>444</v>
      </c>
      <c r="DI11" s="602" t="s">
        <v>468</v>
      </c>
      <c r="DJ11" s="602" t="s">
        <v>472</v>
      </c>
      <c r="DK11" s="602" t="s">
        <v>473</v>
      </c>
      <c r="DL11" s="604">
        <v>198649775</v>
      </c>
      <c r="DM11" s="604">
        <v>0</v>
      </c>
      <c r="DN11" s="604">
        <v>0</v>
      </c>
      <c r="DO11" s="862">
        <f t="shared" si="21"/>
        <v>211164.71082499999</v>
      </c>
      <c r="DP11" s="862">
        <f t="shared" si="22"/>
        <v>0</v>
      </c>
      <c r="DQ11" s="862">
        <f t="shared" si="23"/>
        <v>0</v>
      </c>
      <c r="DU11" s="880" t="s">
        <v>661</v>
      </c>
      <c r="DV11" s="880" t="s">
        <v>305</v>
      </c>
      <c r="DW11" s="880" t="s">
        <v>447</v>
      </c>
      <c r="DX11" s="880" t="s">
        <v>447</v>
      </c>
      <c r="DY11" s="881" t="s">
        <v>547</v>
      </c>
      <c r="DZ11" s="882">
        <v>0</v>
      </c>
      <c r="EA11" s="882">
        <v>8853896950</v>
      </c>
      <c r="EB11" s="882">
        <v>4410515257</v>
      </c>
      <c r="EC11" s="883">
        <f t="shared" si="24"/>
        <v>0</v>
      </c>
      <c r="ED11" s="883">
        <f t="shared" si="25"/>
        <v>9411692.457849998</v>
      </c>
      <c r="EE11" s="883">
        <f t="shared" si="26"/>
        <v>4688377.7181909997</v>
      </c>
      <c r="EI11" s="602" t="s">
        <v>444</v>
      </c>
      <c r="EJ11" s="602" t="s">
        <v>468</v>
      </c>
      <c r="EK11" s="602" t="s">
        <v>472</v>
      </c>
      <c r="EL11" s="602" t="s">
        <v>473</v>
      </c>
      <c r="EM11" s="602" t="s">
        <v>547</v>
      </c>
      <c r="EN11" s="602">
        <v>198649775</v>
      </c>
      <c r="EO11" s="602">
        <v>0</v>
      </c>
      <c r="EP11" s="602">
        <v>0</v>
      </c>
      <c r="EQ11" s="884">
        <f t="shared" si="27"/>
        <v>211164.71082499999</v>
      </c>
      <c r="ER11" s="884">
        <f t="shared" si="28"/>
        <v>0</v>
      </c>
      <c r="ES11" s="884">
        <f t="shared" si="29"/>
        <v>0</v>
      </c>
      <c r="EW11" s="602" t="s">
        <v>451</v>
      </c>
      <c r="EX11" s="602" t="s">
        <v>470</v>
      </c>
      <c r="EY11" s="602" t="s">
        <v>447</v>
      </c>
      <c r="EZ11" s="602" t="s">
        <v>447</v>
      </c>
      <c r="FA11" s="603" t="s">
        <v>547</v>
      </c>
      <c r="FB11" s="884">
        <v>0</v>
      </c>
      <c r="FC11" s="884">
        <v>3502055850</v>
      </c>
      <c r="FD11" s="884">
        <v>3488215614</v>
      </c>
      <c r="FE11" s="884">
        <f t="shared" si="30"/>
        <v>0</v>
      </c>
      <c r="FF11" s="884">
        <f t="shared" si="31"/>
        <v>3722685.3685499998</v>
      </c>
      <c r="FG11" s="884">
        <f t="shared" si="32"/>
        <v>3707973.1976819998</v>
      </c>
      <c r="FK11" s="602" t="s">
        <v>444</v>
      </c>
      <c r="FL11" s="602" t="s">
        <v>468</v>
      </c>
      <c r="FM11" s="602" t="s">
        <v>472</v>
      </c>
      <c r="FN11" s="602" t="s">
        <v>473</v>
      </c>
      <c r="FO11" s="602" t="s">
        <v>547</v>
      </c>
      <c r="FP11" s="884">
        <v>198649775</v>
      </c>
      <c r="FQ11" s="884">
        <v>0</v>
      </c>
      <c r="FR11" s="884">
        <v>0</v>
      </c>
      <c r="FS11" s="862">
        <f t="shared" si="33"/>
        <v>211164.71082499999</v>
      </c>
      <c r="FT11" s="862">
        <f t="shared" si="34"/>
        <v>0</v>
      </c>
      <c r="FU11" s="862">
        <f t="shared" si="35"/>
        <v>0</v>
      </c>
      <c r="FY11" s="602" t="s">
        <v>451</v>
      </c>
      <c r="FZ11" s="602" t="s">
        <v>470</v>
      </c>
      <c r="GA11" s="602" t="s">
        <v>447</v>
      </c>
      <c r="GB11" s="602" t="s">
        <v>447</v>
      </c>
      <c r="GC11" s="603" t="s">
        <v>547</v>
      </c>
      <c r="GD11" s="604">
        <v>0</v>
      </c>
      <c r="GE11" s="604">
        <v>527616594</v>
      </c>
      <c r="GF11" s="604">
        <v>205160034</v>
      </c>
      <c r="GG11" s="884">
        <f t="shared" si="36"/>
        <v>0</v>
      </c>
      <c r="GH11" s="884">
        <f t="shared" si="37"/>
        <v>560856.43942199997</v>
      </c>
      <c r="GI11" s="884">
        <f t="shared" si="38"/>
        <v>218085.11614200001</v>
      </c>
      <c r="GM11" s="885" t="s">
        <v>444</v>
      </c>
      <c r="GN11" s="886" t="s">
        <v>468</v>
      </c>
      <c r="GO11" s="885" t="s">
        <v>472</v>
      </c>
      <c r="GP11" s="885" t="s">
        <v>473</v>
      </c>
      <c r="GQ11" s="886" t="s">
        <v>547</v>
      </c>
      <c r="GR11" s="887">
        <v>198649775</v>
      </c>
      <c r="GS11" s="887">
        <v>0</v>
      </c>
      <c r="GT11" s="887">
        <v>0</v>
      </c>
      <c r="GU11" s="887">
        <f t="shared" si="39"/>
        <v>211164.71082499999</v>
      </c>
      <c r="GV11" s="887">
        <f t="shared" si="40"/>
        <v>0</v>
      </c>
      <c r="GW11" s="887">
        <f t="shared" si="41"/>
        <v>0</v>
      </c>
      <c r="HA11" s="602" t="s">
        <v>660</v>
      </c>
      <c r="HB11" s="602" t="s">
        <v>154</v>
      </c>
      <c r="HC11" s="602" t="s">
        <v>447</v>
      </c>
      <c r="HD11" s="602" t="s">
        <v>447</v>
      </c>
      <c r="HE11" s="603" t="s">
        <v>547</v>
      </c>
      <c r="HF11" s="604">
        <v>0</v>
      </c>
      <c r="HG11" s="604">
        <v>2839595946</v>
      </c>
      <c r="HH11" s="604">
        <v>2238570096</v>
      </c>
      <c r="HI11" s="604">
        <f t="shared" si="42"/>
        <v>0</v>
      </c>
      <c r="HJ11" s="604">
        <f t="shared" si="43"/>
        <v>2839595.946</v>
      </c>
      <c r="HK11" s="604">
        <f t="shared" si="44"/>
        <v>2238570.0959999999</v>
      </c>
      <c r="HO11" s="885" t="s">
        <v>444</v>
      </c>
      <c r="HP11" s="885" t="s">
        <v>468</v>
      </c>
      <c r="HQ11" s="885" t="s">
        <v>472</v>
      </c>
      <c r="HR11" s="885" t="s">
        <v>473</v>
      </c>
      <c r="HS11" s="603" t="s">
        <v>547</v>
      </c>
      <c r="HT11" s="604">
        <v>198649775</v>
      </c>
      <c r="HU11" s="604">
        <v>0</v>
      </c>
      <c r="HV11" s="604">
        <v>0</v>
      </c>
      <c r="HW11" s="862">
        <f t="shared" si="45"/>
        <v>198649.77499999999</v>
      </c>
      <c r="HX11" s="862">
        <f t="shared" si="46"/>
        <v>0</v>
      </c>
      <c r="HY11" s="862">
        <f t="shared" si="47"/>
        <v>0</v>
      </c>
      <c r="IC11" s="602" t="s">
        <v>444</v>
      </c>
      <c r="ID11" s="602" t="s">
        <v>468</v>
      </c>
      <c r="IE11" s="602" t="s">
        <v>447</v>
      </c>
      <c r="IF11" s="602" t="s">
        <v>447</v>
      </c>
      <c r="IG11" s="603" t="s">
        <v>547</v>
      </c>
      <c r="IH11" s="604">
        <v>0</v>
      </c>
      <c r="II11" s="604">
        <v>0</v>
      </c>
      <c r="IJ11" s="604">
        <v>0</v>
      </c>
      <c r="IK11" s="883">
        <f t="shared" si="48"/>
        <v>0</v>
      </c>
      <c r="IL11" s="883">
        <f t="shared" si="49"/>
        <v>0</v>
      </c>
      <c r="IM11" s="883">
        <f t="shared" si="50"/>
        <v>0</v>
      </c>
      <c r="IQ11" s="885" t="s">
        <v>444</v>
      </c>
      <c r="IR11" s="885" t="s">
        <v>468</v>
      </c>
      <c r="IS11" s="885" t="s">
        <v>472</v>
      </c>
      <c r="IT11" s="885" t="s">
        <v>473</v>
      </c>
      <c r="IU11" s="886" t="s">
        <v>547</v>
      </c>
      <c r="IV11" s="887">
        <v>124642628</v>
      </c>
      <c r="IW11" s="887">
        <v>0</v>
      </c>
      <c r="IX11" s="887">
        <v>0</v>
      </c>
      <c r="IY11" s="888">
        <f t="shared" si="51"/>
        <v>124642.628</v>
      </c>
      <c r="IZ11" s="888">
        <f t="shared" si="52"/>
        <v>0</v>
      </c>
      <c r="JA11" s="888">
        <f t="shared" si="53"/>
        <v>0</v>
      </c>
      <c r="JE11" s="886" t="s">
        <v>451</v>
      </c>
      <c r="JF11" s="886" t="s">
        <v>470</v>
      </c>
      <c r="JG11" s="886" t="s">
        <v>447</v>
      </c>
      <c r="JH11" s="886" t="s">
        <v>447</v>
      </c>
      <c r="JI11" s="603" t="s">
        <v>547</v>
      </c>
      <c r="JJ11" s="604">
        <v>1432495296</v>
      </c>
      <c r="JK11" s="862">
        <f t="shared" si="54"/>
        <v>1432495.2960000001</v>
      </c>
      <c r="JL11" s="865">
        <f>+JK11+JK12</f>
        <v>2205253.909</v>
      </c>
      <c r="JO11" s="884" t="s">
        <v>444</v>
      </c>
      <c r="JP11" s="884" t="s">
        <v>468</v>
      </c>
      <c r="JQ11" s="884" t="s">
        <v>472</v>
      </c>
      <c r="JR11" s="605" t="s">
        <v>473</v>
      </c>
      <c r="JS11" s="605" t="s">
        <v>547</v>
      </c>
      <c r="JT11" s="889">
        <v>124642628</v>
      </c>
      <c r="JU11" s="889">
        <v>0</v>
      </c>
      <c r="JV11" s="889">
        <v>0</v>
      </c>
      <c r="JW11" s="863">
        <f t="shared" si="55"/>
        <v>124642.628</v>
      </c>
      <c r="JX11" s="863">
        <f t="shared" si="56"/>
        <v>0</v>
      </c>
      <c r="JY11" s="863">
        <f t="shared" si="57"/>
        <v>0</v>
      </c>
    </row>
    <row r="12" spans="1:287" ht="15" customHeight="1" x14ac:dyDescent="0.3">
      <c r="A12" s="872" t="s">
        <v>444</v>
      </c>
      <c r="B12" s="872" t="s">
        <v>468</v>
      </c>
      <c r="C12" s="872" t="s">
        <v>471</v>
      </c>
      <c r="D12" s="872" t="s">
        <v>279</v>
      </c>
      <c r="E12" s="873">
        <v>2400000</v>
      </c>
      <c r="F12" s="873">
        <f t="shared" si="7"/>
        <v>2551.1999999999998</v>
      </c>
      <c r="G12" s="873">
        <v>0</v>
      </c>
      <c r="H12" s="873">
        <f t="shared" si="8"/>
        <v>0</v>
      </c>
      <c r="L12" s="874" t="s">
        <v>664</v>
      </c>
      <c r="M12" s="874" t="s">
        <v>267</v>
      </c>
      <c r="N12" s="874" t="s">
        <v>447</v>
      </c>
      <c r="O12" s="874" t="s">
        <v>447</v>
      </c>
      <c r="P12" s="875">
        <v>205327500</v>
      </c>
      <c r="Q12" s="875">
        <f t="shared" si="9"/>
        <v>218263.13249999998</v>
      </c>
      <c r="U12" s="874" t="s">
        <v>450</v>
      </c>
      <c r="V12" s="874" t="s">
        <v>142</v>
      </c>
      <c r="W12" s="874" t="s">
        <v>447</v>
      </c>
      <c r="X12" s="874" t="s">
        <v>447</v>
      </c>
      <c r="Y12" s="875">
        <v>9151948000</v>
      </c>
      <c r="Z12" s="875">
        <f t="shared" si="10"/>
        <v>9728520.7239999995</v>
      </c>
      <c r="AD12" s="874" t="s">
        <v>662</v>
      </c>
      <c r="AE12" s="874" t="s">
        <v>308</v>
      </c>
      <c r="AF12" s="874" t="s">
        <v>447</v>
      </c>
      <c r="AG12" s="874" t="s">
        <v>447</v>
      </c>
      <c r="AH12" s="875">
        <v>2289082947</v>
      </c>
      <c r="AI12" s="875">
        <f t="shared" si="11"/>
        <v>2433295.1726609999</v>
      </c>
      <c r="AM12" s="874" t="s">
        <v>444</v>
      </c>
      <c r="AN12" s="874" t="s">
        <v>468</v>
      </c>
      <c r="AO12" s="874" t="s">
        <v>471</v>
      </c>
      <c r="AP12" s="874" t="s">
        <v>279</v>
      </c>
      <c r="AQ12" s="875">
        <v>2400000</v>
      </c>
      <c r="AR12" s="875">
        <f t="shared" si="58"/>
        <v>2551.1999999999998</v>
      </c>
      <c r="AS12" s="875">
        <v>0</v>
      </c>
      <c r="AV12" s="862"/>
      <c r="AX12" s="874" t="s">
        <v>666</v>
      </c>
      <c r="AY12" s="874" t="s">
        <v>529</v>
      </c>
      <c r="AZ12" s="874" t="s">
        <v>447</v>
      </c>
      <c r="BA12" s="874" t="s">
        <v>447</v>
      </c>
      <c r="BB12" s="875">
        <v>147541164</v>
      </c>
      <c r="BC12" s="875">
        <f t="shared" si="0"/>
        <v>156836.25733199998</v>
      </c>
      <c r="BG12" s="874" t="s">
        <v>444</v>
      </c>
      <c r="BH12" s="874" t="s">
        <v>468</v>
      </c>
      <c r="BI12" s="874" t="s">
        <v>446</v>
      </c>
      <c r="BJ12" s="874" t="s">
        <v>322</v>
      </c>
      <c r="BK12" s="875">
        <v>0</v>
      </c>
      <c r="BL12" s="875">
        <v>1400000</v>
      </c>
      <c r="BM12" s="875">
        <v>412174</v>
      </c>
      <c r="BN12" s="864">
        <f t="shared" si="1"/>
        <v>0</v>
      </c>
      <c r="BO12" s="864">
        <f t="shared" si="2"/>
        <v>1488.1999999999998</v>
      </c>
      <c r="BP12" s="864">
        <f t="shared" si="3"/>
        <v>438.14096199999994</v>
      </c>
      <c r="BT12" s="602" t="s">
        <v>660</v>
      </c>
      <c r="BU12" s="602" t="s">
        <v>154</v>
      </c>
      <c r="BV12" s="602" t="s">
        <v>447</v>
      </c>
      <c r="BW12" s="602" t="s">
        <v>447</v>
      </c>
      <c r="BX12" s="603" t="s">
        <v>547</v>
      </c>
      <c r="BY12" s="604">
        <v>0</v>
      </c>
      <c r="BZ12" s="604">
        <v>262437228</v>
      </c>
      <c r="CA12" s="604">
        <v>337437227</v>
      </c>
      <c r="CB12" s="862">
        <f t="shared" si="12"/>
        <v>0</v>
      </c>
      <c r="CC12" s="862">
        <f t="shared" si="13"/>
        <v>278970.77336399996</v>
      </c>
      <c r="CD12" s="862">
        <f t="shared" si="14"/>
        <v>358695.77230100002</v>
      </c>
      <c r="CH12" s="602" t="s">
        <v>444</v>
      </c>
      <c r="CI12" s="602" t="s">
        <v>468</v>
      </c>
      <c r="CJ12" s="602" t="s">
        <v>471</v>
      </c>
      <c r="CK12" s="602" t="s">
        <v>279</v>
      </c>
      <c r="CL12" s="604">
        <v>2400000</v>
      </c>
      <c r="CM12" s="604">
        <v>0</v>
      </c>
      <c r="CN12" s="604">
        <v>0</v>
      </c>
      <c r="CO12" s="879">
        <f t="shared" si="15"/>
        <v>2551.1999999999998</v>
      </c>
      <c r="CP12" s="879">
        <f t="shared" si="16"/>
        <v>0</v>
      </c>
      <c r="CQ12" s="879">
        <f t="shared" si="17"/>
        <v>0</v>
      </c>
      <c r="CU12" s="602" t="s">
        <v>659</v>
      </c>
      <c r="CV12" s="602" t="s">
        <v>221</v>
      </c>
      <c r="CW12" s="602" t="s">
        <v>447</v>
      </c>
      <c r="CX12" s="602" t="s">
        <v>447</v>
      </c>
      <c r="CY12" s="604">
        <v>0</v>
      </c>
      <c r="CZ12" s="604">
        <v>314853499</v>
      </c>
      <c r="DA12" s="604">
        <v>309726633</v>
      </c>
      <c r="DB12" s="862">
        <f t="shared" si="18"/>
        <v>0</v>
      </c>
      <c r="DC12" s="862">
        <f t="shared" si="19"/>
        <v>334689.26943699998</v>
      </c>
      <c r="DD12" s="862">
        <f t="shared" si="20"/>
        <v>329239.41087899997</v>
      </c>
      <c r="DH12" s="602" t="s">
        <v>444</v>
      </c>
      <c r="DI12" s="602" t="s">
        <v>468</v>
      </c>
      <c r="DJ12" s="602" t="s">
        <v>471</v>
      </c>
      <c r="DK12" s="602" t="s">
        <v>279</v>
      </c>
      <c r="DL12" s="604">
        <v>2400000</v>
      </c>
      <c r="DM12" s="604">
        <v>0</v>
      </c>
      <c r="DN12" s="604">
        <v>0</v>
      </c>
      <c r="DO12" s="862">
        <f t="shared" si="21"/>
        <v>2551.1999999999998</v>
      </c>
      <c r="DP12" s="862">
        <f t="shared" si="22"/>
        <v>0</v>
      </c>
      <c r="DQ12" s="862">
        <f t="shared" si="23"/>
        <v>0</v>
      </c>
      <c r="DU12" s="880" t="s">
        <v>662</v>
      </c>
      <c r="DV12" s="880" t="s">
        <v>308</v>
      </c>
      <c r="DW12" s="880" t="s">
        <v>447</v>
      </c>
      <c r="DX12" s="880" t="s">
        <v>447</v>
      </c>
      <c r="DY12" s="881" t="s">
        <v>547</v>
      </c>
      <c r="DZ12" s="882">
        <v>0</v>
      </c>
      <c r="EA12" s="882">
        <v>92501148</v>
      </c>
      <c r="EB12" s="882">
        <v>95993148</v>
      </c>
      <c r="EC12" s="883">
        <f t="shared" si="24"/>
        <v>0</v>
      </c>
      <c r="ED12" s="883">
        <f t="shared" si="25"/>
        <v>98328.720323999994</v>
      </c>
      <c r="EE12" s="883">
        <f t="shared" si="26"/>
        <v>102040.71632399999</v>
      </c>
      <c r="EI12" s="602" t="s">
        <v>444</v>
      </c>
      <c r="EJ12" s="602" t="s">
        <v>468</v>
      </c>
      <c r="EK12" s="602" t="s">
        <v>471</v>
      </c>
      <c r="EL12" s="602" t="s">
        <v>279</v>
      </c>
      <c r="EM12" s="602" t="s">
        <v>547</v>
      </c>
      <c r="EN12" s="602">
        <v>2400000</v>
      </c>
      <c r="EO12" s="602">
        <v>0</v>
      </c>
      <c r="EP12" s="602">
        <v>0</v>
      </c>
      <c r="EQ12" s="884">
        <f t="shared" si="27"/>
        <v>2551.1999999999998</v>
      </c>
      <c r="ER12" s="884">
        <f t="shared" si="28"/>
        <v>0</v>
      </c>
      <c r="ES12" s="884">
        <f t="shared" si="29"/>
        <v>0</v>
      </c>
      <c r="EW12" s="602" t="s">
        <v>659</v>
      </c>
      <c r="EX12" s="602" t="s">
        <v>221</v>
      </c>
      <c r="EY12" s="602" t="s">
        <v>447</v>
      </c>
      <c r="EZ12" s="602" t="s">
        <v>447</v>
      </c>
      <c r="FA12" s="603" t="s">
        <v>547</v>
      </c>
      <c r="FB12" s="884">
        <v>0</v>
      </c>
      <c r="FC12" s="884">
        <v>797643522</v>
      </c>
      <c r="FD12" s="884">
        <v>687438221</v>
      </c>
      <c r="FE12" s="884">
        <f t="shared" si="30"/>
        <v>0</v>
      </c>
      <c r="FF12" s="884">
        <f t="shared" si="31"/>
        <v>847895.06388599996</v>
      </c>
      <c r="FG12" s="884">
        <f t="shared" si="32"/>
        <v>730746.82892300002</v>
      </c>
      <c r="FK12" s="602" t="s">
        <v>444</v>
      </c>
      <c r="FL12" s="602" t="s">
        <v>468</v>
      </c>
      <c r="FM12" s="602" t="s">
        <v>471</v>
      </c>
      <c r="FN12" s="602" t="s">
        <v>279</v>
      </c>
      <c r="FO12" s="602" t="s">
        <v>547</v>
      </c>
      <c r="FP12" s="884">
        <v>2400000</v>
      </c>
      <c r="FQ12" s="884">
        <v>0</v>
      </c>
      <c r="FR12" s="884">
        <v>0</v>
      </c>
      <c r="FS12" s="862">
        <f t="shared" si="33"/>
        <v>2551.1999999999998</v>
      </c>
      <c r="FT12" s="862">
        <f t="shared" si="34"/>
        <v>0</v>
      </c>
      <c r="FU12" s="862">
        <f t="shared" si="35"/>
        <v>0</v>
      </c>
      <c r="FY12" s="602" t="s">
        <v>451</v>
      </c>
      <c r="FZ12" s="602" t="s">
        <v>470</v>
      </c>
      <c r="GA12" s="602" t="s">
        <v>447</v>
      </c>
      <c r="GB12" s="602" t="s">
        <v>447</v>
      </c>
      <c r="GC12" s="603" t="s">
        <v>547</v>
      </c>
      <c r="GD12" s="604">
        <v>0</v>
      </c>
      <c r="GE12" s="604">
        <v>36079975</v>
      </c>
      <c r="GF12" s="604">
        <v>49920211</v>
      </c>
      <c r="GG12" s="884">
        <f t="shared" si="36"/>
        <v>0</v>
      </c>
      <c r="GH12" s="884">
        <f t="shared" si="37"/>
        <v>38353.013424999997</v>
      </c>
      <c r="GI12" s="884">
        <f t="shared" si="38"/>
        <v>53065.184292999998</v>
      </c>
      <c r="GM12" s="885" t="s">
        <v>444</v>
      </c>
      <c r="GN12" s="886" t="s">
        <v>468</v>
      </c>
      <c r="GO12" s="885" t="s">
        <v>471</v>
      </c>
      <c r="GP12" s="885" t="s">
        <v>279</v>
      </c>
      <c r="GQ12" s="886" t="s">
        <v>547</v>
      </c>
      <c r="GR12" s="887">
        <v>2400000</v>
      </c>
      <c r="GS12" s="887">
        <v>0</v>
      </c>
      <c r="GT12" s="887">
        <v>0</v>
      </c>
      <c r="GU12" s="887">
        <f t="shared" si="39"/>
        <v>2551.1999999999998</v>
      </c>
      <c r="GV12" s="887">
        <f t="shared" si="40"/>
        <v>0</v>
      </c>
      <c r="GW12" s="887">
        <f t="shared" si="41"/>
        <v>0</v>
      </c>
      <c r="HA12" s="602" t="s">
        <v>660</v>
      </c>
      <c r="HB12" s="602" t="s">
        <v>154</v>
      </c>
      <c r="HC12" s="602" t="s">
        <v>447</v>
      </c>
      <c r="HD12" s="602" t="s">
        <v>447</v>
      </c>
      <c r="HE12" s="603" t="s">
        <v>547</v>
      </c>
      <c r="HF12" s="604">
        <v>-2000000000</v>
      </c>
      <c r="HG12" s="604">
        <v>0</v>
      </c>
      <c r="HH12" s="604">
        <v>0</v>
      </c>
      <c r="HI12" s="604">
        <f t="shared" si="42"/>
        <v>-2000000</v>
      </c>
      <c r="HJ12" s="604">
        <f t="shared" si="43"/>
        <v>0</v>
      </c>
      <c r="HK12" s="604">
        <f t="shared" si="44"/>
        <v>0</v>
      </c>
      <c r="HO12" s="885" t="s">
        <v>444</v>
      </c>
      <c r="HP12" s="885" t="s">
        <v>468</v>
      </c>
      <c r="HQ12" s="885" t="s">
        <v>471</v>
      </c>
      <c r="HR12" s="885" t="s">
        <v>279</v>
      </c>
      <c r="HS12" s="603" t="s">
        <v>547</v>
      </c>
      <c r="HT12" s="604">
        <v>2400000</v>
      </c>
      <c r="HU12" s="604">
        <v>0</v>
      </c>
      <c r="HV12" s="604">
        <v>0</v>
      </c>
      <c r="HW12" s="862">
        <f t="shared" si="45"/>
        <v>2400</v>
      </c>
      <c r="HX12" s="862">
        <f t="shared" si="46"/>
        <v>0</v>
      </c>
      <c r="HY12" s="862">
        <f t="shared" si="47"/>
        <v>0</v>
      </c>
      <c r="IC12" s="602" t="s">
        <v>444</v>
      </c>
      <c r="ID12" s="602" t="s">
        <v>468</v>
      </c>
      <c r="IE12" s="602" t="s">
        <v>446</v>
      </c>
      <c r="IF12" s="602" t="s">
        <v>322</v>
      </c>
      <c r="IG12" s="603" t="s">
        <v>547</v>
      </c>
      <c r="IH12" s="604">
        <v>-623875</v>
      </c>
      <c r="II12" s="604">
        <v>0</v>
      </c>
      <c r="IJ12" s="604">
        <v>0</v>
      </c>
      <c r="IK12" s="883">
        <f t="shared" si="48"/>
        <v>-623.875</v>
      </c>
      <c r="IL12" s="883">
        <f t="shared" si="49"/>
        <v>0</v>
      </c>
      <c r="IM12" s="883">
        <f t="shared" si="50"/>
        <v>0</v>
      </c>
      <c r="IQ12" s="885" t="s">
        <v>444</v>
      </c>
      <c r="IR12" s="885" t="s">
        <v>468</v>
      </c>
      <c r="IS12" s="885" t="s">
        <v>471</v>
      </c>
      <c r="IT12" s="885" t="s">
        <v>279</v>
      </c>
      <c r="IU12" s="886" t="s">
        <v>547</v>
      </c>
      <c r="IV12" s="887">
        <v>1447554</v>
      </c>
      <c r="IW12" s="887">
        <v>0</v>
      </c>
      <c r="IX12" s="887">
        <v>0</v>
      </c>
      <c r="IY12" s="888">
        <f t="shared" si="51"/>
        <v>1447.5540000000001</v>
      </c>
      <c r="IZ12" s="888">
        <f t="shared" si="52"/>
        <v>0</v>
      </c>
      <c r="JA12" s="888">
        <f t="shared" si="53"/>
        <v>0</v>
      </c>
      <c r="JE12" s="886" t="s">
        <v>451</v>
      </c>
      <c r="JF12" s="886" t="s">
        <v>470</v>
      </c>
      <c r="JG12" s="886" t="s">
        <v>447</v>
      </c>
      <c r="JH12" s="886" t="s">
        <v>447</v>
      </c>
      <c r="JI12" s="603" t="s">
        <v>547</v>
      </c>
      <c r="JJ12" s="604">
        <v>772758613</v>
      </c>
      <c r="JK12" s="862">
        <f t="shared" si="54"/>
        <v>772758.61300000001</v>
      </c>
      <c r="JO12" s="884" t="s">
        <v>444</v>
      </c>
      <c r="JP12" s="884" t="s">
        <v>468</v>
      </c>
      <c r="JQ12" s="884" t="s">
        <v>471</v>
      </c>
      <c r="JR12" s="605" t="s">
        <v>279</v>
      </c>
      <c r="JS12" s="605" t="s">
        <v>547</v>
      </c>
      <c r="JT12" s="889">
        <v>1447554</v>
      </c>
      <c r="JU12" s="889">
        <v>0</v>
      </c>
      <c r="JV12" s="889">
        <v>0</v>
      </c>
      <c r="JW12" s="863">
        <f t="shared" si="55"/>
        <v>1447.5540000000001</v>
      </c>
      <c r="JX12" s="863">
        <f t="shared" si="56"/>
        <v>0</v>
      </c>
      <c r="JY12" s="863">
        <f t="shared" si="57"/>
        <v>0</v>
      </c>
    </row>
    <row r="13" spans="1:287" ht="15" customHeight="1" x14ac:dyDescent="0.3">
      <c r="A13" s="872" t="s">
        <v>444</v>
      </c>
      <c r="B13" s="872" t="s">
        <v>468</v>
      </c>
      <c r="C13" s="872" t="s">
        <v>446</v>
      </c>
      <c r="D13" s="872" t="s">
        <v>322</v>
      </c>
      <c r="E13" s="873">
        <v>1500000</v>
      </c>
      <c r="F13" s="873">
        <f t="shared" si="7"/>
        <v>1594.5</v>
      </c>
      <c r="G13" s="873">
        <v>0</v>
      </c>
      <c r="H13" s="873">
        <f t="shared" si="8"/>
        <v>0</v>
      </c>
      <c r="L13" s="874" t="s">
        <v>665</v>
      </c>
      <c r="M13" s="874" t="s">
        <v>342</v>
      </c>
      <c r="N13" s="874" t="s">
        <v>447</v>
      </c>
      <c r="O13" s="874" t="s">
        <v>447</v>
      </c>
      <c r="P13" s="875">
        <v>116453400</v>
      </c>
      <c r="Q13" s="875">
        <f t="shared" si="9"/>
        <v>123789.96419999999</v>
      </c>
      <c r="U13" s="874" t="s">
        <v>448</v>
      </c>
      <c r="V13" s="874" t="s">
        <v>469</v>
      </c>
      <c r="W13" s="874" t="s">
        <v>447</v>
      </c>
      <c r="X13" s="874" t="s">
        <v>447</v>
      </c>
      <c r="Y13" s="875">
        <v>15930849000</v>
      </c>
      <c r="Z13" s="875">
        <f t="shared" si="10"/>
        <v>16934492.487</v>
      </c>
      <c r="AD13" s="874" t="s">
        <v>664</v>
      </c>
      <c r="AE13" s="874" t="s">
        <v>267</v>
      </c>
      <c r="AF13" s="874" t="s">
        <v>447</v>
      </c>
      <c r="AG13" s="874" t="s">
        <v>447</v>
      </c>
      <c r="AH13" s="875">
        <v>348240000</v>
      </c>
      <c r="AI13" s="875">
        <f t="shared" si="11"/>
        <v>370179.12</v>
      </c>
      <c r="AM13" s="874" t="s">
        <v>444</v>
      </c>
      <c r="AN13" s="874" t="s">
        <v>468</v>
      </c>
      <c r="AO13" s="874" t="s">
        <v>446</v>
      </c>
      <c r="AP13" s="874" t="s">
        <v>322</v>
      </c>
      <c r="AQ13" s="875">
        <v>1500000</v>
      </c>
      <c r="AR13" s="875">
        <f t="shared" si="58"/>
        <v>1594.5</v>
      </c>
      <c r="AS13" s="875">
        <v>0</v>
      </c>
      <c r="AV13" s="862"/>
      <c r="AX13" s="874" t="s">
        <v>667</v>
      </c>
      <c r="AY13" s="874" t="s">
        <v>634</v>
      </c>
      <c r="AZ13" s="874" t="s">
        <v>447</v>
      </c>
      <c r="BA13" s="874" t="s">
        <v>447</v>
      </c>
      <c r="BB13" s="875">
        <v>161714431</v>
      </c>
      <c r="BC13" s="875">
        <f t="shared" si="0"/>
        <v>171902.440153</v>
      </c>
      <c r="BG13" s="874" t="s">
        <v>444</v>
      </c>
      <c r="BH13" s="874" t="s">
        <v>468</v>
      </c>
      <c r="BI13" s="874" t="s">
        <v>471</v>
      </c>
      <c r="BJ13" s="874" t="s">
        <v>279</v>
      </c>
      <c r="BK13" s="875">
        <v>2400000</v>
      </c>
      <c r="BL13" s="875">
        <v>0</v>
      </c>
      <c r="BM13" s="875">
        <v>0</v>
      </c>
      <c r="BN13" s="864">
        <f t="shared" si="1"/>
        <v>2551.1999999999998</v>
      </c>
      <c r="BO13" s="864">
        <f t="shared" si="2"/>
        <v>0</v>
      </c>
      <c r="BP13" s="864">
        <f t="shared" si="3"/>
        <v>0</v>
      </c>
      <c r="BT13" s="602" t="s">
        <v>661</v>
      </c>
      <c r="BU13" s="602" t="s">
        <v>305</v>
      </c>
      <c r="BV13" s="602" t="s">
        <v>447</v>
      </c>
      <c r="BW13" s="602" t="s">
        <v>447</v>
      </c>
      <c r="BX13" s="603" t="s">
        <v>547</v>
      </c>
      <c r="BY13" s="604">
        <v>0</v>
      </c>
      <c r="BZ13" s="604">
        <v>0</v>
      </c>
      <c r="CA13" s="604">
        <v>0</v>
      </c>
      <c r="CB13" s="862">
        <f t="shared" si="12"/>
        <v>0</v>
      </c>
      <c r="CC13" s="862">
        <f t="shared" si="13"/>
        <v>0</v>
      </c>
      <c r="CD13" s="862">
        <f t="shared" si="14"/>
        <v>0</v>
      </c>
      <c r="CH13" s="602" t="s">
        <v>444</v>
      </c>
      <c r="CI13" s="602" t="s">
        <v>468</v>
      </c>
      <c r="CJ13" s="602" t="s">
        <v>446</v>
      </c>
      <c r="CK13" s="602" t="s">
        <v>322</v>
      </c>
      <c r="CL13" s="604">
        <v>1500000</v>
      </c>
      <c r="CM13" s="604">
        <v>0</v>
      </c>
      <c r="CN13" s="604">
        <v>0</v>
      </c>
      <c r="CO13" s="879">
        <f t="shared" si="15"/>
        <v>1594.5</v>
      </c>
      <c r="CP13" s="879">
        <f t="shared" si="16"/>
        <v>0</v>
      </c>
      <c r="CQ13" s="879">
        <f t="shared" si="17"/>
        <v>0</v>
      </c>
      <c r="CU13" s="602" t="s">
        <v>660</v>
      </c>
      <c r="CV13" s="602" t="s">
        <v>154</v>
      </c>
      <c r="CW13" s="602" t="s">
        <v>447</v>
      </c>
      <c r="CX13" s="602" t="s">
        <v>447</v>
      </c>
      <c r="CY13" s="604">
        <v>26982714240</v>
      </c>
      <c r="CZ13" s="604">
        <v>0</v>
      </c>
      <c r="DA13" s="604">
        <v>0</v>
      </c>
      <c r="DB13" s="862">
        <f t="shared" si="18"/>
        <v>28682625.237119995</v>
      </c>
      <c r="DC13" s="862">
        <f t="shared" si="19"/>
        <v>0</v>
      </c>
      <c r="DD13" s="862">
        <f t="shared" si="20"/>
        <v>0</v>
      </c>
      <c r="DH13" s="602" t="s">
        <v>444</v>
      </c>
      <c r="DI13" s="602" t="s">
        <v>468</v>
      </c>
      <c r="DJ13" s="602" t="s">
        <v>446</v>
      </c>
      <c r="DK13" s="602" t="s">
        <v>322</v>
      </c>
      <c r="DL13" s="604">
        <v>1500000</v>
      </c>
      <c r="DM13" s="604">
        <v>0</v>
      </c>
      <c r="DN13" s="604">
        <v>0</v>
      </c>
      <c r="DO13" s="862">
        <f t="shared" si="21"/>
        <v>1594.5</v>
      </c>
      <c r="DP13" s="862">
        <f t="shared" si="22"/>
        <v>0</v>
      </c>
      <c r="DQ13" s="862">
        <f t="shared" si="23"/>
        <v>0</v>
      </c>
      <c r="DU13" s="880" t="s">
        <v>664</v>
      </c>
      <c r="DV13" s="880" t="s">
        <v>267</v>
      </c>
      <c r="DW13" s="880" t="s">
        <v>447</v>
      </c>
      <c r="DX13" s="880" t="s">
        <v>447</v>
      </c>
      <c r="DY13" s="881" t="s">
        <v>547</v>
      </c>
      <c r="DZ13" s="882">
        <v>0</v>
      </c>
      <c r="EA13" s="882">
        <v>66729707</v>
      </c>
      <c r="EB13" s="882">
        <v>91929707</v>
      </c>
      <c r="EC13" s="883">
        <f t="shared" si="24"/>
        <v>0</v>
      </c>
      <c r="ED13" s="883">
        <f t="shared" si="25"/>
        <v>70933.678540999987</v>
      </c>
      <c r="EE13" s="883">
        <f t="shared" si="26"/>
        <v>97721.278540999992</v>
      </c>
      <c r="EI13" s="602" t="s">
        <v>444</v>
      </c>
      <c r="EJ13" s="602" t="s">
        <v>468</v>
      </c>
      <c r="EK13" s="602" t="s">
        <v>446</v>
      </c>
      <c r="EL13" s="602" t="s">
        <v>322</v>
      </c>
      <c r="EM13" s="602" t="s">
        <v>547</v>
      </c>
      <c r="EN13" s="602">
        <v>1500000</v>
      </c>
      <c r="EO13" s="602">
        <v>0</v>
      </c>
      <c r="EP13" s="602">
        <v>0</v>
      </c>
      <c r="EQ13" s="884">
        <f t="shared" si="27"/>
        <v>1594.5</v>
      </c>
      <c r="ER13" s="884">
        <f t="shared" si="28"/>
        <v>0</v>
      </c>
      <c r="ES13" s="884">
        <f t="shared" si="29"/>
        <v>0</v>
      </c>
      <c r="EW13" s="602" t="s">
        <v>660</v>
      </c>
      <c r="EX13" s="602" t="s">
        <v>154</v>
      </c>
      <c r="EY13" s="602" t="s">
        <v>447</v>
      </c>
      <c r="EZ13" s="602" t="s">
        <v>447</v>
      </c>
      <c r="FA13" s="603" t="s">
        <v>547</v>
      </c>
      <c r="FB13" s="884">
        <v>14000000000</v>
      </c>
      <c r="FC13" s="884">
        <v>0</v>
      </c>
      <c r="FD13" s="884">
        <v>0</v>
      </c>
      <c r="FE13" s="884">
        <f t="shared" si="30"/>
        <v>14882000</v>
      </c>
      <c r="FF13" s="884">
        <f t="shared" si="31"/>
        <v>0</v>
      </c>
      <c r="FG13" s="884">
        <f t="shared" si="32"/>
        <v>0</v>
      </c>
      <c r="FK13" s="602" t="s">
        <v>444</v>
      </c>
      <c r="FL13" s="602" t="s">
        <v>468</v>
      </c>
      <c r="FM13" s="602" t="s">
        <v>446</v>
      </c>
      <c r="FN13" s="602" t="s">
        <v>322</v>
      </c>
      <c r="FO13" s="602" t="s">
        <v>547</v>
      </c>
      <c r="FP13" s="884">
        <v>1500000</v>
      </c>
      <c r="FQ13" s="884">
        <v>0</v>
      </c>
      <c r="FR13" s="884">
        <v>0</v>
      </c>
      <c r="FS13" s="862">
        <f t="shared" si="33"/>
        <v>1594.5</v>
      </c>
      <c r="FT13" s="862">
        <f t="shared" si="34"/>
        <v>0</v>
      </c>
      <c r="FU13" s="862">
        <f t="shared" si="35"/>
        <v>0</v>
      </c>
      <c r="FY13" s="602" t="s">
        <v>659</v>
      </c>
      <c r="FZ13" s="602" t="s">
        <v>221</v>
      </c>
      <c r="GA13" s="602" t="s">
        <v>447</v>
      </c>
      <c r="GB13" s="602" t="s">
        <v>447</v>
      </c>
      <c r="GC13" s="603" t="s">
        <v>547</v>
      </c>
      <c r="GD13" s="604">
        <v>0</v>
      </c>
      <c r="GE13" s="604">
        <v>485326659</v>
      </c>
      <c r="GF13" s="604">
        <v>631083193</v>
      </c>
      <c r="GG13" s="884">
        <f t="shared" si="36"/>
        <v>0</v>
      </c>
      <c r="GH13" s="884">
        <f t="shared" si="37"/>
        <v>515902.23851699993</v>
      </c>
      <c r="GI13" s="884">
        <f t="shared" si="38"/>
        <v>670841.43415899994</v>
      </c>
      <c r="GM13" s="885" t="s">
        <v>444</v>
      </c>
      <c r="GN13" s="886" t="s">
        <v>468</v>
      </c>
      <c r="GO13" s="885" t="s">
        <v>446</v>
      </c>
      <c r="GP13" s="885" t="s">
        <v>322</v>
      </c>
      <c r="GQ13" s="886" t="s">
        <v>547</v>
      </c>
      <c r="GR13" s="887">
        <v>1500000</v>
      </c>
      <c r="GS13" s="887">
        <v>0</v>
      </c>
      <c r="GT13" s="887">
        <v>0</v>
      </c>
      <c r="GU13" s="887">
        <f t="shared" si="39"/>
        <v>1594.5</v>
      </c>
      <c r="GV13" s="887">
        <f t="shared" si="40"/>
        <v>0</v>
      </c>
      <c r="GW13" s="887">
        <f t="shared" si="41"/>
        <v>0</v>
      </c>
      <c r="HA13" s="602" t="s">
        <v>661</v>
      </c>
      <c r="HB13" s="602" t="s">
        <v>305</v>
      </c>
      <c r="HC13" s="602" t="s">
        <v>447</v>
      </c>
      <c r="HD13" s="602" t="s">
        <v>447</v>
      </c>
      <c r="HE13" s="603" t="s">
        <v>547</v>
      </c>
      <c r="HF13" s="604">
        <v>0</v>
      </c>
      <c r="HG13" s="604">
        <v>0</v>
      </c>
      <c r="HH13" s="604">
        <v>1946198310</v>
      </c>
      <c r="HI13" s="604">
        <f t="shared" si="42"/>
        <v>0</v>
      </c>
      <c r="HJ13" s="604">
        <f t="shared" si="43"/>
        <v>0</v>
      </c>
      <c r="HK13" s="604">
        <f t="shared" si="44"/>
        <v>1946198.31</v>
      </c>
      <c r="HO13" s="885" t="s">
        <v>444</v>
      </c>
      <c r="HP13" s="885" t="s">
        <v>468</v>
      </c>
      <c r="HQ13" s="885" t="s">
        <v>446</v>
      </c>
      <c r="HR13" s="885" t="s">
        <v>322</v>
      </c>
      <c r="HS13" s="603" t="s">
        <v>547</v>
      </c>
      <c r="HT13" s="604">
        <v>1500000</v>
      </c>
      <c r="HU13" s="604">
        <v>0</v>
      </c>
      <c r="HV13" s="604">
        <v>0</v>
      </c>
      <c r="HW13" s="862">
        <f t="shared" si="45"/>
        <v>1500</v>
      </c>
      <c r="HX13" s="862">
        <f t="shared" si="46"/>
        <v>0</v>
      </c>
      <c r="HY13" s="862">
        <f t="shared" si="47"/>
        <v>0</v>
      </c>
      <c r="IC13" s="602" t="s">
        <v>444</v>
      </c>
      <c r="ID13" s="602" t="s">
        <v>468</v>
      </c>
      <c r="IE13" s="602" t="s">
        <v>471</v>
      </c>
      <c r="IF13" s="602" t="s">
        <v>279</v>
      </c>
      <c r="IG13" s="603" t="s">
        <v>547</v>
      </c>
      <c r="IH13" s="604">
        <v>-952446</v>
      </c>
      <c r="II13" s="604">
        <v>0</v>
      </c>
      <c r="IJ13" s="604">
        <v>0</v>
      </c>
      <c r="IK13" s="883">
        <f t="shared" si="48"/>
        <v>-952.44600000000003</v>
      </c>
      <c r="IL13" s="883">
        <f t="shared" si="49"/>
        <v>0</v>
      </c>
      <c r="IM13" s="883">
        <f t="shared" si="50"/>
        <v>0</v>
      </c>
      <c r="IQ13" s="885" t="s">
        <v>444</v>
      </c>
      <c r="IR13" s="885" t="s">
        <v>468</v>
      </c>
      <c r="IS13" s="885" t="s">
        <v>446</v>
      </c>
      <c r="IT13" s="885" t="s">
        <v>322</v>
      </c>
      <c r="IU13" s="886" t="s">
        <v>547</v>
      </c>
      <c r="IV13" s="887">
        <v>876125</v>
      </c>
      <c r="IW13" s="887">
        <v>0</v>
      </c>
      <c r="IX13" s="887">
        <v>0</v>
      </c>
      <c r="IY13" s="888">
        <f t="shared" si="51"/>
        <v>876.125</v>
      </c>
      <c r="IZ13" s="888">
        <f t="shared" si="52"/>
        <v>0</v>
      </c>
      <c r="JA13" s="888">
        <f t="shared" si="53"/>
        <v>0</v>
      </c>
      <c r="JE13" s="886" t="s">
        <v>659</v>
      </c>
      <c r="JF13" s="886" t="s">
        <v>221</v>
      </c>
      <c r="JG13" s="886" t="s">
        <v>447</v>
      </c>
      <c r="JH13" s="886" t="s">
        <v>447</v>
      </c>
      <c r="JI13" s="603" t="s">
        <v>547</v>
      </c>
      <c r="JJ13" s="604">
        <v>2866048634</v>
      </c>
      <c r="JK13" s="862">
        <f t="shared" si="54"/>
        <v>2866048.6340000001</v>
      </c>
      <c r="JO13" s="884" t="s">
        <v>444</v>
      </c>
      <c r="JP13" s="884" t="s">
        <v>468</v>
      </c>
      <c r="JQ13" s="884" t="s">
        <v>446</v>
      </c>
      <c r="JR13" s="605" t="s">
        <v>322</v>
      </c>
      <c r="JS13" s="605" t="s">
        <v>547</v>
      </c>
      <c r="JT13" s="889">
        <v>880920</v>
      </c>
      <c r="JU13" s="889">
        <v>0</v>
      </c>
      <c r="JV13" s="889">
        <v>0</v>
      </c>
      <c r="JW13" s="863">
        <f t="shared" si="55"/>
        <v>880.92</v>
      </c>
      <c r="JX13" s="863">
        <f t="shared" si="56"/>
        <v>0</v>
      </c>
      <c r="JY13" s="863">
        <f t="shared" si="57"/>
        <v>0</v>
      </c>
    </row>
    <row r="14" spans="1:287" ht="15" customHeight="1" x14ac:dyDescent="0.3">
      <c r="A14" s="872" t="s">
        <v>444</v>
      </c>
      <c r="B14" s="872" t="s">
        <v>468</v>
      </c>
      <c r="C14" s="872" t="s">
        <v>447</v>
      </c>
      <c r="D14" s="872" t="s">
        <v>447</v>
      </c>
      <c r="E14" s="873">
        <v>0</v>
      </c>
      <c r="F14" s="873">
        <f t="shared" si="7"/>
        <v>0</v>
      </c>
      <c r="G14" s="873">
        <v>0</v>
      </c>
      <c r="H14" s="873">
        <f t="shared" si="8"/>
        <v>0</v>
      </c>
      <c r="L14" s="874" t="s">
        <v>666</v>
      </c>
      <c r="M14" s="874" t="s">
        <v>529</v>
      </c>
      <c r="N14" s="874" t="s">
        <v>447</v>
      </c>
      <c r="O14" s="874" t="s">
        <v>447</v>
      </c>
      <c r="P14" s="875">
        <v>265093609</v>
      </c>
      <c r="Q14" s="875">
        <f t="shared" si="9"/>
        <v>281794.50636699999</v>
      </c>
      <c r="U14" s="874" t="s">
        <v>451</v>
      </c>
      <c r="V14" s="874" t="s">
        <v>470</v>
      </c>
      <c r="W14" s="874" t="s">
        <v>447</v>
      </c>
      <c r="X14" s="874" t="s">
        <v>447</v>
      </c>
      <c r="Y14" s="875">
        <v>4161496000</v>
      </c>
      <c r="Z14" s="875">
        <f t="shared" si="10"/>
        <v>4423670.2479999997</v>
      </c>
      <c r="AD14" s="874" t="s">
        <v>665</v>
      </c>
      <c r="AE14" s="874" t="s">
        <v>342</v>
      </c>
      <c r="AF14" s="874" t="s">
        <v>447</v>
      </c>
      <c r="AG14" s="874" t="s">
        <v>447</v>
      </c>
      <c r="AH14" s="875">
        <v>279368000</v>
      </c>
      <c r="AI14" s="875">
        <f t="shared" si="11"/>
        <v>296968.18400000001</v>
      </c>
      <c r="AM14" s="874" t="s">
        <v>444</v>
      </c>
      <c r="AN14" s="874" t="s">
        <v>468</v>
      </c>
      <c r="AO14" s="874" t="s">
        <v>471</v>
      </c>
      <c r="AP14" s="874" t="s">
        <v>279</v>
      </c>
      <c r="AQ14" s="875">
        <v>0</v>
      </c>
      <c r="AR14" s="875">
        <f t="shared" si="58"/>
        <v>0</v>
      </c>
      <c r="AS14" s="875">
        <v>1447554</v>
      </c>
      <c r="AV14" s="862"/>
      <c r="BC14" s="860">
        <f>SUM(BC3:BC13)</f>
        <v>6949511.290236</v>
      </c>
      <c r="BG14" s="874" t="s">
        <v>444</v>
      </c>
      <c r="BH14" s="874" t="s">
        <v>468</v>
      </c>
      <c r="BI14" s="874" t="s">
        <v>471</v>
      </c>
      <c r="BJ14" s="874" t="s">
        <v>279</v>
      </c>
      <c r="BK14" s="875">
        <v>0</v>
      </c>
      <c r="BL14" s="875">
        <v>1447554</v>
      </c>
      <c r="BM14" s="875">
        <v>1447554</v>
      </c>
      <c r="BN14" s="864">
        <f t="shared" si="1"/>
        <v>0</v>
      </c>
      <c r="BO14" s="864">
        <f t="shared" si="2"/>
        <v>1538.749902</v>
      </c>
      <c r="BP14" s="864">
        <f t="shared" si="3"/>
        <v>1538.749902</v>
      </c>
      <c r="BT14" s="602" t="s">
        <v>662</v>
      </c>
      <c r="BU14" s="602" t="s">
        <v>308</v>
      </c>
      <c r="BV14" s="602" t="s">
        <v>447</v>
      </c>
      <c r="BW14" s="602" t="s">
        <v>447</v>
      </c>
      <c r="BX14" s="603" t="s">
        <v>547</v>
      </c>
      <c r="BY14" s="604">
        <v>0</v>
      </c>
      <c r="BZ14" s="604">
        <v>563232920</v>
      </c>
      <c r="CA14" s="604">
        <v>562830265</v>
      </c>
      <c r="CB14" s="862">
        <f t="shared" si="12"/>
        <v>0</v>
      </c>
      <c r="CC14" s="862">
        <f t="shared" si="13"/>
        <v>598716.59395999997</v>
      </c>
      <c r="CD14" s="862">
        <f t="shared" si="14"/>
        <v>598288.57169499993</v>
      </c>
      <c r="CH14" s="602" t="s">
        <v>444</v>
      </c>
      <c r="CI14" s="602" t="s">
        <v>468</v>
      </c>
      <c r="CJ14" s="602" t="s">
        <v>445</v>
      </c>
      <c r="CK14" s="602" t="s">
        <v>277</v>
      </c>
      <c r="CL14" s="604">
        <v>0</v>
      </c>
      <c r="CM14" s="604">
        <v>199842339</v>
      </c>
      <c r="CN14" s="604">
        <v>102935008</v>
      </c>
      <c r="CO14" s="879">
        <f t="shared" si="15"/>
        <v>0</v>
      </c>
      <c r="CP14" s="879">
        <f t="shared" si="16"/>
        <v>212432.406357</v>
      </c>
      <c r="CQ14" s="879">
        <f t="shared" si="17"/>
        <v>109419.913504</v>
      </c>
      <c r="CU14" s="602" t="s">
        <v>660</v>
      </c>
      <c r="CV14" s="602" t="s">
        <v>154</v>
      </c>
      <c r="CW14" s="602" t="s">
        <v>447</v>
      </c>
      <c r="CX14" s="602" t="s">
        <v>447</v>
      </c>
      <c r="CY14" s="604">
        <v>0</v>
      </c>
      <c r="CZ14" s="604">
        <v>390928519</v>
      </c>
      <c r="DA14" s="604">
        <v>352910254</v>
      </c>
      <c r="DB14" s="862">
        <f t="shared" si="18"/>
        <v>0</v>
      </c>
      <c r="DC14" s="862">
        <f t="shared" si="19"/>
        <v>415557.01569699997</v>
      </c>
      <c r="DD14" s="862">
        <f t="shared" si="20"/>
        <v>375143.60000199999</v>
      </c>
      <c r="DH14" s="602" t="s">
        <v>444</v>
      </c>
      <c r="DI14" s="602" t="s">
        <v>468</v>
      </c>
      <c r="DJ14" s="602" t="s">
        <v>471</v>
      </c>
      <c r="DK14" s="602" t="s">
        <v>279</v>
      </c>
      <c r="DL14" s="604">
        <v>0</v>
      </c>
      <c r="DM14" s="604">
        <v>1447554</v>
      </c>
      <c r="DN14" s="604">
        <v>1447554</v>
      </c>
      <c r="DO14" s="862">
        <f t="shared" si="21"/>
        <v>0</v>
      </c>
      <c r="DP14" s="862">
        <f t="shared" si="22"/>
        <v>1538.749902</v>
      </c>
      <c r="DQ14" s="862">
        <f t="shared" si="23"/>
        <v>1538.749902</v>
      </c>
      <c r="DU14" s="880" t="s">
        <v>665</v>
      </c>
      <c r="DV14" s="880" t="s">
        <v>342</v>
      </c>
      <c r="DW14" s="880" t="s">
        <v>447</v>
      </c>
      <c r="DX14" s="880" t="s">
        <v>447</v>
      </c>
      <c r="DY14" s="881" t="s">
        <v>547</v>
      </c>
      <c r="DZ14" s="882">
        <v>0</v>
      </c>
      <c r="EA14" s="882">
        <v>9900000</v>
      </c>
      <c r="EB14" s="882">
        <v>9900000</v>
      </c>
      <c r="EC14" s="883">
        <f t="shared" si="24"/>
        <v>0</v>
      </c>
      <c r="ED14" s="883">
        <f t="shared" si="25"/>
        <v>10523.699999999999</v>
      </c>
      <c r="EE14" s="883">
        <f t="shared" si="26"/>
        <v>10523.699999999999</v>
      </c>
      <c r="EI14" s="602" t="s">
        <v>444</v>
      </c>
      <c r="EJ14" s="602" t="s">
        <v>468</v>
      </c>
      <c r="EK14" s="602" t="s">
        <v>445</v>
      </c>
      <c r="EL14" s="602" t="s">
        <v>277</v>
      </c>
      <c r="EM14" s="602" t="s">
        <v>547</v>
      </c>
      <c r="EN14" s="602">
        <v>0</v>
      </c>
      <c r="EO14" s="602">
        <v>221533671</v>
      </c>
      <c r="EP14" s="602">
        <v>144892536</v>
      </c>
      <c r="EQ14" s="884">
        <f t="shared" si="27"/>
        <v>0</v>
      </c>
      <c r="ER14" s="884">
        <f t="shared" si="28"/>
        <v>235490.292273</v>
      </c>
      <c r="ES14" s="884">
        <f t="shared" si="29"/>
        <v>154020.76576799998</v>
      </c>
      <c r="EW14" s="602" t="s">
        <v>660</v>
      </c>
      <c r="EX14" s="602" t="s">
        <v>154</v>
      </c>
      <c r="EY14" s="602" t="s">
        <v>447</v>
      </c>
      <c r="EZ14" s="602" t="s">
        <v>447</v>
      </c>
      <c r="FA14" s="603" t="s">
        <v>547</v>
      </c>
      <c r="FB14" s="884">
        <v>0</v>
      </c>
      <c r="FC14" s="884">
        <v>14349746759</v>
      </c>
      <c r="FD14" s="884">
        <v>27018465591</v>
      </c>
      <c r="FE14" s="884">
        <f t="shared" si="30"/>
        <v>0</v>
      </c>
      <c r="FF14" s="884">
        <f t="shared" si="31"/>
        <v>15253780.804816999</v>
      </c>
      <c r="FG14" s="884">
        <f t="shared" si="32"/>
        <v>28720628.923232995</v>
      </c>
      <c r="FK14" s="602" t="s">
        <v>444</v>
      </c>
      <c r="FL14" s="602" t="s">
        <v>468</v>
      </c>
      <c r="FM14" s="602" t="s">
        <v>474</v>
      </c>
      <c r="FN14" s="602" t="s">
        <v>276</v>
      </c>
      <c r="FO14" s="602" t="s">
        <v>547</v>
      </c>
      <c r="FP14" s="884">
        <v>0</v>
      </c>
      <c r="FQ14" s="884">
        <v>1788210381</v>
      </c>
      <c r="FR14" s="884">
        <v>1726100300</v>
      </c>
      <c r="FS14" s="862">
        <f t="shared" si="33"/>
        <v>0</v>
      </c>
      <c r="FT14" s="862">
        <f t="shared" si="34"/>
        <v>1900867.635003</v>
      </c>
      <c r="FU14" s="862">
        <f t="shared" si="35"/>
        <v>1834844.6188999999</v>
      </c>
      <c r="FY14" s="602" t="s">
        <v>660</v>
      </c>
      <c r="FZ14" s="602" t="s">
        <v>154</v>
      </c>
      <c r="GA14" s="602" t="s">
        <v>447</v>
      </c>
      <c r="GB14" s="602" t="s">
        <v>447</v>
      </c>
      <c r="GC14" s="603" t="s">
        <v>547</v>
      </c>
      <c r="GD14" s="604">
        <v>0</v>
      </c>
      <c r="GE14" s="604">
        <v>4010239048</v>
      </c>
      <c r="GF14" s="604">
        <v>3272953707</v>
      </c>
      <c r="GG14" s="884">
        <f t="shared" si="36"/>
        <v>0</v>
      </c>
      <c r="GH14" s="884">
        <f t="shared" si="37"/>
        <v>4262884.1080240002</v>
      </c>
      <c r="GI14" s="884">
        <f t="shared" si="38"/>
        <v>3479149.7905409997</v>
      </c>
      <c r="GM14" s="885" t="s">
        <v>444</v>
      </c>
      <c r="GN14" s="886" t="s">
        <v>468</v>
      </c>
      <c r="GO14" s="885" t="s">
        <v>445</v>
      </c>
      <c r="GP14" s="885" t="s">
        <v>277</v>
      </c>
      <c r="GQ14" s="886" t="s">
        <v>547</v>
      </c>
      <c r="GR14" s="887">
        <v>0</v>
      </c>
      <c r="GS14" s="887">
        <v>244776423</v>
      </c>
      <c r="GT14" s="887">
        <v>181099785</v>
      </c>
      <c r="GU14" s="887">
        <f t="shared" si="39"/>
        <v>0</v>
      </c>
      <c r="GV14" s="887">
        <f t="shared" si="40"/>
        <v>260197.33764899999</v>
      </c>
      <c r="GW14" s="887">
        <f t="shared" si="41"/>
        <v>192509.071455</v>
      </c>
      <c r="HA14" s="602" t="s">
        <v>901</v>
      </c>
      <c r="HB14" s="602" t="s">
        <v>902</v>
      </c>
      <c r="HC14" s="602" t="s">
        <v>447</v>
      </c>
      <c r="HD14" s="602" t="s">
        <v>447</v>
      </c>
      <c r="HE14" s="603" t="s">
        <v>547</v>
      </c>
      <c r="HF14" s="604">
        <v>2000000000</v>
      </c>
      <c r="HG14" s="604">
        <v>0</v>
      </c>
      <c r="HH14" s="604">
        <v>0</v>
      </c>
      <c r="HI14" s="604">
        <f t="shared" si="42"/>
        <v>2000000</v>
      </c>
      <c r="HJ14" s="604">
        <f t="shared" si="43"/>
        <v>0</v>
      </c>
      <c r="HK14" s="604">
        <f t="shared" si="44"/>
        <v>0</v>
      </c>
      <c r="HO14" s="885" t="s">
        <v>444</v>
      </c>
      <c r="HP14" s="885" t="s">
        <v>468</v>
      </c>
      <c r="HQ14" s="885" t="s">
        <v>472</v>
      </c>
      <c r="HR14" s="885" t="s">
        <v>473</v>
      </c>
      <c r="HS14" s="603" t="s">
        <v>547</v>
      </c>
      <c r="HT14" s="604">
        <v>0</v>
      </c>
      <c r="HU14" s="604">
        <v>125296217</v>
      </c>
      <c r="HV14" s="604">
        <v>112509985</v>
      </c>
      <c r="HW14" s="862">
        <f t="shared" si="45"/>
        <v>0</v>
      </c>
      <c r="HX14" s="862">
        <f t="shared" si="46"/>
        <v>125296.217</v>
      </c>
      <c r="HY14" s="862">
        <f t="shared" si="47"/>
        <v>112509.985</v>
      </c>
      <c r="IC14" s="602" t="s">
        <v>444</v>
      </c>
      <c r="ID14" s="602" t="s">
        <v>468</v>
      </c>
      <c r="IE14" s="602" t="s">
        <v>445</v>
      </c>
      <c r="IF14" s="602" t="s">
        <v>277</v>
      </c>
      <c r="IG14" s="603" t="s">
        <v>547</v>
      </c>
      <c r="IH14" s="604">
        <v>-71229263</v>
      </c>
      <c r="II14" s="604">
        <v>0</v>
      </c>
      <c r="IJ14" s="604">
        <v>0</v>
      </c>
      <c r="IK14" s="883">
        <f t="shared" si="48"/>
        <v>-71229.263000000006</v>
      </c>
      <c r="IL14" s="883">
        <f t="shared" si="49"/>
        <v>0</v>
      </c>
      <c r="IM14" s="883">
        <f t="shared" si="50"/>
        <v>0</v>
      </c>
      <c r="IQ14" s="885" t="s">
        <v>444</v>
      </c>
      <c r="IR14" s="885" t="s">
        <v>468</v>
      </c>
      <c r="IS14" s="885" t="s">
        <v>471</v>
      </c>
      <c r="IT14" s="885" t="s">
        <v>279</v>
      </c>
      <c r="IU14" s="886" t="s">
        <v>547</v>
      </c>
      <c r="IV14" s="887">
        <v>0</v>
      </c>
      <c r="IW14" s="887">
        <v>1447554</v>
      </c>
      <c r="IX14" s="887">
        <v>1447554</v>
      </c>
      <c r="IY14" s="888">
        <f t="shared" si="51"/>
        <v>0</v>
      </c>
      <c r="IZ14" s="888">
        <f t="shared" si="52"/>
        <v>1447.5540000000001</v>
      </c>
      <c r="JA14" s="888">
        <f t="shared" si="53"/>
        <v>1447.5540000000001</v>
      </c>
      <c r="JE14" s="886" t="s">
        <v>660</v>
      </c>
      <c r="JF14" s="886" t="s">
        <v>154</v>
      </c>
      <c r="JG14" s="886" t="s">
        <v>447</v>
      </c>
      <c r="JH14" s="886" t="s">
        <v>447</v>
      </c>
      <c r="JI14" s="603" t="s">
        <v>547</v>
      </c>
      <c r="JJ14" s="604">
        <v>1594899266</v>
      </c>
      <c r="JK14" s="862">
        <f t="shared" si="54"/>
        <v>1594899.2660000001</v>
      </c>
      <c r="JO14" s="884" t="s">
        <v>444</v>
      </c>
      <c r="JP14" s="884" t="s">
        <v>468</v>
      </c>
      <c r="JQ14" s="884" t="s">
        <v>498</v>
      </c>
      <c r="JR14" s="605" t="s">
        <v>343</v>
      </c>
      <c r="JS14" s="605" t="s">
        <v>547</v>
      </c>
      <c r="JT14" s="889">
        <v>0</v>
      </c>
      <c r="JU14" s="889">
        <v>532588076</v>
      </c>
      <c r="JV14" s="889">
        <v>532588076</v>
      </c>
      <c r="JW14" s="863">
        <f t="shared" si="55"/>
        <v>0</v>
      </c>
      <c r="JX14" s="863">
        <f t="shared" si="56"/>
        <v>532588.076</v>
      </c>
      <c r="JY14" s="863">
        <f t="shared" si="57"/>
        <v>532588.076</v>
      </c>
    </row>
    <row r="15" spans="1:287" ht="15" customHeight="1" x14ac:dyDescent="0.3">
      <c r="A15" s="872" t="s">
        <v>444</v>
      </c>
      <c r="B15" s="872" t="s">
        <v>468</v>
      </c>
      <c r="C15" s="872" t="s">
        <v>446</v>
      </c>
      <c r="D15" s="872" t="s">
        <v>322</v>
      </c>
      <c r="E15" s="873">
        <v>0</v>
      </c>
      <c r="F15" s="873">
        <f t="shared" si="7"/>
        <v>0</v>
      </c>
      <c r="G15" s="873">
        <v>167345</v>
      </c>
      <c r="H15" s="873">
        <f t="shared" si="8"/>
        <v>177.88773499999999</v>
      </c>
      <c r="L15" s="874" t="s">
        <v>667</v>
      </c>
      <c r="M15" s="874" t="s">
        <v>634</v>
      </c>
      <c r="N15" s="874" t="s">
        <v>447</v>
      </c>
      <c r="O15" s="874" t="s">
        <v>447</v>
      </c>
      <c r="P15" s="875">
        <v>1749053931</v>
      </c>
      <c r="Q15" s="875">
        <f t="shared" si="9"/>
        <v>1859244.3286530001</v>
      </c>
      <c r="U15" s="874" t="s">
        <v>451</v>
      </c>
      <c r="V15" s="874" t="s">
        <v>470</v>
      </c>
      <c r="W15" s="874" t="s">
        <v>447</v>
      </c>
      <c r="X15" s="874" t="s">
        <v>447</v>
      </c>
      <c r="Y15" s="875">
        <v>4161484000</v>
      </c>
      <c r="Z15" s="875">
        <f t="shared" si="10"/>
        <v>4423657.4919999996</v>
      </c>
      <c r="AD15" s="874" t="s">
        <v>666</v>
      </c>
      <c r="AE15" s="874" t="s">
        <v>529</v>
      </c>
      <c r="AF15" s="874" t="s">
        <v>447</v>
      </c>
      <c r="AG15" s="874" t="s">
        <v>447</v>
      </c>
      <c r="AH15" s="875">
        <v>743155855</v>
      </c>
      <c r="AI15" s="875">
        <f t="shared" si="11"/>
        <v>789974.6738649999</v>
      </c>
      <c r="AM15" s="874" t="s">
        <v>444</v>
      </c>
      <c r="AN15" s="874" t="s">
        <v>468</v>
      </c>
      <c r="AO15" s="874" t="s">
        <v>472</v>
      </c>
      <c r="AP15" s="874" t="s">
        <v>473</v>
      </c>
      <c r="AQ15" s="875">
        <v>0</v>
      </c>
      <c r="AR15" s="875">
        <f t="shared" si="58"/>
        <v>0</v>
      </c>
      <c r="AS15" s="875">
        <v>20574501</v>
      </c>
      <c r="AV15" s="862"/>
      <c r="BG15" s="874" t="s">
        <v>444</v>
      </c>
      <c r="BH15" s="874" t="s">
        <v>468</v>
      </c>
      <c r="BI15" s="874" t="s">
        <v>472</v>
      </c>
      <c r="BJ15" s="874" t="s">
        <v>473</v>
      </c>
      <c r="BK15" s="875">
        <v>198649775</v>
      </c>
      <c r="BL15" s="875">
        <v>0</v>
      </c>
      <c r="BM15" s="875">
        <v>0</v>
      </c>
      <c r="BN15" s="864">
        <f t="shared" si="1"/>
        <v>211164.71082499999</v>
      </c>
      <c r="BO15" s="864">
        <f t="shared" si="2"/>
        <v>0</v>
      </c>
      <c r="BP15" s="864">
        <f t="shared" si="3"/>
        <v>0</v>
      </c>
      <c r="BT15" s="602" t="s">
        <v>664</v>
      </c>
      <c r="BU15" s="602" t="s">
        <v>267</v>
      </c>
      <c r="BV15" s="602" t="s">
        <v>447</v>
      </c>
      <c r="BW15" s="602" t="s">
        <v>447</v>
      </c>
      <c r="BX15" s="603" t="s">
        <v>547</v>
      </c>
      <c r="BY15" s="604">
        <v>0</v>
      </c>
      <c r="BZ15" s="604">
        <v>230038352</v>
      </c>
      <c r="CA15" s="604">
        <v>263638352</v>
      </c>
      <c r="CB15" s="862">
        <f t="shared" si="12"/>
        <v>0</v>
      </c>
      <c r="CC15" s="862">
        <f t="shared" si="13"/>
        <v>244530.76817600001</v>
      </c>
      <c r="CD15" s="862">
        <f t="shared" si="14"/>
        <v>280247.56817599997</v>
      </c>
      <c r="CH15" s="602" t="s">
        <v>444</v>
      </c>
      <c r="CI15" s="602" t="s">
        <v>468</v>
      </c>
      <c r="CJ15" s="602" t="s">
        <v>446</v>
      </c>
      <c r="CK15" s="602" t="s">
        <v>322</v>
      </c>
      <c r="CL15" s="604">
        <v>0</v>
      </c>
      <c r="CM15" s="604">
        <v>1400000</v>
      </c>
      <c r="CN15" s="604">
        <v>412174</v>
      </c>
      <c r="CO15" s="879">
        <f t="shared" si="15"/>
        <v>0</v>
      </c>
      <c r="CP15" s="879">
        <f t="shared" si="16"/>
        <v>1488.1999999999998</v>
      </c>
      <c r="CQ15" s="879">
        <f t="shared" si="17"/>
        <v>438.14096199999994</v>
      </c>
      <c r="CU15" s="602" t="s">
        <v>661</v>
      </c>
      <c r="CV15" s="602" t="s">
        <v>305</v>
      </c>
      <c r="CW15" s="602" t="s">
        <v>447</v>
      </c>
      <c r="CX15" s="602" t="s">
        <v>447</v>
      </c>
      <c r="CY15" s="604">
        <v>875889000</v>
      </c>
      <c r="CZ15" s="604">
        <v>0</v>
      </c>
      <c r="DA15" s="604">
        <v>0</v>
      </c>
      <c r="DB15" s="862">
        <f t="shared" si="18"/>
        <v>931070.00699999998</v>
      </c>
      <c r="DC15" s="862">
        <f t="shared" si="19"/>
        <v>0</v>
      </c>
      <c r="DD15" s="862">
        <f t="shared" si="20"/>
        <v>0</v>
      </c>
      <c r="DH15" s="602" t="s">
        <v>444</v>
      </c>
      <c r="DI15" s="602" t="s">
        <v>468</v>
      </c>
      <c r="DJ15" s="602" t="s">
        <v>472</v>
      </c>
      <c r="DK15" s="602" t="s">
        <v>473</v>
      </c>
      <c r="DL15" s="604">
        <v>0</v>
      </c>
      <c r="DM15" s="604">
        <v>125296217</v>
      </c>
      <c r="DN15" s="604">
        <v>92149501</v>
      </c>
      <c r="DO15" s="862">
        <f t="shared" si="21"/>
        <v>0</v>
      </c>
      <c r="DP15" s="862">
        <f t="shared" si="22"/>
        <v>133189.87867099998</v>
      </c>
      <c r="DQ15" s="862">
        <f t="shared" si="23"/>
        <v>97954.919563000003</v>
      </c>
      <c r="DU15" s="880" t="s">
        <v>666</v>
      </c>
      <c r="DV15" s="880" t="s">
        <v>529</v>
      </c>
      <c r="DW15" s="880" t="s">
        <v>447</v>
      </c>
      <c r="DX15" s="880" t="s">
        <v>447</v>
      </c>
      <c r="DY15" s="881" t="s">
        <v>547</v>
      </c>
      <c r="DZ15" s="882">
        <v>0</v>
      </c>
      <c r="EA15" s="882">
        <v>0</v>
      </c>
      <c r="EB15" s="882">
        <v>0</v>
      </c>
      <c r="EC15" s="883">
        <f t="shared" si="24"/>
        <v>0</v>
      </c>
      <c r="ED15" s="883">
        <f t="shared" si="25"/>
        <v>0</v>
      </c>
      <c r="EE15" s="883">
        <f t="shared" si="26"/>
        <v>0</v>
      </c>
      <c r="EI15" s="602" t="s">
        <v>444</v>
      </c>
      <c r="EJ15" s="602" t="s">
        <v>468</v>
      </c>
      <c r="EK15" s="602" t="s">
        <v>447</v>
      </c>
      <c r="EL15" s="602" t="s">
        <v>447</v>
      </c>
      <c r="EM15" s="602" t="s">
        <v>547</v>
      </c>
      <c r="EN15" s="602">
        <v>0</v>
      </c>
      <c r="EO15" s="602">
        <v>0</v>
      </c>
      <c r="EP15" s="602">
        <v>0</v>
      </c>
      <c r="EQ15" s="884">
        <f t="shared" si="27"/>
        <v>0</v>
      </c>
      <c r="ER15" s="884">
        <f t="shared" si="28"/>
        <v>0</v>
      </c>
      <c r="ES15" s="884">
        <f t="shared" si="29"/>
        <v>0</v>
      </c>
      <c r="EW15" s="602" t="s">
        <v>661</v>
      </c>
      <c r="EX15" s="602" t="s">
        <v>305</v>
      </c>
      <c r="EY15" s="602" t="s">
        <v>447</v>
      </c>
      <c r="EZ15" s="602" t="s">
        <v>447</v>
      </c>
      <c r="FA15" s="603" t="s">
        <v>547</v>
      </c>
      <c r="FB15" s="884">
        <v>0</v>
      </c>
      <c r="FC15" s="884">
        <v>0</v>
      </c>
      <c r="FD15" s="884">
        <v>58640085</v>
      </c>
      <c r="FE15" s="884">
        <f t="shared" si="30"/>
        <v>0</v>
      </c>
      <c r="FF15" s="884">
        <f t="shared" si="31"/>
        <v>0</v>
      </c>
      <c r="FG15" s="884">
        <f t="shared" si="32"/>
        <v>62334.410354999993</v>
      </c>
      <c r="FK15" s="602" t="s">
        <v>444</v>
      </c>
      <c r="FL15" s="602" t="s">
        <v>468</v>
      </c>
      <c r="FM15" s="602" t="s">
        <v>446</v>
      </c>
      <c r="FN15" s="602" t="s">
        <v>322</v>
      </c>
      <c r="FO15" s="602" t="s">
        <v>547</v>
      </c>
      <c r="FP15" s="884">
        <v>0</v>
      </c>
      <c r="FQ15" s="884">
        <v>1400000</v>
      </c>
      <c r="FR15" s="884">
        <v>515486</v>
      </c>
      <c r="FS15" s="862">
        <f t="shared" si="33"/>
        <v>0</v>
      </c>
      <c r="FT15" s="862">
        <f t="shared" si="34"/>
        <v>1488.1999999999998</v>
      </c>
      <c r="FU15" s="862">
        <f t="shared" si="35"/>
        <v>547.96161799999993</v>
      </c>
      <c r="FY15" s="602" t="s">
        <v>662</v>
      </c>
      <c r="FZ15" s="602" t="s">
        <v>308</v>
      </c>
      <c r="GA15" s="602" t="s">
        <v>447</v>
      </c>
      <c r="GB15" s="602" t="s">
        <v>447</v>
      </c>
      <c r="GC15" s="603" t="s">
        <v>547</v>
      </c>
      <c r="GD15" s="604">
        <v>3242262546</v>
      </c>
      <c r="GE15" s="604">
        <v>0</v>
      </c>
      <c r="GF15" s="604">
        <v>0</v>
      </c>
      <c r="GG15" s="884">
        <f t="shared" si="36"/>
        <v>3446525.0863979999</v>
      </c>
      <c r="GH15" s="884">
        <f t="shared" si="37"/>
        <v>0</v>
      </c>
      <c r="GI15" s="884">
        <f t="shared" si="38"/>
        <v>0</v>
      </c>
      <c r="GM15" s="885" t="s">
        <v>444</v>
      </c>
      <c r="GN15" s="886" t="s">
        <v>468</v>
      </c>
      <c r="GO15" s="885" t="s">
        <v>474</v>
      </c>
      <c r="GP15" s="885" t="s">
        <v>276</v>
      </c>
      <c r="GQ15" s="886" t="s">
        <v>547</v>
      </c>
      <c r="GR15" s="887">
        <v>0</v>
      </c>
      <c r="GS15" s="887">
        <v>1811058381</v>
      </c>
      <c r="GT15" s="887">
        <v>1811058381</v>
      </c>
      <c r="GU15" s="887">
        <f t="shared" si="39"/>
        <v>0</v>
      </c>
      <c r="GV15" s="887">
        <f t="shared" si="40"/>
        <v>1925155.0590029999</v>
      </c>
      <c r="GW15" s="887">
        <f t="shared" si="41"/>
        <v>1925155.0590029999</v>
      </c>
      <c r="HA15" s="602" t="s">
        <v>662</v>
      </c>
      <c r="HB15" s="602" t="s">
        <v>308</v>
      </c>
      <c r="HC15" s="602" t="s">
        <v>447</v>
      </c>
      <c r="HD15" s="602" t="s">
        <v>447</v>
      </c>
      <c r="HE15" s="603" t="s">
        <v>547</v>
      </c>
      <c r="HF15" s="604">
        <v>0</v>
      </c>
      <c r="HG15" s="604">
        <v>1212017990</v>
      </c>
      <c r="HH15" s="604">
        <v>305588105</v>
      </c>
      <c r="HI15" s="604">
        <f t="shared" si="42"/>
        <v>0</v>
      </c>
      <c r="HJ15" s="604">
        <f t="shared" si="43"/>
        <v>1212017.99</v>
      </c>
      <c r="HK15" s="604">
        <f>+HH15/$HL$2*$HM$2</f>
        <v>305588.10499999998</v>
      </c>
      <c r="HO15" s="885" t="s">
        <v>444</v>
      </c>
      <c r="HP15" s="885" t="s">
        <v>468</v>
      </c>
      <c r="HQ15" s="885" t="s">
        <v>474</v>
      </c>
      <c r="HR15" s="885" t="s">
        <v>276</v>
      </c>
      <c r="HS15" s="603" t="s">
        <v>547</v>
      </c>
      <c r="HT15" s="604">
        <v>0</v>
      </c>
      <c r="HU15" s="604">
        <v>3267484366</v>
      </c>
      <c r="HV15" s="604">
        <v>2463077016</v>
      </c>
      <c r="HW15" s="862">
        <f t="shared" si="45"/>
        <v>0</v>
      </c>
      <c r="HX15" s="862">
        <f t="shared" si="46"/>
        <v>3267484.3659999999</v>
      </c>
      <c r="HY15" s="862">
        <f t="shared" si="47"/>
        <v>2463077.0159999998</v>
      </c>
      <c r="IC15" s="602" t="s">
        <v>444</v>
      </c>
      <c r="ID15" s="602" t="s">
        <v>468</v>
      </c>
      <c r="IE15" s="602" t="s">
        <v>472</v>
      </c>
      <c r="IF15" s="602" t="s">
        <v>473</v>
      </c>
      <c r="IG15" s="603" t="s">
        <v>547</v>
      </c>
      <c r="IH15" s="604">
        <v>-74007147</v>
      </c>
      <c r="II15" s="604">
        <v>0</v>
      </c>
      <c r="IJ15" s="604">
        <v>0</v>
      </c>
      <c r="IK15" s="883">
        <f t="shared" si="48"/>
        <v>-74007.146999999997</v>
      </c>
      <c r="IL15" s="883">
        <f t="shared" si="49"/>
        <v>0</v>
      </c>
      <c r="IM15" s="883">
        <f t="shared" si="50"/>
        <v>0</v>
      </c>
      <c r="IQ15" s="885" t="s">
        <v>444</v>
      </c>
      <c r="IR15" s="885" t="s">
        <v>468</v>
      </c>
      <c r="IS15" s="885" t="s">
        <v>498</v>
      </c>
      <c r="IT15" s="885" t="s">
        <v>343</v>
      </c>
      <c r="IU15" s="886" t="s">
        <v>547</v>
      </c>
      <c r="IV15" s="887">
        <v>0</v>
      </c>
      <c r="IW15" s="887">
        <v>502948968</v>
      </c>
      <c r="IX15" s="887">
        <v>357211720</v>
      </c>
      <c r="IY15" s="888">
        <f t="shared" si="51"/>
        <v>0</v>
      </c>
      <c r="IZ15" s="888">
        <f t="shared" si="52"/>
        <v>502948.96799999999</v>
      </c>
      <c r="JA15" s="888">
        <f t="shared" si="53"/>
        <v>357211.72</v>
      </c>
      <c r="JE15" s="886" t="s">
        <v>661</v>
      </c>
      <c r="JF15" s="886" t="s">
        <v>305</v>
      </c>
      <c r="JG15" s="886" t="s">
        <v>447</v>
      </c>
      <c r="JH15" s="886" t="s">
        <v>447</v>
      </c>
      <c r="JI15" s="603" t="s">
        <v>547</v>
      </c>
      <c r="JJ15" s="604">
        <v>1744767215</v>
      </c>
      <c r="JK15" s="862">
        <f t="shared" si="54"/>
        <v>1744767.2150000001</v>
      </c>
      <c r="JO15" s="884" t="s">
        <v>444</v>
      </c>
      <c r="JP15" s="884" t="s">
        <v>468</v>
      </c>
      <c r="JQ15" s="884" t="s">
        <v>474</v>
      </c>
      <c r="JR15" s="605" t="s">
        <v>276</v>
      </c>
      <c r="JS15" s="605" t="s">
        <v>547</v>
      </c>
      <c r="JT15" s="889">
        <v>0</v>
      </c>
      <c r="JU15" s="889">
        <v>4000721537</v>
      </c>
      <c r="JV15" s="889">
        <v>4000721537</v>
      </c>
      <c r="JW15" s="863">
        <f t="shared" si="55"/>
        <v>0</v>
      </c>
      <c r="JX15" s="863">
        <f t="shared" si="56"/>
        <v>4000721.537</v>
      </c>
      <c r="JY15" s="863">
        <f t="shared" si="57"/>
        <v>4000721.537</v>
      </c>
    </row>
    <row r="16" spans="1:287" ht="15" customHeight="1" x14ac:dyDescent="0.3">
      <c r="A16" s="872" t="s">
        <v>444</v>
      </c>
      <c r="B16" s="872" t="s">
        <v>468</v>
      </c>
      <c r="C16" s="872" t="s">
        <v>472</v>
      </c>
      <c r="D16" s="872" t="s">
        <v>473</v>
      </c>
      <c r="E16" s="873">
        <v>0</v>
      </c>
      <c r="F16" s="873">
        <f t="shared" si="7"/>
        <v>0</v>
      </c>
      <c r="G16" s="873">
        <v>0</v>
      </c>
      <c r="H16" s="873">
        <f t="shared" si="8"/>
        <v>0</v>
      </c>
      <c r="L16" s="874" t="s">
        <v>452</v>
      </c>
      <c r="M16" s="874" t="s">
        <v>128</v>
      </c>
      <c r="N16" s="874" t="s">
        <v>447</v>
      </c>
      <c r="O16" s="874" t="s">
        <v>447</v>
      </c>
      <c r="P16" s="875">
        <v>-3007332</v>
      </c>
      <c r="Q16" s="875">
        <f t="shared" si="9"/>
        <v>-3196.7939159999996</v>
      </c>
      <c r="U16" s="874" t="s">
        <v>659</v>
      </c>
      <c r="V16" s="874" t="s">
        <v>221</v>
      </c>
      <c r="W16" s="874" t="s">
        <v>447</v>
      </c>
      <c r="X16" s="874" t="s">
        <v>447</v>
      </c>
      <c r="Y16" s="875">
        <v>12345937500</v>
      </c>
      <c r="Z16" s="875">
        <f t="shared" si="10"/>
        <v>13123731.5625</v>
      </c>
      <c r="AD16" s="874" t="s">
        <v>667</v>
      </c>
      <c r="AE16" s="874" t="s">
        <v>634</v>
      </c>
      <c r="AF16" s="874" t="s">
        <v>447</v>
      </c>
      <c r="AG16" s="874" t="s">
        <v>447</v>
      </c>
      <c r="AH16" s="875">
        <v>1042532597</v>
      </c>
      <c r="AI16" s="875">
        <f t="shared" si="11"/>
        <v>1108212.1506109999</v>
      </c>
      <c r="AM16" s="874" t="s">
        <v>444</v>
      </c>
      <c r="AN16" s="874" t="s">
        <v>468</v>
      </c>
      <c r="AO16" s="874" t="s">
        <v>445</v>
      </c>
      <c r="AP16" s="874" t="s">
        <v>277</v>
      </c>
      <c r="AQ16" s="875">
        <v>0</v>
      </c>
      <c r="AR16" s="875">
        <f t="shared" si="58"/>
        <v>0</v>
      </c>
      <c r="AS16" s="875">
        <v>77557635</v>
      </c>
      <c r="AV16" s="862"/>
      <c r="BG16" s="874" t="s">
        <v>444</v>
      </c>
      <c r="BH16" s="874" t="s">
        <v>468</v>
      </c>
      <c r="BI16" s="874" t="s">
        <v>472</v>
      </c>
      <c r="BJ16" s="874" t="s">
        <v>473</v>
      </c>
      <c r="BK16" s="875">
        <v>0</v>
      </c>
      <c r="BL16" s="875">
        <v>125296217</v>
      </c>
      <c r="BM16" s="875">
        <v>20574501</v>
      </c>
      <c r="BN16" s="864">
        <f t="shared" si="1"/>
        <v>0</v>
      </c>
      <c r="BO16" s="864">
        <f t="shared" si="2"/>
        <v>133189.87867099998</v>
      </c>
      <c r="BP16" s="864">
        <f t="shared" si="3"/>
        <v>21870.694562999997</v>
      </c>
      <c r="BT16" s="602" t="s">
        <v>666</v>
      </c>
      <c r="BU16" s="602" t="s">
        <v>529</v>
      </c>
      <c r="BV16" s="602" t="s">
        <v>447</v>
      </c>
      <c r="BW16" s="602" t="s">
        <v>447</v>
      </c>
      <c r="BX16" s="603" t="s">
        <v>547</v>
      </c>
      <c r="BY16" s="604">
        <v>0</v>
      </c>
      <c r="BZ16" s="604">
        <v>1221268312</v>
      </c>
      <c r="CA16" s="604">
        <v>499285719</v>
      </c>
      <c r="CB16" s="862">
        <f t="shared" si="12"/>
        <v>0</v>
      </c>
      <c r="CC16" s="862">
        <f t="shared" si="13"/>
        <v>1298208.215656</v>
      </c>
      <c r="CD16" s="862">
        <f t="shared" si="14"/>
        <v>530740.71929699997</v>
      </c>
      <c r="CH16" s="602" t="s">
        <v>444</v>
      </c>
      <c r="CI16" s="602" t="s">
        <v>468</v>
      </c>
      <c r="CJ16" s="602" t="s">
        <v>471</v>
      </c>
      <c r="CK16" s="602" t="s">
        <v>279</v>
      </c>
      <c r="CL16" s="604">
        <v>0</v>
      </c>
      <c r="CM16" s="604">
        <v>1447554</v>
      </c>
      <c r="CN16" s="604">
        <v>1447554</v>
      </c>
      <c r="CO16" s="879">
        <f t="shared" si="15"/>
        <v>0</v>
      </c>
      <c r="CP16" s="879">
        <f t="shared" si="16"/>
        <v>1538.749902</v>
      </c>
      <c r="CQ16" s="879">
        <f t="shared" si="17"/>
        <v>1538.749902</v>
      </c>
      <c r="CU16" s="602" t="s">
        <v>661</v>
      </c>
      <c r="CV16" s="602" t="s">
        <v>305</v>
      </c>
      <c r="CW16" s="602" t="s">
        <v>447</v>
      </c>
      <c r="CX16" s="602" t="s">
        <v>447</v>
      </c>
      <c r="CY16" s="604">
        <v>0</v>
      </c>
      <c r="CZ16" s="604">
        <v>102290493</v>
      </c>
      <c r="DA16" s="604">
        <v>269790176</v>
      </c>
      <c r="DB16" s="862">
        <f t="shared" si="18"/>
        <v>0</v>
      </c>
      <c r="DC16" s="862">
        <f t="shared" si="19"/>
        <v>108734.79405899999</v>
      </c>
      <c r="DD16" s="862">
        <f t="shared" si="20"/>
        <v>286786.95708799997</v>
      </c>
      <c r="DH16" s="602" t="s">
        <v>444</v>
      </c>
      <c r="DI16" s="602" t="s">
        <v>468</v>
      </c>
      <c r="DJ16" s="602" t="s">
        <v>474</v>
      </c>
      <c r="DK16" s="602" t="s">
        <v>276</v>
      </c>
      <c r="DL16" s="604">
        <v>0</v>
      </c>
      <c r="DM16" s="604">
        <v>474879832</v>
      </c>
      <c r="DN16" s="604">
        <v>474879832</v>
      </c>
      <c r="DO16" s="862">
        <f t="shared" si="21"/>
        <v>0</v>
      </c>
      <c r="DP16" s="862">
        <f t="shared" si="22"/>
        <v>504797.26141599996</v>
      </c>
      <c r="DQ16" s="862">
        <f t="shared" si="23"/>
        <v>504797.26141599996</v>
      </c>
      <c r="DU16" s="880" t="s">
        <v>667</v>
      </c>
      <c r="DV16" s="880" t="s">
        <v>634</v>
      </c>
      <c r="DW16" s="880" t="s">
        <v>447</v>
      </c>
      <c r="DX16" s="880" t="s">
        <v>447</v>
      </c>
      <c r="DY16" s="881" t="s">
        <v>547</v>
      </c>
      <c r="DZ16" s="882">
        <v>0</v>
      </c>
      <c r="EA16" s="882">
        <v>19875383406</v>
      </c>
      <c r="EB16" s="882">
        <v>1587778498</v>
      </c>
      <c r="EC16" s="883">
        <f t="shared" si="24"/>
        <v>0</v>
      </c>
      <c r="ED16" s="883">
        <f t="shared" si="25"/>
        <v>21127532.560578</v>
      </c>
      <c r="EE16" s="883">
        <f t="shared" si="26"/>
        <v>1687808.5433739999</v>
      </c>
      <c r="EI16" s="602" t="s">
        <v>444</v>
      </c>
      <c r="EJ16" s="602" t="s">
        <v>468</v>
      </c>
      <c r="EK16" s="602" t="s">
        <v>446</v>
      </c>
      <c r="EL16" s="602" t="s">
        <v>322</v>
      </c>
      <c r="EM16" s="602" t="s">
        <v>547</v>
      </c>
      <c r="EN16" s="602">
        <v>0</v>
      </c>
      <c r="EO16" s="602">
        <v>1400000</v>
      </c>
      <c r="EP16" s="602">
        <v>463830</v>
      </c>
      <c r="EQ16" s="884">
        <f t="shared" si="27"/>
        <v>0</v>
      </c>
      <c r="ER16" s="884">
        <f t="shared" si="28"/>
        <v>1488.1999999999998</v>
      </c>
      <c r="ES16" s="884">
        <f t="shared" si="29"/>
        <v>493.05128999999994</v>
      </c>
      <c r="EW16" s="602" t="s">
        <v>662</v>
      </c>
      <c r="EX16" s="602" t="s">
        <v>308</v>
      </c>
      <c r="EY16" s="602" t="s">
        <v>447</v>
      </c>
      <c r="EZ16" s="602" t="s">
        <v>447</v>
      </c>
      <c r="FA16" s="603" t="s">
        <v>547</v>
      </c>
      <c r="FB16" s="884">
        <v>0</v>
      </c>
      <c r="FC16" s="884">
        <v>211860999</v>
      </c>
      <c r="FD16" s="884">
        <v>263139733</v>
      </c>
      <c r="FE16" s="884">
        <f t="shared" si="30"/>
        <v>0</v>
      </c>
      <c r="FF16" s="884">
        <f t="shared" si="31"/>
        <v>225208.24193700001</v>
      </c>
      <c r="FG16" s="884">
        <f t="shared" si="32"/>
        <v>279717.53617899999</v>
      </c>
      <c r="FK16" s="602" t="s">
        <v>444</v>
      </c>
      <c r="FL16" s="602" t="s">
        <v>468</v>
      </c>
      <c r="FM16" s="602" t="s">
        <v>471</v>
      </c>
      <c r="FN16" s="602" t="s">
        <v>279</v>
      </c>
      <c r="FO16" s="602" t="s">
        <v>547</v>
      </c>
      <c r="FP16" s="884">
        <v>0</v>
      </c>
      <c r="FQ16" s="884">
        <v>1447554</v>
      </c>
      <c r="FR16" s="884">
        <v>1447554</v>
      </c>
      <c r="FS16" s="862">
        <f t="shared" si="33"/>
        <v>0</v>
      </c>
      <c r="FT16" s="862">
        <f t="shared" si="34"/>
        <v>1538.749902</v>
      </c>
      <c r="FU16" s="862">
        <f t="shared" si="35"/>
        <v>1538.749902</v>
      </c>
      <c r="FY16" s="602" t="s">
        <v>662</v>
      </c>
      <c r="FZ16" s="602" t="s">
        <v>308</v>
      </c>
      <c r="GA16" s="602" t="s">
        <v>447</v>
      </c>
      <c r="GB16" s="602" t="s">
        <v>447</v>
      </c>
      <c r="GC16" s="603" t="s">
        <v>547</v>
      </c>
      <c r="GD16" s="604">
        <v>0</v>
      </c>
      <c r="GE16" s="604">
        <v>149352000</v>
      </c>
      <c r="GF16" s="604">
        <v>172632000</v>
      </c>
      <c r="GG16" s="884">
        <f t="shared" si="36"/>
        <v>0</v>
      </c>
      <c r="GH16" s="884">
        <f t="shared" si="37"/>
        <v>158761.17599999998</v>
      </c>
      <c r="GI16" s="884">
        <f t="shared" si="38"/>
        <v>183507.81599999999</v>
      </c>
      <c r="GM16" s="885" t="s">
        <v>444</v>
      </c>
      <c r="GN16" s="886" t="s">
        <v>468</v>
      </c>
      <c r="GO16" s="885" t="s">
        <v>446</v>
      </c>
      <c r="GP16" s="885" t="s">
        <v>322</v>
      </c>
      <c r="GQ16" s="886" t="s">
        <v>547</v>
      </c>
      <c r="GR16" s="887">
        <v>0</v>
      </c>
      <c r="GS16" s="887">
        <v>1377484</v>
      </c>
      <c r="GT16" s="887">
        <v>592970</v>
      </c>
      <c r="GU16" s="887">
        <f t="shared" si="39"/>
        <v>0</v>
      </c>
      <c r="GV16" s="887">
        <f t="shared" si="40"/>
        <v>1464.2654919999998</v>
      </c>
      <c r="GW16" s="887">
        <f t="shared" si="41"/>
        <v>630.32710999999995</v>
      </c>
      <c r="HA16" s="602" t="s">
        <v>664</v>
      </c>
      <c r="HB16" s="602" t="s">
        <v>267</v>
      </c>
      <c r="HC16" s="602" t="s">
        <v>447</v>
      </c>
      <c r="HD16" s="602" t="s">
        <v>447</v>
      </c>
      <c r="HE16" s="603" t="s">
        <v>547</v>
      </c>
      <c r="HF16" s="604">
        <v>288406648</v>
      </c>
      <c r="HG16" s="604">
        <v>0</v>
      </c>
      <c r="HH16" s="604">
        <v>0</v>
      </c>
      <c r="HI16" s="604">
        <f t="shared" si="42"/>
        <v>288406.64799999999</v>
      </c>
      <c r="HJ16" s="604">
        <f t="shared" si="43"/>
        <v>0</v>
      </c>
      <c r="HK16" s="604">
        <f t="shared" si="44"/>
        <v>0</v>
      </c>
      <c r="HO16" s="885" t="s">
        <v>444</v>
      </c>
      <c r="HP16" s="885" t="s">
        <v>468</v>
      </c>
      <c r="HQ16" s="885" t="s">
        <v>445</v>
      </c>
      <c r="HR16" s="885" t="s">
        <v>277</v>
      </c>
      <c r="HS16" s="603" t="s">
        <v>547</v>
      </c>
      <c r="HT16" s="604">
        <v>0</v>
      </c>
      <c r="HU16" s="604">
        <v>244776423</v>
      </c>
      <c r="HV16" s="604">
        <v>199245261</v>
      </c>
      <c r="HW16" s="862">
        <f t="shared" si="45"/>
        <v>0</v>
      </c>
      <c r="HX16" s="862">
        <f t="shared" si="46"/>
        <v>244776.42300000001</v>
      </c>
      <c r="HY16" s="862">
        <f t="shared" si="47"/>
        <v>199245.261</v>
      </c>
      <c r="IC16" s="602" t="s">
        <v>544</v>
      </c>
      <c r="ID16" s="602" t="s">
        <v>545</v>
      </c>
      <c r="IE16" s="602" t="s">
        <v>447</v>
      </c>
      <c r="IF16" s="602" t="s">
        <v>447</v>
      </c>
      <c r="IG16" s="603" t="s">
        <v>547</v>
      </c>
      <c r="IH16" s="604">
        <v>8701780000</v>
      </c>
      <c r="II16" s="604">
        <v>0</v>
      </c>
      <c r="IJ16" s="604">
        <v>0</v>
      </c>
      <c r="IK16" s="883">
        <f t="shared" si="48"/>
        <v>8701780</v>
      </c>
      <c r="IL16" s="883">
        <f t="shared" si="49"/>
        <v>0</v>
      </c>
      <c r="IM16" s="883">
        <f t="shared" si="50"/>
        <v>0</v>
      </c>
      <c r="IQ16" s="885" t="s">
        <v>444</v>
      </c>
      <c r="IR16" s="885" t="s">
        <v>468</v>
      </c>
      <c r="IS16" s="885" t="s">
        <v>447</v>
      </c>
      <c r="IT16" s="885" t="s">
        <v>447</v>
      </c>
      <c r="IU16" s="886" t="s">
        <v>547</v>
      </c>
      <c r="IV16" s="887">
        <v>0</v>
      </c>
      <c r="IW16" s="887">
        <v>0</v>
      </c>
      <c r="IX16" s="887">
        <v>0</v>
      </c>
      <c r="IY16" s="888">
        <f t="shared" si="51"/>
        <v>0</v>
      </c>
      <c r="IZ16" s="888">
        <f t="shared" si="52"/>
        <v>0</v>
      </c>
      <c r="JA16" s="888">
        <f t="shared" si="53"/>
        <v>0</v>
      </c>
      <c r="JE16" s="886" t="s">
        <v>901</v>
      </c>
      <c r="JF16" s="886" t="s">
        <v>902</v>
      </c>
      <c r="JG16" s="886" t="s">
        <v>447</v>
      </c>
      <c r="JH16" s="886" t="s">
        <v>447</v>
      </c>
      <c r="JI16" s="603" t="s">
        <v>547</v>
      </c>
      <c r="JJ16" s="604">
        <v>17558483763</v>
      </c>
      <c r="JK16" s="862">
        <f t="shared" si="54"/>
        <v>17558483.763</v>
      </c>
      <c r="JO16" s="884" t="s">
        <v>444</v>
      </c>
      <c r="JP16" s="884" t="s">
        <v>468</v>
      </c>
      <c r="JQ16" s="884" t="s">
        <v>471</v>
      </c>
      <c r="JR16" s="605" t="s">
        <v>279</v>
      </c>
      <c r="JS16" s="605" t="s">
        <v>547</v>
      </c>
      <c r="JT16" s="889">
        <v>0</v>
      </c>
      <c r="JU16" s="889">
        <v>1447554</v>
      </c>
      <c r="JV16" s="889">
        <v>1447554</v>
      </c>
      <c r="JW16" s="863">
        <f t="shared" si="55"/>
        <v>0</v>
      </c>
      <c r="JX16" s="863">
        <f t="shared" si="56"/>
        <v>1447.5540000000001</v>
      </c>
      <c r="JY16" s="863">
        <f t="shared" si="57"/>
        <v>1447.5540000000001</v>
      </c>
    </row>
    <row r="17" spans="1:285" ht="15" customHeight="1" x14ac:dyDescent="0.3">
      <c r="A17" s="872" t="s">
        <v>444</v>
      </c>
      <c r="B17" s="872" t="s">
        <v>468</v>
      </c>
      <c r="C17" s="872" t="s">
        <v>445</v>
      </c>
      <c r="D17" s="872" t="s">
        <v>277</v>
      </c>
      <c r="E17" s="873">
        <v>0</v>
      </c>
      <c r="F17" s="873">
        <f t="shared" si="7"/>
        <v>0</v>
      </c>
      <c r="G17" s="873">
        <v>25932023</v>
      </c>
      <c r="H17" s="873">
        <f t="shared" si="8"/>
        <v>27565.740449000001</v>
      </c>
      <c r="U17" s="874" t="s">
        <v>660</v>
      </c>
      <c r="V17" s="874" t="s">
        <v>154</v>
      </c>
      <c r="W17" s="874" t="s">
        <v>447</v>
      </c>
      <c r="X17" s="874" t="s">
        <v>447</v>
      </c>
      <c r="Y17" s="875">
        <v>20598777500</v>
      </c>
      <c r="Z17" s="875">
        <f t="shared" si="10"/>
        <v>21896500.482499998</v>
      </c>
      <c r="AM17" s="874" t="s">
        <v>444</v>
      </c>
      <c r="AN17" s="874" t="s">
        <v>468</v>
      </c>
      <c r="AO17" s="874" t="s">
        <v>474</v>
      </c>
      <c r="AP17" s="874" t="s">
        <v>276</v>
      </c>
      <c r="AQ17" s="875">
        <v>0</v>
      </c>
      <c r="AR17" s="875">
        <f t="shared" si="58"/>
        <v>0</v>
      </c>
      <c r="AS17" s="875">
        <v>303428863</v>
      </c>
      <c r="AV17" s="862"/>
      <c r="BG17" s="874" t="s">
        <v>444</v>
      </c>
      <c r="BH17" s="874" t="s">
        <v>468</v>
      </c>
      <c r="BI17" s="874" t="s">
        <v>498</v>
      </c>
      <c r="BJ17" s="874" t="s">
        <v>343</v>
      </c>
      <c r="BK17" s="875">
        <v>533745000</v>
      </c>
      <c r="BL17" s="875">
        <v>0</v>
      </c>
      <c r="BM17" s="875">
        <v>0</v>
      </c>
      <c r="BN17" s="864">
        <f t="shared" si="1"/>
        <v>567370.93499999994</v>
      </c>
      <c r="BO17" s="864">
        <f t="shared" si="2"/>
        <v>0</v>
      </c>
      <c r="BP17" s="864">
        <f t="shared" si="3"/>
        <v>0</v>
      </c>
      <c r="BT17" s="602" t="s">
        <v>667</v>
      </c>
      <c r="BU17" s="602" t="s">
        <v>634</v>
      </c>
      <c r="BV17" s="602" t="s">
        <v>447</v>
      </c>
      <c r="BW17" s="602" t="s">
        <v>447</v>
      </c>
      <c r="BX17" s="603" t="s">
        <v>547</v>
      </c>
      <c r="BY17" s="604">
        <v>0</v>
      </c>
      <c r="BZ17" s="604">
        <v>354909338</v>
      </c>
      <c r="CA17" s="604">
        <v>343750703</v>
      </c>
      <c r="CB17" s="862">
        <f t="shared" si="12"/>
        <v>0</v>
      </c>
      <c r="CC17" s="862">
        <f t="shared" si="13"/>
        <v>377268.62629399996</v>
      </c>
      <c r="CD17" s="862">
        <f t="shared" si="14"/>
        <v>365406.99728899996</v>
      </c>
      <c r="CH17" s="602" t="s">
        <v>444</v>
      </c>
      <c r="CI17" s="602" t="s">
        <v>468</v>
      </c>
      <c r="CJ17" s="602" t="s">
        <v>474</v>
      </c>
      <c r="CK17" s="602" t="s">
        <v>276</v>
      </c>
      <c r="CL17" s="604">
        <v>0</v>
      </c>
      <c r="CM17" s="604">
        <v>474879832</v>
      </c>
      <c r="CN17" s="604">
        <v>414777463</v>
      </c>
      <c r="CO17" s="879">
        <f t="shared" si="15"/>
        <v>0</v>
      </c>
      <c r="CP17" s="879">
        <f t="shared" si="16"/>
        <v>504797.26141599996</v>
      </c>
      <c r="CQ17" s="879">
        <f t="shared" si="17"/>
        <v>440908.44316899998</v>
      </c>
      <c r="CU17" s="602" t="s">
        <v>662</v>
      </c>
      <c r="CV17" s="890" t="s">
        <v>308</v>
      </c>
      <c r="CW17" s="890" t="s">
        <v>447</v>
      </c>
      <c r="CX17" s="890" t="s">
        <v>447</v>
      </c>
      <c r="CY17" s="891">
        <v>0</v>
      </c>
      <c r="CZ17" s="891">
        <v>192637410</v>
      </c>
      <c r="DA17" s="891">
        <v>236264065</v>
      </c>
      <c r="DB17" s="866">
        <f t="shared" si="18"/>
        <v>0</v>
      </c>
      <c r="DC17" s="866">
        <f t="shared" si="19"/>
        <v>204773.56683</v>
      </c>
      <c r="DD17" s="866">
        <f t="shared" si="20"/>
        <v>251148.701095</v>
      </c>
      <c r="DH17" s="602" t="s">
        <v>444</v>
      </c>
      <c r="DI17" s="602" t="s">
        <v>468</v>
      </c>
      <c r="DJ17" s="602" t="s">
        <v>445</v>
      </c>
      <c r="DK17" s="602" t="s">
        <v>277</v>
      </c>
      <c r="DL17" s="604">
        <v>0</v>
      </c>
      <c r="DM17" s="604">
        <v>221533671</v>
      </c>
      <c r="DN17" s="604">
        <v>123866444</v>
      </c>
      <c r="DO17" s="862">
        <f t="shared" si="21"/>
        <v>0</v>
      </c>
      <c r="DP17" s="862">
        <f t="shared" si="22"/>
        <v>235490.292273</v>
      </c>
      <c r="DQ17" s="862">
        <f t="shared" si="23"/>
        <v>131670.02997199999</v>
      </c>
      <c r="DU17" s="880" t="s">
        <v>668</v>
      </c>
      <c r="DV17" s="880" t="s">
        <v>669</v>
      </c>
      <c r="DW17" s="880" t="s">
        <v>447</v>
      </c>
      <c r="DX17" s="880" t="s">
        <v>447</v>
      </c>
      <c r="DY17" s="881" t="s">
        <v>547</v>
      </c>
      <c r="DZ17" s="882">
        <v>0</v>
      </c>
      <c r="EA17" s="882">
        <v>690987321</v>
      </c>
      <c r="EB17" s="882">
        <v>690987321</v>
      </c>
      <c r="EC17" s="883">
        <f t="shared" si="24"/>
        <v>0</v>
      </c>
      <c r="ED17" s="883">
        <f t="shared" si="25"/>
        <v>734519.52222299995</v>
      </c>
      <c r="EE17" s="883">
        <f t="shared" si="26"/>
        <v>734519.52222299995</v>
      </c>
      <c r="EI17" s="602" t="s">
        <v>444</v>
      </c>
      <c r="EJ17" s="602" t="s">
        <v>468</v>
      </c>
      <c r="EK17" s="602" t="s">
        <v>471</v>
      </c>
      <c r="EL17" s="602" t="s">
        <v>279</v>
      </c>
      <c r="EM17" s="602" t="s">
        <v>547</v>
      </c>
      <c r="EN17" s="602">
        <v>0</v>
      </c>
      <c r="EO17" s="602">
        <v>1447554</v>
      </c>
      <c r="EP17" s="602">
        <v>1447554</v>
      </c>
      <c r="EQ17" s="884">
        <f t="shared" si="27"/>
        <v>0</v>
      </c>
      <c r="ER17" s="884">
        <f t="shared" si="28"/>
        <v>1538.749902</v>
      </c>
      <c r="ES17" s="884">
        <f t="shared" si="29"/>
        <v>1538.749902</v>
      </c>
      <c r="EW17" s="602" t="s">
        <v>663</v>
      </c>
      <c r="EX17" s="602" t="s">
        <v>266</v>
      </c>
      <c r="EY17" s="602" t="s">
        <v>447</v>
      </c>
      <c r="EZ17" s="602" t="s">
        <v>447</v>
      </c>
      <c r="FA17" s="603" t="s">
        <v>547</v>
      </c>
      <c r="FB17" s="884">
        <v>0</v>
      </c>
      <c r="FC17" s="884">
        <v>1897911024</v>
      </c>
      <c r="FD17" s="884">
        <v>450709000</v>
      </c>
      <c r="FE17" s="884">
        <f t="shared" si="30"/>
        <v>0</v>
      </c>
      <c r="FF17" s="884">
        <f t="shared" si="31"/>
        <v>2017479.4185119998</v>
      </c>
      <c r="FG17" s="884">
        <f t="shared" si="32"/>
        <v>479103.66699999996</v>
      </c>
      <c r="FK17" s="602" t="s">
        <v>444</v>
      </c>
      <c r="FL17" s="602" t="s">
        <v>468</v>
      </c>
      <c r="FM17" s="602" t="s">
        <v>447</v>
      </c>
      <c r="FN17" s="602" t="s">
        <v>447</v>
      </c>
      <c r="FO17" s="602" t="s">
        <v>547</v>
      </c>
      <c r="FP17" s="884">
        <v>0</v>
      </c>
      <c r="FQ17" s="884">
        <v>0</v>
      </c>
      <c r="FR17" s="884">
        <v>0</v>
      </c>
      <c r="FS17" s="862">
        <f t="shared" si="33"/>
        <v>0</v>
      </c>
      <c r="FT17" s="862">
        <f t="shared" si="34"/>
        <v>0</v>
      </c>
      <c r="FU17" s="862">
        <f t="shared" si="35"/>
        <v>0</v>
      </c>
      <c r="FY17" s="602" t="s">
        <v>663</v>
      </c>
      <c r="FZ17" s="602" t="s">
        <v>266</v>
      </c>
      <c r="GA17" s="602" t="s">
        <v>447</v>
      </c>
      <c r="GB17" s="602" t="s">
        <v>447</v>
      </c>
      <c r="GC17" s="603" t="s">
        <v>547</v>
      </c>
      <c r="GD17" s="604">
        <v>0</v>
      </c>
      <c r="GE17" s="604">
        <v>0</v>
      </c>
      <c r="GF17" s="604">
        <v>0</v>
      </c>
      <c r="GG17" s="884">
        <f t="shared" si="36"/>
        <v>0</v>
      </c>
      <c r="GH17" s="884">
        <f t="shared" si="37"/>
        <v>0</v>
      </c>
      <c r="GI17" s="884">
        <f t="shared" si="38"/>
        <v>0</v>
      </c>
      <c r="GM17" s="885" t="s">
        <v>444</v>
      </c>
      <c r="GN17" s="886" t="s">
        <v>468</v>
      </c>
      <c r="GO17" s="885" t="s">
        <v>472</v>
      </c>
      <c r="GP17" s="885" t="s">
        <v>473</v>
      </c>
      <c r="GQ17" s="886" t="s">
        <v>547</v>
      </c>
      <c r="GR17" s="887">
        <v>0</v>
      </c>
      <c r="GS17" s="887">
        <v>125296217</v>
      </c>
      <c r="GT17" s="887">
        <v>112509985</v>
      </c>
      <c r="GU17" s="887">
        <f t="shared" si="39"/>
        <v>0</v>
      </c>
      <c r="GV17" s="887">
        <f t="shared" si="40"/>
        <v>133189.87867099998</v>
      </c>
      <c r="GW17" s="887">
        <f t="shared" si="41"/>
        <v>119598.114055</v>
      </c>
      <c r="HA17" s="602" t="s">
        <v>664</v>
      </c>
      <c r="HB17" s="602" t="s">
        <v>267</v>
      </c>
      <c r="HC17" s="602" t="s">
        <v>447</v>
      </c>
      <c r="HD17" s="602" t="s">
        <v>447</v>
      </c>
      <c r="HE17" s="603" t="s">
        <v>547</v>
      </c>
      <c r="HF17" s="604">
        <v>0</v>
      </c>
      <c r="HG17" s="604">
        <v>1181407000</v>
      </c>
      <c r="HH17" s="604">
        <v>0</v>
      </c>
      <c r="HI17" s="604">
        <f t="shared" si="42"/>
        <v>0</v>
      </c>
      <c r="HJ17" s="604">
        <f t="shared" si="43"/>
        <v>1181407</v>
      </c>
      <c r="HK17" s="604">
        <f t="shared" si="44"/>
        <v>0</v>
      </c>
      <c r="HO17" s="885" t="s">
        <v>444</v>
      </c>
      <c r="HP17" s="885" t="s">
        <v>468</v>
      </c>
      <c r="HQ17" s="885" t="s">
        <v>471</v>
      </c>
      <c r="HR17" s="885" t="s">
        <v>279</v>
      </c>
      <c r="HS17" s="603" t="s">
        <v>547</v>
      </c>
      <c r="HT17" s="604">
        <v>0</v>
      </c>
      <c r="HU17" s="604">
        <v>1447554</v>
      </c>
      <c r="HV17" s="604">
        <v>1447554</v>
      </c>
      <c r="HW17" s="862">
        <f t="shared" si="45"/>
        <v>0</v>
      </c>
      <c r="HX17" s="862">
        <f t="shared" si="46"/>
        <v>1447.5540000000001</v>
      </c>
      <c r="HY17" s="862">
        <f t="shared" si="47"/>
        <v>1447.5540000000001</v>
      </c>
      <c r="IC17" s="602" t="s">
        <v>544</v>
      </c>
      <c r="ID17" s="602" t="s">
        <v>545</v>
      </c>
      <c r="IE17" s="602" t="s">
        <v>447</v>
      </c>
      <c r="IF17" s="602" t="s">
        <v>447</v>
      </c>
      <c r="IG17" s="603" t="s">
        <v>547</v>
      </c>
      <c r="IH17" s="604">
        <v>0</v>
      </c>
      <c r="II17" s="604">
        <v>5862708590</v>
      </c>
      <c r="IJ17" s="604">
        <v>5862708590</v>
      </c>
      <c r="IK17" s="883">
        <f t="shared" si="48"/>
        <v>0</v>
      </c>
      <c r="IL17" s="883">
        <f t="shared" si="49"/>
        <v>5862708.5899999999</v>
      </c>
      <c r="IM17" s="883">
        <f t="shared" si="50"/>
        <v>5862708.5899999999</v>
      </c>
      <c r="IQ17" s="885" t="s">
        <v>444</v>
      </c>
      <c r="IR17" s="885" t="s">
        <v>468</v>
      </c>
      <c r="IS17" s="885" t="s">
        <v>446</v>
      </c>
      <c r="IT17" s="885" t="s">
        <v>322</v>
      </c>
      <c r="IU17" s="886" t="s">
        <v>547</v>
      </c>
      <c r="IV17" s="887">
        <v>0</v>
      </c>
      <c r="IW17" s="887">
        <v>735025</v>
      </c>
      <c r="IX17" s="887">
        <v>735025</v>
      </c>
      <c r="IY17" s="888">
        <f t="shared" si="51"/>
        <v>0</v>
      </c>
      <c r="IZ17" s="888">
        <f t="shared" si="52"/>
        <v>735.02499999999998</v>
      </c>
      <c r="JA17" s="888">
        <f t="shared" si="53"/>
        <v>735.02499999999998</v>
      </c>
      <c r="JE17" s="886" t="s">
        <v>662</v>
      </c>
      <c r="JF17" s="886" t="s">
        <v>308</v>
      </c>
      <c r="JG17" s="886" t="s">
        <v>447</v>
      </c>
      <c r="JH17" s="886" t="s">
        <v>447</v>
      </c>
      <c r="JI17" s="603" t="s">
        <v>547</v>
      </c>
      <c r="JJ17" s="604">
        <v>2058557447</v>
      </c>
      <c r="JK17" s="862">
        <f t="shared" si="54"/>
        <v>2058557.4469999999</v>
      </c>
      <c r="JO17" s="884" t="s">
        <v>444</v>
      </c>
      <c r="JP17" s="884" t="s">
        <v>468</v>
      </c>
      <c r="JQ17" s="884" t="s">
        <v>446</v>
      </c>
      <c r="JR17" s="605" t="s">
        <v>322</v>
      </c>
      <c r="JS17" s="605" t="s">
        <v>547</v>
      </c>
      <c r="JT17" s="889">
        <v>0</v>
      </c>
      <c r="JU17" s="889">
        <v>879665</v>
      </c>
      <c r="JV17" s="889">
        <v>879665</v>
      </c>
      <c r="JW17" s="863">
        <f t="shared" si="55"/>
        <v>0</v>
      </c>
      <c r="JX17" s="863">
        <f t="shared" si="56"/>
        <v>879.66499999999996</v>
      </c>
      <c r="JY17" s="863">
        <f t="shared" si="57"/>
        <v>879.66499999999996</v>
      </c>
    </row>
    <row r="18" spans="1:285" ht="15" customHeight="1" x14ac:dyDescent="0.3">
      <c r="A18" s="872" t="s">
        <v>444</v>
      </c>
      <c r="B18" s="872" t="s">
        <v>468</v>
      </c>
      <c r="C18" s="872" t="s">
        <v>471</v>
      </c>
      <c r="D18" s="872" t="s">
        <v>279</v>
      </c>
      <c r="E18" s="873">
        <v>0</v>
      </c>
      <c r="F18" s="873">
        <f t="shared" si="7"/>
        <v>0</v>
      </c>
      <c r="G18" s="873">
        <v>0</v>
      </c>
      <c r="H18" s="873">
        <f t="shared" si="8"/>
        <v>0</v>
      </c>
      <c r="U18" s="874" t="s">
        <v>661</v>
      </c>
      <c r="V18" s="874" t="s">
        <v>305</v>
      </c>
      <c r="W18" s="874" t="s">
        <v>447</v>
      </c>
      <c r="X18" s="874" t="s">
        <v>447</v>
      </c>
      <c r="Y18" s="875">
        <v>15656882000</v>
      </c>
      <c r="Z18" s="875">
        <f t="shared" si="10"/>
        <v>16643265.566</v>
      </c>
      <c r="AM18" s="874" t="s">
        <v>444</v>
      </c>
      <c r="AN18" s="874" t="s">
        <v>468</v>
      </c>
      <c r="AO18" s="874" t="s">
        <v>447</v>
      </c>
      <c r="AP18" s="874" t="s">
        <v>447</v>
      </c>
      <c r="AQ18" s="875">
        <v>0</v>
      </c>
      <c r="AR18" s="875">
        <f t="shared" si="58"/>
        <v>0</v>
      </c>
      <c r="AS18" s="875">
        <v>0</v>
      </c>
      <c r="AV18" s="862"/>
      <c r="BG18" s="874" t="s">
        <v>442</v>
      </c>
      <c r="BH18" s="874" t="s">
        <v>220</v>
      </c>
      <c r="BI18" s="874" t="s">
        <v>447</v>
      </c>
      <c r="BJ18" s="874" t="s">
        <v>447</v>
      </c>
      <c r="BK18" s="875">
        <v>0</v>
      </c>
      <c r="BL18" s="875">
        <v>0</v>
      </c>
      <c r="BM18" s="875">
        <v>0</v>
      </c>
      <c r="BN18" s="864">
        <f t="shared" si="1"/>
        <v>0</v>
      </c>
      <c r="BO18" s="864">
        <f t="shared" si="2"/>
        <v>0</v>
      </c>
      <c r="BP18" s="864">
        <f t="shared" si="3"/>
        <v>0</v>
      </c>
      <c r="CH18" s="602" t="s">
        <v>444</v>
      </c>
      <c r="CI18" s="602" t="s">
        <v>468</v>
      </c>
      <c r="CJ18" s="602" t="s">
        <v>447</v>
      </c>
      <c r="CK18" s="602" t="s">
        <v>447</v>
      </c>
      <c r="CL18" s="604">
        <v>0</v>
      </c>
      <c r="CM18" s="604">
        <v>0</v>
      </c>
      <c r="CN18" s="604">
        <v>0</v>
      </c>
      <c r="CO18" s="879">
        <f t="shared" si="15"/>
        <v>0</v>
      </c>
      <c r="CP18" s="879">
        <f t="shared" si="16"/>
        <v>0</v>
      </c>
      <c r="CQ18" s="879">
        <f t="shared" si="17"/>
        <v>0</v>
      </c>
      <c r="CU18" s="602" t="s">
        <v>663</v>
      </c>
      <c r="CV18" s="602" t="s">
        <v>266</v>
      </c>
      <c r="CW18" s="602" t="s">
        <v>447</v>
      </c>
      <c r="CX18" s="602" t="s">
        <v>447</v>
      </c>
      <c r="CY18" s="604">
        <v>2497911024</v>
      </c>
      <c r="CZ18" s="604">
        <v>0</v>
      </c>
      <c r="DA18" s="604">
        <v>0</v>
      </c>
      <c r="DB18" s="862">
        <f t="shared" si="18"/>
        <v>2655279.4185120002</v>
      </c>
      <c r="DC18" s="862">
        <f t="shared" si="19"/>
        <v>0</v>
      </c>
      <c r="DD18" s="862">
        <f t="shared" si="20"/>
        <v>0</v>
      </c>
      <c r="DH18" s="602" t="s">
        <v>444</v>
      </c>
      <c r="DI18" s="602" t="s">
        <v>468</v>
      </c>
      <c r="DJ18" s="602" t="s">
        <v>446</v>
      </c>
      <c r="DK18" s="602" t="s">
        <v>322</v>
      </c>
      <c r="DL18" s="604">
        <v>0</v>
      </c>
      <c r="DM18" s="604">
        <v>1400000</v>
      </c>
      <c r="DN18" s="604">
        <v>412174</v>
      </c>
      <c r="DO18" s="862">
        <f t="shared" si="21"/>
        <v>0</v>
      </c>
      <c r="DP18" s="862">
        <f t="shared" si="22"/>
        <v>1488.1999999999998</v>
      </c>
      <c r="DQ18" s="862">
        <f t="shared" si="23"/>
        <v>438.14096199999994</v>
      </c>
      <c r="EE18" s="865">
        <f>SUM(EE3:EE17)</f>
        <v>15303721.047615999</v>
      </c>
      <c r="EI18" s="602" t="s">
        <v>444</v>
      </c>
      <c r="EJ18" s="602" t="s">
        <v>468</v>
      </c>
      <c r="EK18" s="602" t="s">
        <v>472</v>
      </c>
      <c r="EL18" s="602" t="s">
        <v>473</v>
      </c>
      <c r="EM18" s="602" t="s">
        <v>547</v>
      </c>
      <c r="EN18" s="602">
        <v>0</v>
      </c>
      <c r="EO18" s="602">
        <v>125296217</v>
      </c>
      <c r="EP18" s="602">
        <v>92149501</v>
      </c>
      <c r="EQ18" s="884">
        <f t="shared" si="27"/>
        <v>0</v>
      </c>
      <c r="ER18" s="884">
        <f t="shared" si="28"/>
        <v>133189.87867099998</v>
      </c>
      <c r="ES18" s="884">
        <f t="shared" si="29"/>
        <v>97954.919563000003</v>
      </c>
      <c r="EW18" s="602" t="s">
        <v>664</v>
      </c>
      <c r="EX18" s="602" t="s">
        <v>267</v>
      </c>
      <c r="EY18" s="602" t="s">
        <v>447</v>
      </c>
      <c r="EZ18" s="602" t="s">
        <v>447</v>
      </c>
      <c r="FA18" s="603" t="s">
        <v>547</v>
      </c>
      <c r="FB18" s="884">
        <v>0</v>
      </c>
      <c r="FC18" s="884">
        <v>183977662</v>
      </c>
      <c r="FD18" s="884">
        <v>192626662</v>
      </c>
      <c r="FE18" s="884">
        <f t="shared" si="30"/>
        <v>0</v>
      </c>
      <c r="FF18" s="884">
        <f t="shared" si="31"/>
        <v>195568.25470600001</v>
      </c>
      <c r="FG18" s="884">
        <f t="shared" si="32"/>
        <v>204762.14170599999</v>
      </c>
      <c r="FK18" s="602" t="s">
        <v>444</v>
      </c>
      <c r="FL18" s="602" t="s">
        <v>468</v>
      </c>
      <c r="FM18" s="602" t="s">
        <v>472</v>
      </c>
      <c r="FN18" s="602" t="s">
        <v>473</v>
      </c>
      <c r="FO18" s="602" t="s">
        <v>547</v>
      </c>
      <c r="FP18" s="884">
        <v>0</v>
      </c>
      <c r="FQ18" s="884">
        <v>125296217</v>
      </c>
      <c r="FR18" s="884">
        <v>92149501</v>
      </c>
      <c r="FS18" s="862">
        <f t="shared" si="33"/>
        <v>0</v>
      </c>
      <c r="FT18" s="862">
        <f t="shared" si="34"/>
        <v>133189.87867099998</v>
      </c>
      <c r="FU18" s="862">
        <f t="shared" si="35"/>
        <v>97954.919563000003</v>
      </c>
      <c r="FY18" s="602" t="s">
        <v>664</v>
      </c>
      <c r="FZ18" s="602" t="s">
        <v>267</v>
      </c>
      <c r="GA18" s="602" t="s">
        <v>447</v>
      </c>
      <c r="GB18" s="602" t="s">
        <v>447</v>
      </c>
      <c r="GC18" s="603" t="s">
        <v>547</v>
      </c>
      <c r="GD18" s="604">
        <v>1557271007</v>
      </c>
      <c r="GE18" s="604">
        <v>0</v>
      </c>
      <c r="GF18" s="604">
        <v>0</v>
      </c>
      <c r="GG18" s="884">
        <f t="shared" si="36"/>
        <v>1655379.0804409999</v>
      </c>
      <c r="GH18" s="884">
        <f t="shared" si="37"/>
        <v>0</v>
      </c>
      <c r="GI18" s="884">
        <f t="shared" si="38"/>
        <v>0</v>
      </c>
      <c r="GM18" s="885" t="s">
        <v>444</v>
      </c>
      <c r="GN18" s="886" t="s">
        <v>468</v>
      </c>
      <c r="GO18" s="885" t="s">
        <v>447</v>
      </c>
      <c r="GP18" s="885" t="s">
        <v>447</v>
      </c>
      <c r="GQ18" s="886" t="s">
        <v>547</v>
      </c>
      <c r="GR18" s="887">
        <v>0</v>
      </c>
      <c r="GS18" s="887">
        <v>0</v>
      </c>
      <c r="GT18" s="887">
        <v>0</v>
      </c>
      <c r="GU18" s="887">
        <f t="shared" si="39"/>
        <v>0</v>
      </c>
      <c r="GV18" s="887">
        <f t="shared" si="40"/>
        <v>0</v>
      </c>
      <c r="GW18" s="887">
        <f t="shared" si="41"/>
        <v>0</v>
      </c>
      <c r="HA18" s="602" t="s">
        <v>665</v>
      </c>
      <c r="HB18" s="602" t="s">
        <v>342</v>
      </c>
      <c r="HC18" s="602" t="s">
        <v>447</v>
      </c>
      <c r="HD18" s="602" t="s">
        <v>447</v>
      </c>
      <c r="HE18" s="603" t="s">
        <v>547</v>
      </c>
      <c r="HF18" s="604">
        <v>0</v>
      </c>
      <c r="HG18" s="604">
        <v>1111364367</v>
      </c>
      <c r="HH18" s="604">
        <v>405549949</v>
      </c>
      <c r="HI18" s="604">
        <f t="shared" si="42"/>
        <v>0</v>
      </c>
      <c r="HJ18" s="604">
        <f t="shared" si="43"/>
        <v>1111364.3670000001</v>
      </c>
      <c r="HK18" s="604">
        <f t="shared" si="44"/>
        <v>405549.94900000002</v>
      </c>
      <c r="HO18" s="885" t="s">
        <v>444</v>
      </c>
      <c r="HP18" s="885" t="s">
        <v>468</v>
      </c>
      <c r="HQ18" s="885" t="s">
        <v>446</v>
      </c>
      <c r="HR18" s="885" t="s">
        <v>322</v>
      </c>
      <c r="HS18" s="603" t="s">
        <v>547</v>
      </c>
      <c r="HT18" s="604">
        <v>0</v>
      </c>
      <c r="HU18" s="604">
        <v>1377484</v>
      </c>
      <c r="HV18" s="604">
        <v>709197</v>
      </c>
      <c r="HW18" s="862">
        <f t="shared" si="45"/>
        <v>0</v>
      </c>
      <c r="HX18" s="862">
        <f t="shared" si="46"/>
        <v>1377.4839999999999</v>
      </c>
      <c r="HY18" s="862">
        <f t="shared" si="47"/>
        <v>709.197</v>
      </c>
      <c r="IC18" s="602" t="s">
        <v>506</v>
      </c>
      <c r="ID18" s="602" t="s">
        <v>507</v>
      </c>
      <c r="IE18" s="602" t="s">
        <v>447</v>
      </c>
      <c r="IF18" s="602" t="s">
        <v>447</v>
      </c>
      <c r="IG18" s="603" t="s">
        <v>547</v>
      </c>
      <c r="IH18" s="604">
        <v>881025000</v>
      </c>
      <c r="II18" s="604">
        <v>0</v>
      </c>
      <c r="IJ18" s="604">
        <v>0</v>
      </c>
      <c r="IK18" s="883">
        <f t="shared" si="48"/>
        <v>881025</v>
      </c>
      <c r="IL18" s="883">
        <f t="shared" si="49"/>
        <v>0</v>
      </c>
      <c r="IM18" s="883">
        <f t="shared" si="50"/>
        <v>0</v>
      </c>
      <c r="IQ18" s="885" t="s">
        <v>444</v>
      </c>
      <c r="IR18" s="885" t="s">
        <v>468</v>
      </c>
      <c r="IS18" s="885" t="s">
        <v>474</v>
      </c>
      <c r="IT18" s="885" t="s">
        <v>276</v>
      </c>
      <c r="IU18" s="886" t="s">
        <v>547</v>
      </c>
      <c r="IV18" s="887">
        <v>0</v>
      </c>
      <c r="IW18" s="887">
        <v>3927188291</v>
      </c>
      <c r="IX18" s="887">
        <v>3810489874</v>
      </c>
      <c r="IY18" s="888">
        <f t="shared" si="51"/>
        <v>0</v>
      </c>
      <c r="IZ18" s="888">
        <f t="shared" si="52"/>
        <v>3927188.2910000002</v>
      </c>
      <c r="JA18" s="888">
        <f t="shared" si="53"/>
        <v>3810489.8739999998</v>
      </c>
      <c r="JE18" s="886" t="s">
        <v>663</v>
      </c>
      <c r="JF18" s="886" t="s">
        <v>266</v>
      </c>
      <c r="JG18" s="886" t="s">
        <v>447</v>
      </c>
      <c r="JH18" s="886" t="s">
        <v>447</v>
      </c>
      <c r="JI18" s="603" t="s">
        <v>547</v>
      </c>
      <c r="JJ18" s="604">
        <v>1241165025</v>
      </c>
      <c r="JK18" s="862">
        <f t="shared" si="54"/>
        <v>1241165.0249999999</v>
      </c>
      <c r="JO18" s="884" t="s">
        <v>444</v>
      </c>
      <c r="JP18" s="884" t="s">
        <v>468</v>
      </c>
      <c r="JQ18" s="884" t="s">
        <v>447</v>
      </c>
      <c r="JR18" s="605" t="s">
        <v>447</v>
      </c>
      <c r="JS18" s="605" t="s">
        <v>547</v>
      </c>
      <c r="JT18" s="889">
        <v>0</v>
      </c>
      <c r="JU18" s="889">
        <v>0</v>
      </c>
      <c r="JV18" s="889">
        <v>0</v>
      </c>
      <c r="JW18" s="863">
        <f t="shared" si="55"/>
        <v>0</v>
      </c>
      <c r="JX18" s="863">
        <f t="shared" si="56"/>
        <v>0</v>
      </c>
      <c r="JY18" s="863">
        <f t="shared" si="57"/>
        <v>0</v>
      </c>
    </row>
    <row r="19" spans="1:285" ht="15" customHeight="1" x14ac:dyDescent="0.3">
      <c r="A19" s="872" t="s">
        <v>544</v>
      </c>
      <c r="B19" s="872" t="s">
        <v>545</v>
      </c>
      <c r="C19" s="872" t="s">
        <v>447</v>
      </c>
      <c r="D19" s="872" t="s">
        <v>447</v>
      </c>
      <c r="E19" s="873">
        <v>10000</v>
      </c>
      <c r="F19" s="873">
        <f t="shared" si="7"/>
        <v>10.629999999999999</v>
      </c>
      <c r="G19" s="873">
        <v>0</v>
      </c>
      <c r="H19" s="873">
        <f t="shared" si="8"/>
        <v>0</v>
      </c>
      <c r="U19" s="874" t="s">
        <v>662</v>
      </c>
      <c r="V19" s="874" t="s">
        <v>308</v>
      </c>
      <c r="W19" s="874" t="s">
        <v>447</v>
      </c>
      <c r="X19" s="874" t="s">
        <v>447</v>
      </c>
      <c r="Y19" s="875">
        <v>3794172000</v>
      </c>
      <c r="Z19" s="875">
        <f t="shared" si="10"/>
        <v>4033204.8359999997</v>
      </c>
      <c r="AM19" s="874" t="s">
        <v>444</v>
      </c>
      <c r="AN19" s="874" t="s">
        <v>468</v>
      </c>
      <c r="AO19" s="874" t="s">
        <v>446</v>
      </c>
      <c r="AP19" s="874" t="s">
        <v>322</v>
      </c>
      <c r="AQ19" s="875">
        <v>0</v>
      </c>
      <c r="AR19" s="875">
        <f t="shared" si="58"/>
        <v>0</v>
      </c>
      <c r="AS19" s="875">
        <v>412174</v>
      </c>
      <c r="AV19" s="862"/>
      <c r="BG19" s="874" t="s">
        <v>444</v>
      </c>
      <c r="BH19" s="874" t="s">
        <v>468</v>
      </c>
      <c r="BI19" s="874" t="s">
        <v>447</v>
      </c>
      <c r="BJ19" s="874" t="s">
        <v>447</v>
      </c>
      <c r="BK19" s="875">
        <v>0</v>
      </c>
      <c r="BL19" s="875">
        <v>0</v>
      </c>
      <c r="BM19" s="875">
        <v>0</v>
      </c>
      <c r="BN19" s="864">
        <f t="shared" si="1"/>
        <v>0</v>
      </c>
      <c r="BO19" s="864">
        <f t="shared" si="2"/>
        <v>0</v>
      </c>
      <c r="BP19" s="864">
        <f t="shared" si="3"/>
        <v>0</v>
      </c>
      <c r="CH19" s="602" t="s">
        <v>444</v>
      </c>
      <c r="CI19" s="602" t="s">
        <v>468</v>
      </c>
      <c r="CJ19" s="602" t="s">
        <v>472</v>
      </c>
      <c r="CK19" s="602" t="s">
        <v>473</v>
      </c>
      <c r="CL19" s="604">
        <v>0</v>
      </c>
      <c r="CM19" s="604">
        <v>125296217</v>
      </c>
      <c r="CN19" s="604">
        <v>20574501</v>
      </c>
      <c r="CO19" s="879">
        <f t="shared" si="15"/>
        <v>0</v>
      </c>
      <c r="CP19" s="879">
        <f t="shared" si="16"/>
        <v>133189.87867099998</v>
      </c>
      <c r="CQ19" s="879">
        <f t="shared" si="17"/>
        <v>21870.694562999997</v>
      </c>
      <c r="CU19" s="602" t="s">
        <v>663</v>
      </c>
      <c r="CV19" s="602" t="s">
        <v>266</v>
      </c>
      <c r="CW19" s="602" t="s">
        <v>447</v>
      </c>
      <c r="CX19" s="602" t="s">
        <v>447</v>
      </c>
      <c r="CY19" s="604">
        <v>0</v>
      </c>
      <c r="CZ19" s="604">
        <v>867077315</v>
      </c>
      <c r="DA19" s="604">
        <v>867077315</v>
      </c>
      <c r="DB19" s="862">
        <f t="shared" si="18"/>
        <v>0</v>
      </c>
      <c r="DC19" s="862">
        <f t="shared" si="19"/>
        <v>921703.18584499985</v>
      </c>
      <c r="DD19" s="862">
        <f t="shared" si="20"/>
        <v>921703.18584499985</v>
      </c>
      <c r="DH19" s="602" t="s">
        <v>444</v>
      </c>
      <c r="DI19" s="602" t="s">
        <v>468</v>
      </c>
      <c r="DJ19" s="602" t="s">
        <v>447</v>
      </c>
      <c r="DK19" s="602" t="s">
        <v>447</v>
      </c>
      <c r="DL19" s="604">
        <v>0</v>
      </c>
      <c r="DM19" s="604">
        <v>0</v>
      </c>
      <c r="DN19" s="604">
        <v>0</v>
      </c>
      <c r="DO19" s="862">
        <f t="shared" si="21"/>
        <v>0</v>
      </c>
      <c r="DP19" s="862">
        <f t="shared" si="22"/>
        <v>0</v>
      </c>
      <c r="DQ19" s="862">
        <f t="shared" si="23"/>
        <v>0</v>
      </c>
      <c r="EI19" s="602" t="s">
        <v>444</v>
      </c>
      <c r="EJ19" s="602" t="s">
        <v>468</v>
      </c>
      <c r="EK19" s="602" t="s">
        <v>474</v>
      </c>
      <c r="EL19" s="602" t="s">
        <v>276</v>
      </c>
      <c r="EM19" s="602" t="s">
        <v>547</v>
      </c>
      <c r="EN19" s="602">
        <v>0</v>
      </c>
      <c r="EO19" s="602">
        <v>1758310428</v>
      </c>
      <c r="EP19" s="602">
        <v>583909235</v>
      </c>
      <c r="EQ19" s="884">
        <f t="shared" si="27"/>
        <v>0</v>
      </c>
      <c r="ER19" s="884">
        <f t="shared" si="28"/>
        <v>1869083.9849640001</v>
      </c>
      <c r="ES19" s="884">
        <f t="shared" si="29"/>
        <v>620695.5168049999</v>
      </c>
      <c r="EW19" s="602" t="s">
        <v>665</v>
      </c>
      <c r="EX19" s="602" t="s">
        <v>342</v>
      </c>
      <c r="EY19" s="602" t="s">
        <v>447</v>
      </c>
      <c r="EZ19" s="602" t="s">
        <v>447</v>
      </c>
      <c r="FA19" s="603" t="s">
        <v>547</v>
      </c>
      <c r="FB19" s="884">
        <v>0</v>
      </c>
      <c r="FC19" s="884">
        <v>102700657</v>
      </c>
      <c r="FD19" s="884">
        <v>102700657</v>
      </c>
      <c r="FE19" s="884">
        <f t="shared" si="30"/>
        <v>0</v>
      </c>
      <c r="FF19" s="884">
        <f t="shared" si="31"/>
        <v>109170.798391</v>
      </c>
      <c r="FG19" s="884">
        <f t="shared" si="32"/>
        <v>109170.798391</v>
      </c>
      <c r="FK19" s="602" t="s">
        <v>444</v>
      </c>
      <c r="FL19" s="602" t="s">
        <v>468</v>
      </c>
      <c r="FM19" s="602" t="s">
        <v>445</v>
      </c>
      <c r="FN19" s="602" t="s">
        <v>277</v>
      </c>
      <c r="FO19" s="602" t="s">
        <v>547</v>
      </c>
      <c r="FP19" s="884">
        <v>0</v>
      </c>
      <c r="FQ19" s="884">
        <v>221533671</v>
      </c>
      <c r="FR19" s="884">
        <v>161244865</v>
      </c>
      <c r="FS19" s="862">
        <f t="shared" si="33"/>
        <v>0</v>
      </c>
      <c r="FT19" s="862">
        <f t="shared" si="34"/>
        <v>235490.292273</v>
      </c>
      <c r="FU19" s="862">
        <f t="shared" si="35"/>
        <v>171403.29149499998</v>
      </c>
      <c r="FY19" s="602" t="s">
        <v>664</v>
      </c>
      <c r="FZ19" s="602" t="s">
        <v>267</v>
      </c>
      <c r="GA19" s="602" t="s">
        <v>447</v>
      </c>
      <c r="GB19" s="602" t="s">
        <v>447</v>
      </c>
      <c r="GC19" s="603" t="s">
        <v>547</v>
      </c>
      <c r="GD19" s="604">
        <v>0</v>
      </c>
      <c r="GE19" s="604">
        <v>77712737</v>
      </c>
      <c r="GF19" s="604">
        <v>77712737</v>
      </c>
      <c r="GG19" s="884">
        <f t="shared" si="36"/>
        <v>0</v>
      </c>
      <c r="GH19" s="884">
        <f t="shared" si="37"/>
        <v>82608.639430999989</v>
      </c>
      <c r="GI19" s="884">
        <f t="shared" si="38"/>
        <v>82608.639430999989</v>
      </c>
      <c r="GM19" s="885" t="s">
        <v>444</v>
      </c>
      <c r="GN19" s="886" t="s">
        <v>468</v>
      </c>
      <c r="GO19" s="885" t="s">
        <v>471</v>
      </c>
      <c r="GP19" s="885" t="s">
        <v>279</v>
      </c>
      <c r="GQ19" s="886" t="s">
        <v>547</v>
      </c>
      <c r="GR19" s="887">
        <v>0</v>
      </c>
      <c r="GS19" s="887">
        <v>1447554</v>
      </c>
      <c r="GT19" s="887">
        <v>1447554</v>
      </c>
      <c r="GU19" s="887">
        <f t="shared" si="39"/>
        <v>0</v>
      </c>
      <c r="GV19" s="887">
        <f t="shared" si="40"/>
        <v>1538.749902</v>
      </c>
      <c r="GW19" s="887">
        <f t="shared" si="41"/>
        <v>1538.749902</v>
      </c>
      <c r="HA19" s="602" t="s">
        <v>666</v>
      </c>
      <c r="HB19" s="602" t="s">
        <v>529</v>
      </c>
      <c r="HC19" s="602" t="s">
        <v>447</v>
      </c>
      <c r="HD19" s="602" t="s">
        <v>447</v>
      </c>
      <c r="HE19" s="603" t="s">
        <v>547</v>
      </c>
      <c r="HF19" s="604">
        <v>0</v>
      </c>
      <c r="HG19" s="604">
        <v>1126605680</v>
      </c>
      <c r="HH19" s="604">
        <v>1709378242</v>
      </c>
      <c r="HI19" s="604">
        <f t="shared" si="42"/>
        <v>0</v>
      </c>
      <c r="HJ19" s="604">
        <f t="shared" si="43"/>
        <v>1126605.68</v>
      </c>
      <c r="HK19" s="604">
        <f t="shared" si="44"/>
        <v>1709378.2420000001</v>
      </c>
      <c r="HO19" s="885" t="s">
        <v>444</v>
      </c>
      <c r="HP19" s="885" t="s">
        <v>468</v>
      </c>
      <c r="HQ19" s="885" t="s">
        <v>447</v>
      </c>
      <c r="HR19" s="885" t="s">
        <v>447</v>
      </c>
      <c r="HS19" s="603" t="s">
        <v>547</v>
      </c>
      <c r="HT19" s="604">
        <v>0</v>
      </c>
      <c r="HU19" s="604">
        <v>0</v>
      </c>
      <c r="HV19" s="604">
        <v>0</v>
      </c>
      <c r="HW19" s="862">
        <f t="shared" si="45"/>
        <v>0</v>
      </c>
      <c r="HX19" s="862">
        <f t="shared" si="46"/>
        <v>0</v>
      </c>
      <c r="HY19" s="862">
        <f t="shared" si="47"/>
        <v>0</v>
      </c>
      <c r="IC19" s="602" t="s">
        <v>448</v>
      </c>
      <c r="ID19" s="602" t="s">
        <v>469</v>
      </c>
      <c r="IE19" s="602" t="s">
        <v>447</v>
      </c>
      <c r="IF19" s="602" t="s">
        <v>447</v>
      </c>
      <c r="IG19" s="603" t="s">
        <v>547</v>
      </c>
      <c r="IH19" s="604">
        <v>0</v>
      </c>
      <c r="II19" s="604">
        <v>0</v>
      </c>
      <c r="IJ19" s="604">
        <v>1970164775</v>
      </c>
      <c r="IK19" s="883">
        <f t="shared" si="48"/>
        <v>0</v>
      </c>
      <c r="IL19" s="883">
        <f t="shared" si="49"/>
        <v>0</v>
      </c>
      <c r="IM19" s="883">
        <f t="shared" si="50"/>
        <v>1970164.7749999999</v>
      </c>
      <c r="IQ19" s="885" t="s">
        <v>444</v>
      </c>
      <c r="IR19" s="885" t="s">
        <v>468</v>
      </c>
      <c r="IS19" s="885" t="s">
        <v>445</v>
      </c>
      <c r="IT19" s="885" t="s">
        <v>277</v>
      </c>
      <c r="IU19" s="886" t="s">
        <v>547</v>
      </c>
      <c r="IV19" s="887">
        <v>0</v>
      </c>
      <c r="IW19" s="887">
        <v>234881270</v>
      </c>
      <c r="IX19" s="887">
        <v>217390737</v>
      </c>
      <c r="IY19" s="888">
        <f t="shared" si="51"/>
        <v>0</v>
      </c>
      <c r="IZ19" s="888">
        <f t="shared" si="52"/>
        <v>234881.27</v>
      </c>
      <c r="JA19" s="888">
        <f t="shared" si="53"/>
        <v>217390.73699999999</v>
      </c>
      <c r="JE19" s="886" t="s">
        <v>664</v>
      </c>
      <c r="JF19" s="886" t="s">
        <v>267</v>
      </c>
      <c r="JG19" s="886" t="s">
        <v>447</v>
      </c>
      <c r="JH19" s="886" t="s">
        <v>447</v>
      </c>
      <c r="JI19" s="603" t="s">
        <v>547</v>
      </c>
      <c r="JJ19" s="604">
        <v>1419202212</v>
      </c>
      <c r="JK19" s="862">
        <f t="shared" si="54"/>
        <v>1419202.2120000001</v>
      </c>
      <c r="JO19" s="884" t="s">
        <v>444</v>
      </c>
      <c r="JP19" s="884" t="s">
        <v>468</v>
      </c>
      <c r="JQ19" s="884" t="s">
        <v>472</v>
      </c>
      <c r="JR19" s="605" t="s">
        <v>473</v>
      </c>
      <c r="JS19" s="605" t="s">
        <v>547</v>
      </c>
      <c r="JT19" s="889">
        <v>0</v>
      </c>
      <c r="JU19" s="889">
        <v>124642628</v>
      </c>
      <c r="JV19" s="889">
        <v>124268424</v>
      </c>
      <c r="JW19" s="863">
        <f t="shared" si="55"/>
        <v>0</v>
      </c>
      <c r="JX19" s="863">
        <f t="shared" si="56"/>
        <v>124642.628</v>
      </c>
      <c r="JY19" s="863">
        <f t="shared" si="57"/>
        <v>124268.424</v>
      </c>
    </row>
    <row r="20" spans="1:285" ht="15" customHeight="1" x14ac:dyDescent="0.3">
      <c r="A20" s="872" t="s">
        <v>656</v>
      </c>
      <c r="B20" s="872" t="s">
        <v>657</v>
      </c>
      <c r="C20" s="872" t="s">
        <v>447</v>
      </c>
      <c r="D20" s="872" t="s">
        <v>447</v>
      </c>
      <c r="E20" s="873">
        <v>43877288000</v>
      </c>
      <c r="F20" s="873">
        <f t="shared" si="7"/>
        <v>46641557.144000001</v>
      </c>
      <c r="G20" s="873">
        <v>0</v>
      </c>
      <c r="H20" s="873">
        <f t="shared" si="8"/>
        <v>0</v>
      </c>
      <c r="U20" s="874" t="s">
        <v>663</v>
      </c>
      <c r="V20" s="874" t="s">
        <v>266</v>
      </c>
      <c r="W20" s="874" t="s">
        <v>447</v>
      </c>
      <c r="X20" s="874" t="s">
        <v>447</v>
      </c>
      <c r="Y20" s="875">
        <v>3161810000</v>
      </c>
      <c r="Z20" s="875">
        <f t="shared" si="10"/>
        <v>3361004.03</v>
      </c>
      <c r="AM20" s="874" t="s">
        <v>544</v>
      </c>
      <c r="AN20" s="874" t="s">
        <v>545</v>
      </c>
      <c r="AO20" s="874" t="s">
        <v>447</v>
      </c>
      <c r="AP20" s="874" t="s">
        <v>447</v>
      </c>
      <c r="AQ20" s="875">
        <v>10000</v>
      </c>
      <c r="AR20" s="875">
        <f t="shared" si="58"/>
        <v>10.629999999999999</v>
      </c>
      <c r="AS20" s="875">
        <v>0</v>
      </c>
      <c r="AV20" s="862"/>
      <c r="BG20" s="874" t="s">
        <v>544</v>
      </c>
      <c r="BH20" s="874" t="s">
        <v>545</v>
      </c>
      <c r="BI20" s="874" t="s">
        <v>447</v>
      </c>
      <c r="BJ20" s="874" t="s">
        <v>447</v>
      </c>
      <c r="BK20" s="875">
        <v>10000</v>
      </c>
      <c r="BL20" s="875">
        <v>0</v>
      </c>
      <c r="BM20" s="875">
        <v>0</v>
      </c>
      <c r="BN20" s="864">
        <f t="shared" si="1"/>
        <v>10.629999999999999</v>
      </c>
      <c r="BO20" s="864">
        <f t="shared" si="2"/>
        <v>0</v>
      </c>
      <c r="BP20" s="864">
        <f t="shared" si="3"/>
        <v>0</v>
      </c>
      <c r="CH20" s="602" t="s">
        <v>544</v>
      </c>
      <c r="CI20" s="602" t="s">
        <v>545</v>
      </c>
      <c r="CJ20" s="602" t="s">
        <v>447</v>
      </c>
      <c r="CK20" s="602" t="s">
        <v>447</v>
      </c>
      <c r="CL20" s="604">
        <v>10000</v>
      </c>
      <c r="CM20" s="604">
        <v>0</v>
      </c>
      <c r="CN20" s="604">
        <v>0</v>
      </c>
      <c r="CO20" s="879">
        <f t="shared" si="15"/>
        <v>10.629999999999999</v>
      </c>
      <c r="CP20" s="879">
        <f t="shared" si="16"/>
        <v>0</v>
      </c>
      <c r="CQ20" s="879">
        <f t="shared" si="17"/>
        <v>0</v>
      </c>
      <c r="CU20" s="602" t="s">
        <v>664</v>
      </c>
      <c r="CV20" s="602" t="s">
        <v>267</v>
      </c>
      <c r="CW20" s="602" t="s">
        <v>447</v>
      </c>
      <c r="CX20" s="602" t="s">
        <v>447</v>
      </c>
      <c r="CY20" s="604">
        <v>0</v>
      </c>
      <c r="CZ20" s="604">
        <v>44109227</v>
      </c>
      <c r="DA20" s="604">
        <v>52269227</v>
      </c>
      <c r="DB20" s="862">
        <f t="shared" si="18"/>
        <v>0</v>
      </c>
      <c r="DC20" s="862">
        <f t="shared" si="19"/>
        <v>46888.108300999993</v>
      </c>
      <c r="DD20" s="862">
        <f t="shared" si="20"/>
        <v>55562.188300999995</v>
      </c>
      <c r="DH20" s="602" t="s">
        <v>544</v>
      </c>
      <c r="DI20" s="602" t="s">
        <v>545</v>
      </c>
      <c r="DJ20" s="602" t="s">
        <v>447</v>
      </c>
      <c r="DK20" s="602" t="s">
        <v>447</v>
      </c>
      <c r="DL20" s="604">
        <v>10000</v>
      </c>
      <c r="DM20" s="604">
        <v>0</v>
      </c>
      <c r="DN20" s="604">
        <v>0</v>
      </c>
      <c r="DO20" s="862">
        <f t="shared" si="21"/>
        <v>10.629999999999999</v>
      </c>
      <c r="DP20" s="862">
        <f t="shared" si="22"/>
        <v>0</v>
      </c>
      <c r="DQ20" s="862">
        <f t="shared" si="23"/>
        <v>0</v>
      </c>
      <c r="EI20" s="602" t="s">
        <v>544</v>
      </c>
      <c r="EJ20" s="602" t="s">
        <v>545</v>
      </c>
      <c r="EK20" s="602" t="s">
        <v>447</v>
      </c>
      <c r="EL20" s="602" t="s">
        <v>447</v>
      </c>
      <c r="EM20" s="602" t="s">
        <v>547</v>
      </c>
      <c r="EN20" s="602">
        <v>10000</v>
      </c>
      <c r="EO20" s="602">
        <v>0</v>
      </c>
      <c r="EP20" s="602">
        <v>0</v>
      </c>
      <c r="EQ20" s="884">
        <f t="shared" si="27"/>
        <v>10.629999999999999</v>
      </c>
      <c r="ER20" s="884">
        <f t="shared" si="28"/>
        <v>0</v>
      </c>
      <c r="ES20" s="884">
        <f t="shared" si="29"/>
        <v>0</v>
      </c>
      <c r="EW20" s="602" t="s">
        <v>666</v>
      </c>
      <c r="EX20" s="602" t="s">
        <v>529</v>
      </c>
      <c r="EY20" s="602" t="s">
        <v>447</v>
      </c>
      <c r="EZ20" s="602" t="s">
        <v>447</v>
      </c>
      <c r="FA20" s="603" t="s">
        <v>547</v>
      </c>
      <c r="FB20" s="884">
        <v>0</v>
      </c>
      <c r="FC20" s="884">
        <v>463659138</v>
      </c>
      <c r="FD20" s="884">
        <v>260547026</v>
      </c>
      <c r="FE20" s="884">
        <f t="shared" si="30"/>
        <v>0</v>
      </c>
      <c r="FF20" s="884">
        <f t="shared" si="31"/>
        <v>492869.66369399993</v>
      </c>
      <c r="FG20" s="884">
        <f t="shared" si="32"/>
        <v>276961.48863799998</v>
      </c>
      <c r="FK20" s="602" t="s">
        <v>544</v>
      </c>
      <c r="FL20" s="602" t="s">
        <v>545</v>
      </c>
      <c r="FM20" s="602" t="s">
        <v>447</v>
      </c>
      <c r="FN20" s="602" t="s">
        <v>447</v>
      </c>
      <c r="FO20" s="602" t="s">
        <v>547</v>
      </c>
      <c r="FP20" s="884">
        <v>10000</v>
      </c>
      <c r="FQ20" s="884">
        <v>0</v>
      </c>
      <c r="FR20" s="884">
        <v>0</v>
      </c>
      <c r="FS20" s="862">
        <f t="shared" si="33"/>
        <v>10.629999999999999</v>
      </c>
      <c r="FT20" s="862">
        <f t="shared" si="34"/>
        <v>0</v>
      </c>
      <c r="FU20" s="862">
        <f t="shared" si="35"/>
        <v>0</v>
      </c>
      <c r="FY20" s="602" t="s">
        <v>665</v>
      </c>
      <c r="FZ20" s="602" t="s">
        <v>342</v>
      </c>
      <c r="GA20" s="602" t="s">
        <v>447</v>
      </c>
      <c r="GB20" s="602" t="s">
        <v>447</v>
      </c>
      <c r="GC20" s="603" t="s">
        <v>547</v>
      </c>
      <c r="GD20" s="604">
        <v>1358436095</v>
      </c>
      <c r="GE20" s="604">
        <v>0</v>
      </c>
      <c r="GF20" s="604">
        <v>0</v>
      </c>
      <c r="GG20" s="884">
        <f t="shared" si="36"/>
        <v>1444017.5689849998</v>
      </c>
      <c r="GH20" s="884">
        <f t="shared" si="37"/>
        <v>0</v>
      </c>
      <c r="GI20" s="884">
        <f t="shared" si="38"/>
        <v>0</v>
      </c>
      <c r="GM20" s="885" t="s">
        <v>544</v>
      </c>
      <c r="GN20" s="886" t="s">
        <v>545</v>
      </c>
      <c r="GO20" s="885" t="s">
        <v>447</v>
      </c>
      <c r="GP20" s="885" t="s">
        <v>447</v>
      </c>
      <c r="GQ20" s="886" t="s">
        <v>547</v>
      </c>
      <c r="GR20" s="887">
        <v>10000</v>
      </c>
      <c r="GS20" s="887">
        <v>0</v>
      </c>
      <c r="GT20" s="887">
        <v>0</v>
      </c>
      <c r="GU20" s="887">
        <f t="shared" si="39"/>
        <v>10.629999999999999</v>
      </c>
      <c r="GV20" s="887">
        <f t="shared" si="40"/>
        <v>0</v>
      </c>
      <c r="GW20" s="887">
        <f t="shared" si="41"/>
        <v>0</v>
      </c>
      <c r="HA20" s="602" t="s">
        <v>667</v>
      </c>
      <c r="HB20" s="602" t="s">
        <v>634</v>
      </c>
      <c r="HC20" s="602" t="s">
        <v>447</v>
      </c>
      <c r="HD20" s="602" t="s">
        <v>447</v>
      </c>
      <c r="HE20" s="603" t="s">
        <v>547</v>
      </c>
      <c r="HF20" s="604">
        <v>7501125352</v>
      </c>
      <c r="HG20" s="604">
        <v>0</v>
      </c>
      <c r="HH20" s="604">
        <v>0</v>
      </c>
      <c r="HI20" s="604">
        <f t="shared" si="42"/>
        <v>7501125.352</v>
      </c>
      <c r="HJ20" s="604">
        <f t="shared" si="43"/>
        <v>0</v>
      </c>
      <c r="HK20" s="604">
        <f t="shared" si="44"/>
        <v>0</v>
      </c>
      <c r="HO20" s="885" t="s">
        <v>544</v>
      </c>
      <c r="HP20" s="885" t="s">
        <v>545</v>
      </c>
      <c r="HQ20" s="885" t="s">
        <v>447</v>
      </c>
      <c r="HR20" s="885" t="s">
        <v>447</v>
      </c>
      <c r="HS20" s="603" t="s">
        <v>547</v>
      </c>
      <c r="HT20" s="604">
        <v>10000</v>
      </c>
      <c r="HU20" s="604">
        <v>0</v>
      </c>
      <c r="HV20" s="604">
        <v>0</v>
      </c>
      <c r="HW20" s="862">
        <f t="shared" si="45"/>
        <v>10</v>
      </c>
      <c r="HX20" s="862">
        <f t="shared" si="46"/>
        <v>0</v>
      </c>
      <c r="HY20" s="862">
        <f t="shared" si="47"/>
        <v>0</v>
      </c>
      <c r="IC20" s="602" t="s">
        <v>451</v>
      </c>
      <c r="ID20" s="602" t="s">
        <v>470</v>
      </c>
      <c r="IE20" s="602" t="s">
        <v>447</v>
      </c>
      <c r="IF20" s="602" t="s">
        <v>447</v>
      </c>
      <c r="IG20" s="603" t="s">
        <v>547</v>
      </c>
      <c r="IH20" s="604">
        <v>0</v>
      </c>
      <c r="II20" s="604">
        <v>3758896502</v>
      </c>
      <c r="IJ20" s="604">
        <v>3692214386</v>
      </c>
      <c r="IK20" s="883">
        <f t="shared" si="48"/>
        <v>0</v>
      </c>
      <c r="IL20" s="883">
        <f t="shared" si="49"/>
        <v>3758896.5019999999</v>
      </c>
      <c r="IM20" s="883">
        <f t="shared" si="50"/>
        <v>3692214.3859999999</v>
      </c>
      <c r="IQ20" s="885" t="s">
        <v>444</v>
      </c>
      <c r="IR20" s="885" t="s">
        <v>468</v>
      </c>
      <c r="IS20" s="885" t="s">
        <v>472</v>
      </c>
      <c r="IT20" s="885" t="s">
        <v>473</v>
      </c>
      <c r="IU20" s="886" t="s">
        <v>547</v>
      </c>
      <c r="IV20" s="887">
        <v>0</v>
      </c>
      <c r="IW20" s="887">
        <v>124642628</v>
      </c>
      <c r="IX20" s="887">
        <v>112509985</v>
      </c>
      <c r="IY20" s="888">
        <f t="shared" si="51"/>
        <v>0</v>
      </c>
      <c r="IZ20" s="888">
        <f t="shared" si="52"/>
        <v>124642.628</v>
      </c>
      <c r="JA20" s="888">
        <f t="shared" si="53"/>
        <v>112509.985</v>
      </c>
      <c r="JE20" s="886" t="s">
        <v>665</v>
      </c>
      <c r="JF20" s="886" t="s">
        <v>342</v>
      </c>
      <c r="JG20" s="886" t="s">
        <v>447</v>
      </c>
      <c r="JH20" s="886" t="s">
        <v>447</v>
      </c>
      <c r="JI20" s="603" t="s">
        <v>547</v>
      </c>
      <c r="JJ20" s="604">
        <v>618506580</v>
      </c>
      <c r="JK20" s="862">
        <f t="shared" si="54"/>
        <v>618506.57999999996</v>
      </c>
      <c r="JO20" s="884" t="s">
        <v>444</v>
      </c>
      <c r="JP20" s="884" t="s">
        <v>468</v>
      </c>
      <c r="JQ20" s="884" t="s">
        <v>445</v>
      </c>
      <c r="JR20" s="605" t="s">
        <v>277</v>
      </c>
      <c r="JS20" s="605" t="s">
        <v>547</v>
      </c>
      <c r="JT20" s="889">
        <v>0</v>
      </c>
      <c r="JU20" s="889">
        <v>238843816</v>
      </c>
      <c r="JV20" s="889">
        <v>238843816</v>
      </c>
      <c r="JW20" s="863">
        <f t="shared" si="55"/>
        <v>0</v>
      </c>
      <c r="JX20" s="863">
        <f t="shared" si="56"/>
        <v>238843.81599999999</v>
      </c>
      <c r="JY20" s="863">
        <f t="shared" si="57"/>
        <v>238843.81599999999</v>
      </c>
    </row>
    <row r="21" spans="1:285" ht="15" customHeight="1" x14ac:dyDescent="0.3">
      <c r="A21" s="872" t="s">
        <v>450</v>
      </c>
      <c r="B21" s="872" t="s">
        <v>142</v>
      </c>
      <c r="C21" s="872" t="s">
        <v>447</v>
      </c>
      <c r="D21" s="872" t="s">
        <v>447</v>
      </c>
      <c r="E21" s="873">
        <v>9151948000</v>
      </c>
      <c r="F21" s="873">
        <f t="shared" si="7"/>
        <v>9728520.7239999995</v>
      </c>
      <c r="G21" s="873">
        <v>0</v>
      </c>
      <c r="H21" s="873">
        <f t="shared" si="8"/>
        <v>0</v>
      </c>
      <c r="U21" s="874" t="s">
        <v>664</v>
      </c>
      <c r="V21" s="874" t="s">
        <v>267</v>
      </c>
      <c r="W21" s="874" t="s">
        <v>447</v>
      </c>
      <c r="X21" s="874" t="s">
        <v>447</v>
      </c>
      <c r="Y21" s="875">
        <v>948543000</v>
      </c>
      <c r="Z21" s="875">
        <f t="shared" si="10"/>
        <v>1008301.2089999999</v>
      </c>
      <c r="AM21" s="874" t="s">
        <v>656</v>
      </c>
      <c r="AN21" s="874" t="s">
        <v>657</v>
      </c>
      <c r="AO21" s="874" t="s">
        <v>447</v>
      </c>
      <c r="AP21" s="874" t="s">
        <v>447</v>
      </c>
      <c r="AQ21" s="875">
        <v>0</v>
      </c>
      <c r="AR21" s="875">
        <f t="shared" si="58"/>
        <v>0</v>
      </c>
      <c r="AS21" s="875">
        <v>0</v>
      </c>
      <c r="AV21" s="862"/>
      <c r="BG21" s="874" t="s">
        <v>656</v>
      </c>
      <c r="BH21" s="874" t="s">
        <v>657</v>
      </c>
      <c r="BI21" s="874" t="s">
        <v>447</v>
      </c>
      <c r="BJ21" s="874" t="s">
        <v>447</v>
      </c>
      <c r="BK21" s="875">
        <v>0</v>
      </c>
      <c r="BL21" s="875">
        <v>0</v>
      </c>
      <c r="BM21" s="875">
        <v>0</v>
      </c>
      <c r="BN21" s="864">
        <f t="shared" si="1"/>
        <v>0</v>
      </c>
      <c r="BO21" s="864">
        <f t="shared" si="2"/>
        <v>0</v>
      </c>
      <c r="BP21" s="864">
        <f t="shared" si="3"/>
        <v>0</v>
      </c>
      <c r="CH21" s="602" t="s">
        <v>656</v>
      </c>
      <c r="CI21" s="602" t="s">
        <v>657</v>
      </c>
      <c r="CJ21" s="602" t="s">
        <v>447</v>
      </c>
      <c r="CK21" s="602" t="s">
        <v>447</v>
      </c>
      <c r="CL21" s="604">
        <v>0</v>
      </c>
      <c r="CM21" s="604">
        <v>0</v>
      </c>
      <c r="CN21" s="604">
        <v>0</v>
      </c>
      <c r="CO21" s="879">
        <f t="shared" si="15"/>
        <v>0</v>
      </c>
      <c r="CP21" s="879">
        <f t="shared" si="16"/>
        <v>0</v>
      </c>
      <c r="CQ21" s="879">
        <f t="shared" si="17"/>
        <v>0</v>
      </c>
      <c r="CU21" s="602" t="s">
        <v>665</v>
      </c>
      <c r="CV21" s="602" t="s">
        <v>342</v>
      </c>
      <c r="CW21" s="602" t="s">
        <v>447</v>
      </c>
      <c r="CX21" s="602" t="s">
        <v>447</v>
      </c>
      <c r="CY21" s="604">
        <v>0</v>
      </c>
      <c r="CZ21" s="604">
        <v>52329950</v>
      </c>
      <c r="DA21" s="604">
        <v>52329950</v>
      </c>
      <c r="DB21" s="862">
        <f t="shared" si="18"/>
        <v>0</v>
      </c>
      <c r="DC21" s="862">
        <f t="shared" si="19"/>
        <v>55626.736849999994</v>
      </c>
      <c r="DD21" s="862">
        <f t="shared" si="20"/>
        <v>55626.736849999994</v>
      </c>
      <c r="DH21" s="602" t="s">
        <v>656</v>
      </c>
      <c r="DI21" s="602" t="s">
        <v>657</v>
      </c>
      <c r="DJ21" s="602" t="s">
        <v>447</v>
      </c>
      <c r="DK21" s="602" t="s">
        <v>447</v>
      </c>
      <c r="DL21" s="604">
        <v>0</v>
      </c>
      <c r="DM21" s="604">
        <v>0</v>
      </c>
      <c r="DN21" s="604">
        <v>0</v>
      </c>
      <c r="DO21" s="862">
        <f t="shared" si="21"/>
        <v>0</v>
      </c>
      <c r="DP21" s="862">
        <f t="shared" si="22"/>
        <v>0</v>
      </c>
      <c r="DQ21" s="862">
        <f t="shared" si="23"/>
        <v>0</v>
      </c>
      <c r="EE21" s="867"/>
      <c r="EI21" s="602" t="s">
        <v>656</v>
      </c>
      <c r="EJ21" s="602" t="s">
        <v>657</v>
      </c>
      <c r="EK21" s="602" t="s">
        <v>447</v>
      </c>
      <c r="EL21" s="602" t="s">
        <v>447</v>
      </c>
      <c r="EM21" s="602" t="s">
        <v>547</v>
      </c>
      <c r="EN21" s="602">
        <v>0</v>
      </c>
      <c r="EO21" s="602">
        <v>0</v>
      </c>
      <c r="EP21" s="602">
        <v>0</v>
      </c>
      <c r="EQ21" s="884">
        <f t="shared" si="27"/>
        <v>0</v>
      </c>
      <c r="ER21" s="884">
        <f t="shared" si="28"/>
        <v>0</v>
      </c>
      <c r="ES21" s="884">
        <f t="shared" si="29"/>
        <v>0</v>
      </c>
      <c r="EW21" s="602" t="s">
        <v>667</v>
      </c>
      <c r="EX21" s="602" t="s">
        <v>634</v>
      </c>
      <c r="EY21" s="602" t="s">
        <v>447</v>
      </c>
      <c r="EZ21" s="602" t="s">
        <v>447</v>
      </c>
      <c r="FA21" s="603" t="s">
        <v>547</v>
      </c>
      <c r="FB21" s="884">
        <v>6697474000</v>
      </c>
      <c r="FC21" s="884">
        <v>0</v>
      </c>
      <c r="FD21" s="884">
        <v>0</v>
      </c>
      <c r="FE21" s="884">
        <f t="shared" si="30"/>
        <v>7119414.8619999997</v>
      </c>
      <c r="FF21" s="884">
        <f t="shared" si="31"/>
        <v>0</v>
      </c>
      <c r="FG21" s="884">
        <f t="shared" si="32"/>
        <v>0</v>
      </c>
      <c r="FK21" s="602" t="s">
        <v>656</v>
      </c>
      <c r="FL21" s="602" t="s">
        <v>657</v>
      </c>
      <c r="FM21" s="602" t="s">
        <v>447</v>
      </c>
      <c r="FN21" s="602" t="s">
        <v>447</v>
      </c>
      <c r="FO21" s="602" t="s">
        <v>547</v>
      </c>
      <c r="FP21" s="884">
        <v>0</v>
      </c>
      <c r="FQ21" s="884">
        <v>0</v>
      </c>
      <c r="FR21" s="884">
        <v>0</v>
      </c>
      <c r="FS21" s="862">
        <f t="shared" si="33"/>
        <v>0</v>
      </c>
      <c r="FT21" s="862">
        <f t="shared" si="34"/>
        <v>0</v>
      </c>
      <c r="FU21" s="862">
        <f t="shared" si="35"/>
        <v>0</v>
      </c>
      <c r="FY21" s="602" t="s">
        <v>665</v>
      </c>
      <c r="FZ21" s="602" t="s">
        <v>342</v>
      </c>
      <c r="GA21" s="602" t="s">
        <v>447</v>
      </c>
      <c r="GB21" s="602" t="s">
        <v>447</v>
      </c>
      <c r="GC21" s="603" t="s">
        <v>547</v>
      </c>
      <c r="GD21" s="604">
        <v>0</v>
      </c>
      <c r="GE21" s="604">
        <v>41654000</v>
      </c>
      <c r="GF21" s="604">
        <v>41654000</v>
      </c>
      <c r="GG21" s="884">
        <f t="shared" si="36"/>
        <v>0</v>
      </c>
      <c r="GH21" s="884">
        <f t="shared" si="37"/>
        <v>44278.201999999997</v>
      </c>
      <c r="GI21" s="884">
        <f t="shared" si="38"/>
        <v>44278.201999999997</v>
      </c>
      <c r="GM21" s="885" t="s">
        <v>656</v>
      </c>
      <c r="GN21" s="886" t="s">
        <v>657</v>
      </c>
      <c r="GO21" s="885" t="s">
        <v>447</v>
      </c>
      <c r="GP21" s="885" t="s">
        <v>447</v>
      </c>
      <c r="GQ21" s="886" t="s">
        <v>547</v>
      </c>
      <c r="GR21" s="887">
        <v>0</v>
      </c>
      <c r="GS21" s="887">
        <v>0</v>
      </c>
      <c r="GT21" s="887">
        <v>0</v>
      </c>
      <c r="GU21" s="887">
        <f t="shared" si="39"/>
        <v>0</v>
      </c>
      <c r="GV21" s="887">
        <f t="shared" si="40"/>
        <v>0</v>
      </c>
      <c r="GW21" s="887">
        <f t="shared" si="41"/>
        <v>0</v>
      </c>
      <c r="HA21" s="602" t="s">
        <v>667</v>
      </c>
      <c r="HB21" s="602" t="s">
        <v>634</v>
      </c>
      <c r="HC21" s="602" t="s">
        <v>447</v>
      </c>
      <c r="HD21" s="602" t="s">
        <v>447</v>
      </c>
      <c r="HE21" s="603" t="s">
        <v>547</v>
      </c>
      <c r="HF21" s="604">
        <v>0</v>
      </c>
      <c r="HG21" s="604">
        <v>6201041732</v>
      </c>
      <c r="HH21" s="604">
        <v>403073913</v>
      </c>
      <c r="HI21" s="604">
        <f t="shared" si="42"/>
        <v>0</v>
      </c>
      <c r="HJ21" s="604">
        <f t="shared" si="43"/>
        <v>6201041.7319999998</v>
      </c>
      <c r="HK21" s="604">
        <f t="shared" si="44"/>
        <v>403073.913</v>
      </c>
      <c r="HO21" s="885" t="s">
        <v>656</v>
      </c>
      <c r="HP21" s="885" t="s">
        <v>657</v>
      </c>
      <c r="HQ21" s="885" t="s">
        <v>447</v>
      </c>
      <c r="HR21" s="885" t="s">
        <v>447</v>
      </c>
      <c r="HS21" s="603" t="s">
        <v>547</v>
      </c>
      <c r="HT21" s="604">
        <v>0</v>
      </c>
      <c r="HU21" s="604">
        <v>0</v>
      </c>
      <c r="HV21" s="604">
        <v>0</v>
      </c>
      <c r="HW21" s="862">
        <f t="shared" si="45"/>
        <v>0</v>
      </c>
      <c r="HX21" s="862">
        <f t="shared" si="46"/>
        <v>0</v>
      </c>
      <c r="HY21" s="862">
        <f t="shared" si="47"/>
        <v>0</v>
      </c>
      <c r="IC21" s="602" t="s">
        <v>451</v>
      </c>
      <c r="ID21" s="602" t="s">
        <v>470</v>
      </c>
      <c r="IE21" s="602" t="s">
        <v>447</v>
      </c>
      <c r="IF21" s="602" t="s">
        <v>447</v>
      </c>
      <c r="IG21" s="603" t="s">
        <v>547</v>
      </c>
      <c r="IH21" s="604">
        <v>0</v>
      </c>
      <c r="II21" s="604">
        <v>1007773130</v>
      </c>
      <c r="IJ21" s="604">
        <v>1081848495</v>
      </c>
      <c r="IK21" s="883">
        <f t="shared" si="48"/>
        <v>0</v>
      </c>
      <c r="IL21" s="883">
        <f t="shared" si="49"/>
        <v>1007773.13</v>
      </c>
      <c r="IM21" s="883">
        <f t="shared" si="50"/>
        <v>1081848.4950000001</v>
      </c>
      <c r="IQ21" s="885" t="s">
        <v>544</v>
      </c>
      <c r="IR21" s="885" t="s">
        <v>545</v>
      </c>
      <c r="IS21" s="885" t="s">
        <v>447</v>
      </c>
      <c r="IT21" s="885" t="s">
        <v>447</v>
      </c>
      <c r="IU21" s="886" t="s">
        <v>547</v>
      </c>
      <c r="IV21" s="887">
        <v>8701790000</v>
      </c>
      <c r="IW21" s="887">
        <v>0</v>
      </c>
      <c r="IX21" s="887">
        <v>0</v>
      </c>
      <c r="IY21" s="888">
        <f t="shared" si="51"/>
        <v>8701790</v>
      </c>
      <c r="IZ21" s="888">
        <f t="shared" si="52"/>
        <v>0</v>
      </c>
      <c r="JA21" s="888">
        <f t="shared" si="53"/>
        <v>0</v>
      </c>
      <c r="JE21" s="886" t="s">
        <v>666</v>
      </c>
      <c r="JF21" s="886" t="s">
        <v>529</v>
      </c>
      <c r="JG21" s="886" t="s">
        <v>447</v>
      </c>
      <c r="JH21" s="886" t="s">
        <v>447</v>
      </c>
      <c r="JI21" s="603" t="s">
        <v>547</v>
      </c>
      <c r="JJ21" s="604">
        <v>1054976897</v>
      </c>
      <c r="JK21" s="862">
        <f t="shared" si="54"/>
        <v>1054976.8970000001</v>
      </c>
      <c r="JO21" s="884" t="s">
        <v>544</v>
      </c>
      <c r="JP21" s="884" t="s">
        <v>545</v>
      </c>
      <c r="JQ21" s="884" t="s">
        <v>447</v>
      </c>
      <c r="JR21" s="605" t="s">
        <v>447</v>
      </c>
      <c r="JS21" s="605" t="s">
        <v>547</v>
      </c>
      <c r="JT21" s="889">
        <v>8701790000</v>
      </c>
      <c r="JU21" s="889">
        <v>0</v>
      </c>
      <c r="JV21" s="889">
        <v>0</v>
      </c>
      <c r="JW21" s="863">
        <f t="shared" si="55"/>
        <v>8701790</v>
      </c>
      <c r="JX21" s="863">
        <f t="shared" si="56"/>
        <v>0</v>
      </c>
      <c r="JY21" s="863">
        <f t="shared" si="57"/>
        <v>0</v>
      </c>
    </row>
    <row r="22" spans="1:285" ht="15" customHeight="1" x14ac:dyDescent="0.3">
      <c r="A22" s="872" t="s">
        <v>448</v>
      </c>
      <c r="B22" s="872" t="s">
        <v>469</v>
      </c>
      <c r="C22" s="872" t="s">
        <v>447</v>
      </c>
      <c r="D22" s="872" t="s">
        <v>447</v>
      </c>
      <c r="E22" s="873">
        <v>15930849000</v>
      </c>
      <c r="F22" s="873">
        <f t="shared" si="7"/>
        <v>16934492.487</v>
      </c>
      <c r="G22" s="873">
        <v>0</v>
      </c>
      <c r="H22" s="873">
        <f t="shared" si="8"/>
        <v>0</v>
      </c>
      <c r="U22" s="874" t="s">
        <v>665</v>
      </c>
      <c r="V22" s="874" t="s">
        <v>342</v>
      </c>
      <c r="W22" s="874" t="s">
        <v>447</v>
      </c>
      <c r="X22" s="874" t="s">
        <v>447</v>
      </c>
      <c r="Y22" s="875">
        <v>2009426000</v>
      </c>
      <c r="Z22" s="875">
        <f t="shared" si="10"/>
        <v>2136019.838</v>
      </c>
      <c r="AM22" s="874" t="s">
        <v>450</v>
      </c>
      <c r="AN22" s="874" t="s">
        <v>142</v>
      </c>
      <c r="AO22" s="874" t="s">
        <v>447</v>
      </c>
      <c r="AP22" s="874" t="s">
        <v>447</v>
      </c>
      <c r="AQ22" s="875">
        <v>9151948000</v>
      </c>
      <c r="AR22" s="875">
        <f t="shared" si="58"/>
        <v>9728520.7239999995</v>
      </c>
      <c r="AS22" s="875">
        <v>0</v>
      </c>
      <c r="AV22" s="862"/>
      <c r="BG22" s="874" t="s">
        <v>450</v>
      </c>
      <c r="BH22" s="874" t="s">
        <v>142</v>
      </c>
      <c r="BI22" s="874" t="s">
        <v>447</v>
      </c>
      <c r="BJ22" s="874" t="s">
        <v>447</v>
      </c>
      <c r="BK22" s="875">
        <v>9151948000</v>
      </c>
      <c r="BL22" s="875">
        <v>0</v>
      </c>
      <c r="BM22" s="875">
        <v>0</v>
      </c>
      <c r="BN22" s="864">
        <f t="shared" si="1"/>
        <v>9728520.7239999995</v>
      </c>
      <c r="BO22" s="864">
        <f t="shared" si="2"/>
        <v>0</v>
      </c>
      <c r="BP22" s="864">
        <f t="shared" si="3"/>
        <v>0</v>
      </c>
      <c r="CH22" s="602" t="s">
        <v>450</v>
      </c>
      <c r="CI22" s="602" t="s">
        <v>142</v>
      </c>
      <c r="CJ22" s="602" t="s">
        <v>447</v>
      </c>
      <c r="CK22" s="602" t="s">
        <v>447</v>
      </c>
      <c r="CL22" s="604">
        <v>9151948000</v>
      </c>
      <c r="CM22" s="604">
        <v>0</v>
      </c>
      <c r="CN22" s="604">
        <v>0</v>
      </c>
      <c r="CO22" s="879">
        <f t="shared" si="15"/>
        <v>9728520.7239999995</v>
      </c>
      <c r="CP22" s="879">
        <f t="shared" si="16"/>
        <v>0</v>
      </c>
      <c r="CQ22" s="879">
        <f t="shared" si="17"/>
        <v>0</v>
      </c>
      <c r="CU22" s="602" t="s">
        <v>666</v>
      </c>
      <c r="CV22" s="602" t="s">
        <v>529</v>
      </c>
      <c r="CW22" s="602" t="s">
        <v>447</v>
      </c>
      <c r="CX22" s="602" t="s">
        <v>447</v>
      </c>
      <c r="CY22" s="604">
        <v>0</v>
      </c>
      <c r="CZ22" s="604">
        <v>106223903</v>
      </c>
      <c r="DA22" s="604">
        <v>794910566</v>
      </c>
      <c r="DB22" s="862">
        <f t="shared" si="18"/>
        <v>0</v>
      </c>
      <c r="DC22" s="862">
        <f t="shared" si="19"/>
        <v>112916.008889</v>
      </c>
      <c r="DD22" s="862">
        <f t="shared" si="20"/>
        <v>844989.93165799999</v>
      </c>
      <c r="DH22" s="602" t="s">
        <v>450</v>
      </c>
      <c r="DI22" s="602" t="s">
        <v>142</v>
      </c>
      <c r="DJ22" s="602" t="s">
        <v>447</v>
      </c>
      <c r="DK22" s="602" t="s">
        <v>447</v>
      </c>
      <c r="DL22" s="604">
        <v>9151948000</v>
      </c>
      <c r="DM22" s="604">
        <v>0</v>
      </c>
      <c r="DN22" s="604">
        <v>0</v>
      </c>
      <c r="DO22" s="862">
        <f t="shared" si="21"/>
        <v>9728520.7239999995</v>
      </c>
      <c r="DP22" s="862">
        <f t="shared" si="22"/>
        <v>0</v>
      </c>
      <c r="DQ22" s="862">
        <f t="shared" si="23"/>
        <v>0</v>
      </c>
      <c r="EI22" s="602" t="s">
        <v>450</v>
      </c>
      <c r="EJ22" s="602" t="s">
        <v>142</v>
      </c>
      <c r="EK22" s="602" t="s">
        <v>447</v>
      </c>
      <c r="EL22" s="602" t="s">
        <v>447</v>
      </c>
      <c r="EM22" s="602" t="s">
        <v>547</v>
      </c>
      <c r="EN22" s="602">
        <v>9151948000</v>
      </c>
      <c r="EO22" s="602">
        <v>0</v>
      </c>
      <c r="EP22" s="602">
        <v>0</v>
      </c>
      <c r="EQ22" s="884">
        <f t="shared" si="27"/>
        <v>9728520.7239999995</v>
      </c>
      <c r="ER22" s="884">
        <f t="shared" si="28"/>
        <v>0</v>
      </c>
      <c r="ES22" s="884">
        <f t="shared" si="29"/>
        <v>0</v>
      </c>
      <c r="EW22" s="602" t="s">
        <v>667</v>
      </c>
      <c r="EX22" s="602" t="s">
        <v>634</v>
      </c>
      <c r="EY22" s="602" t="s">
        <v>447</v>
      </c>
      <c r="EZ22" s="602" t="s">
        <v>447</v>
      </c>
      <c r="FA22" s="603" t="s">
        <v>547</v>
      </c>
      <c r="FB22" s="884">
        <v>0</v>
      </c>
      <c r="FC22" s="884">
        <v>10141882949</v>
      </c>
      <c r="FD22" s="884">
        <v>28279513155</v>
      </c>
      <c r="FE22" s="884">
        <f t="shared" si="30"/>
        <v>0</v>
      </c>
      <c r="FF22" s="884">
        <f t="shared" si="31"/>
        <v>10780821.574786998</v>
      </c>
      <c r="FG22" s="884">
        <f t="shared" si="32"/>
        <v>30061122.483764999</v>
      </c>
      <c r="FK22" s="602" t="s">
        <v>450</v>
      </c>
      <c r="FL22" s="602" t="s">
        <v>142</v>
      </c>
      <c r="FM22" s="602" t="s">
        <v>447</v>
      </c>
      <c r="FN22" s="602" t="s">
        <v>447</v>
      </c>
      <c r="FO22" s="602" t="s">
        <v>547</v>
      </c>
      <c r="FP22" s="884">
        <v>9151948000</v>
      </c>
      <c r="FQ22" s="884">
        <v>0</v>
      </c>
      <c r="FR22" s="884">
        <v>0</v>
      </c>
      <c r="FS22" s="862">
        <f t="shared" si="33"/>
        <v>9728520.7239999995</v>
      </c>
      <c r="FT22" s="862">
        <f t="shared" si="34"/>
        <v>0</v>
      </c>
      <c r="FU22" s="862">
        <f t="shared" si="35"/>
        <v>0</v>
      </c>
      <c r="FY22" s="602" t="s">
        <v>666</v>
      </c>
      <c r="FZ22" s="602" t="s">
        <v>529</v>
      </c>
      <c r="GA22" s="602" t="s">
        <v>447</v>
      </c>
      <c r="GB22" s="602" t="s">
        <v>447</v>
      </c>
      <c r="GC22" s="603" t="s">
        <v>547</v>
      </c>
      <c r="GD22" s="604">
        <v>0</v>
      </c>
      <c r="GE22" s="604">
        <v>1712246169</v>
      </c>
      <c r="GF22" s="604">
        <v>572977382</v>
      </c>
      <c r="GG22" s="884">
        <f t="shared" si="36"/>
        <v>0</v>
      </c>
      <c r="GH22" s="884">
        <f t="shared" si="37"/>
        <v>1820117.6776469999</v>
      </c>
      <c r="GI22" s="884">
        <f t="shared" si="38"/>
        <v>609074.95706599997</v>
      </c>
      <c r="GM22" s="885" t="s">
        <v>450</v>
      </c>
      <c r="GN22" s="886" t="s">
        <v>142</v>
      </c>
      <c r="GO22" s="885" t="s">
        <v>447</v>
      </c>
      <c r="GP22" s="885" t="s">
        <v>447</v>
      </c>
      <c r="GQ22" s="886" t="s">
        <v>547</v>
      </c>
      <c r="GR22" s="887">
        <v>9151948000</v>
      </c>
      <c r="GS22" s="887">
        <v>0</v>
      </c>
      <c r="GT22" s="887">
        <v>0</v>
      </c>
      <c r="GU22" s="887">
        <f t="shared" si="39"/>
        <v>9728520.7239999995</v>
      </c>
      <c r="GV22" s="887">
        <f t="shared" si="40"/>
        <v>0</v>
      </c>
      <c r="GW22" s="887">
        <f t="shared" si="41"/>
        <v>0</v>
      </c>
      <c r="HA22" s="602" t="s">
        <v>668</v>
      </c>
      <c r="HB22" s="602" t="s">
        <v>669</v>
      </c>
      <c r="HC22" s="602" t="s">
        <v>447</v>
      </c>
      <c r="HD22" s="602" t="s">
        <v>447</v>
      </c>
      <c r="HE22" s="603" t="s">
        <v>547</v>
      </c>
      <c r="HF22" s="604">
        <v>0</v>
      </c>
      <c r="HG22" s="604">
        <v>2070000000</v>
      </c>
      <c r="HH22" s="604">
        <v>70000000</v>
      </c>
      <c r="HI22" s="604">
        <f t="shared" si="42"/>
        <v>0</v>
      </c>
      <c r="HJ22" s="604">
        <f t="shared" si="43"/>
        <v>2070000</v>
      </c>
      <c r="HK22" s="604">
        <f t="shared" si="44"/>
        <v>70000</v>
      </c>
      <c r="HO22" s="885" t="s">
        <v>450</v>
      </c>
      <c r="HP22" s="885" t="s">
        <v>142</v>
      </c>
      <c r="HQ22" s="885" t="s">
        <v>447</v>
      </c>
      <c r="HR22" s="885" t="s">
        <v>447</v>
      </c>
      <c r="HS22" s="603" t="s">
        <v>547</v>
      </c>
      <c r="HT22" s="604">
        <v>9151948000</v>
      </c>
      <c r="HU22" s="604">
        <v>0</v>
      </c>
      <c r="HV22" s="604">
        <v>0</v>
      </c>
      <c r="HW22" s="862">
        <f t="shared" si="45"/>
        <v>9151948</v>
      </c>
      <c r="HX22" s="862">
        <f t="shared" si="46"/>
        <v>0</v>
      </c>
      <c r="HY22" s="862">
        <f t="shared" si="47"/>
        <v>0</v>
      </c>
      <c r="IC22" s="602" t="s">
        <v>451</v>
      </c>
      <c r="ID22" s="602" t="s">
        <v>470</v>
      </c>
      <c r="IE22" s="602" t="s">
        <v>447</v>
      </c>
      <c r="IF22" s="602" t="s">
        <v>447</v>
      </c>
      <c r="IG22" s="603" t="s">
        <v>547</v>
      </c>
      <c r="IH22" s="604">
        <v>-881025000</v>
      </c>
      <c r="II22" s="604">
        <v>0</v>
      </c>
      <c r="IJ22" s="604">
        <v>0</v>
      </c>
      <c r="IK22" s="883">
        <f t="shared" si="48"/>
        <v>-881025</v>
      </c>
      <c r="IL22" s="883">
        <f t="shared" si="49"/>
        <v>0</v>
      </c>
      <c r="IM22" s="883">
        <f t="shared" si="50"/>
        <v>0</v>
      </c>
      <c r="IQ22" s="885" t="s">
        <v>544</v>
      </c>
      <c r="IR22" s="885" t="s">
        <v>545</v>
      </c>
      <c r="IS22" s="885" t="s">
        <v>447</v>
      </c>
      <c r="IT22" s="885" t="s">
        <v>447</v>
      </c>
      <c r="IU22" s="886" t="s">
        <v>547</v>
      </c>
      <c r="IV22" s="887">
        <v>0</v>
      </c>
      <c r="IW22" s="887">
        <v>5862708590</v>
      </c>
      <c r="IX22" s="887">
        <v>5862708590</v>
      </c>
      <c r="IY22" s="888">
        <f t="shared" si="51"/>
        <v>0</v>
      </c>
      <c r="IZ22" s="888">
        <f t="shared" si="52"/>
        <v>5862708.5899999999</v>
      </c>
      <c r="JA22" s="888">
        <f t="shared" si="53"/>
        <v>5862708.5899999999</v>
      </c>
      <c r="JE22" s="886" t="s">
        <v>667</v>
      </c>
      <c r="JF22" s="886" t="s">
        <v>634</v>
      </c>
      <c r="JG22" s="886" t="s">
        <v>447</v>
      </c>
      <c r="JH22" s="886" t="s">
        <v>447</v>
      </c>
      <c r="JI22" s="603" t="s">
        <v>547</v>
      </c>
      <c r="JJ22" s="604">
        <v>12276515757</v>
      </c>
      <c r="JK22" s="862">
        <f t="shared" si="54"/>
        <v>12276515.756999999</v>
      </c>
      <c r="JO22" s="884" t="s">
        <v>544</v>
      </c>
      <c r="JP22" s="884" t="s">
        <v>545</v>
      </c>
      <c r="JQ22" s="884" t="s">
        <v>447</v>
      </c>
      <c r="JR22" s="605" t="s">
        <v>447</v>
      </c>
      <c r="JS22" s="605" t="s">
        <v>547</v>
      </c>
      <c r="JT22" s="889">
        <v>0</v>
      </c>
      <c r="JU22" s="889">
        <v>8701790000</v>
      </c>
      <c r="JV22" s="889">
        <v>8701790000</v>
      </c>
      <c r="JW22" s="863">
        <f t="shared" si="55"/>
        <v>0</v>
      </c>
      <c r="JX22" s="863">
        <f t="shared" si="56"/>
        <v>8701790</v>
      </c>
      <c r="JY22" s="863">
        <f t="shared" si="57"/>
        <v>8701790</v>
      </c>
    </row>
    <row r="23" spans="1:285" ht="15" customHeight="1" x14ac:dyDescent="0.3">
      <c r="A23" s="872" t="s">
        <v>451</v>
      </c>
      <c r="B23" s="872" t="s">
        <v>470</v>
      </c>
      <c r="C23" s="872" t="s">
        <v>447</v>
      </c>
      <c r="D23" s="872" t="s">
        <v>447</v>
      </c>
      <c r="E23" s="873">
        <v>8322980000</v>
      </c>
      <c r="F23" s="873">
        <f t="shared" si="7"/>
        <v>8847327.7400000002</v>
      </c>
      <c r="G23" s="873">
        <v>0</v>
      </c>
      <c r="H23" s="873">
        <f t="shared" si="8"/>
        <v>0</v>
      </c>
      <c r="U23" s="874" t="s">
        <v>666</v>
      </c>
      <c r="V23" s="874" t="s">
        <v>529</v>
      </c>
      <c r="W23" s="874" t="s">
        <v>447</v>
      </c>
      <c r="X23" s="874" t="s">
        <v>447</v>
      </c>
      <c r="Y23" s="875">
        <v>9056909000</v>
      </c>
      <c r="Z23" s="875">
        <f t="shared" si="10"/>
        <v>9627494.2669999991</v>
      </c>
      <c r="AM23" s="874" t="s">
        <v>448</v>
      </c>
      <c r="AN23" s="874" t="s">
        <v>469</v>
      </c>
      <c r="AO23" s="874" t="s">
        <v>447</v>
      </c>
      <c r="AP23" s="874" t="s">
        <v>447</v>
      </c>
      <c r="AQ23" s="875">
        <v>15930849000</v>
      </c>
      <c r="AR23" s="875">
        <f t="shared" si="58"/>
        <v>16934492.487</v>
      </c>
      <c r="AS23" s="875">
        <v>0</v>
      </c>
      <c r="AV23" s="862"/>
      <c r="BG23" s="874" t="s">
        <v>448</v>
      </c>
      <c r="BH23" s="874" t="s">
        <v>469</v>
      </c>
      <c r="BI23" s="874" t="s">
        <v>447</v>
      </c>
      <c r="BJ23" s="874" t="s">
        <v>447</v>
      </c>
      <c r="BK23" s="875">
        <v>15930849000</v>
      </c>
      <c r="BL23" s="875">
        <v>0</v>
      </c>
      <c r="BM23" s="875">
        <v>0</v>
      </c>
      <c r="BN23" s="864">
        <f t="shared" si="1"/>
        <v>16934492.487</v>
      </c>
      <c r="BO23" s="864">
        <f t="shared" si="2"/>
        <v>0</v>
      </c>
      <c r="BP23" s="864">
        <f t="shared" si="3"/>
        <v>0</v>
      </c>
      <c r="CH23" s="602" t="s">
        <v>448</v>
      </c>
      <c r="CI23" s="602" t="s">
        <v>469</v>
      </c>
      <c r="CJ23" s="602" t="s">
        <v>447</v>
      </c>
      <c r="CK23" s="602" t="s">
        <v>447</v>
      </c>
      <c r="CL23" s="604">
        <v>15930849000</v>
      </c>
      <c r="CM23" s="604">
        <v>0</v>
      </c>
      <c r="CN23" s="604">
        <v>0</v>
      </c>
      <c r="CO23" s="879">
        <f t="shared" si="15"/>
        <v>16934492.487</v>
      </c>
      <c r="CP23" s="879">
        <f t="shared" si="16"/>
        <v>0</v>
      </c>
      <c r="CQ23" s="879">
        <f t="shared" si="17"/>
        <v>0</v>
      </c>
      <c r="CU23" s="602" t="s">
        <v>667</v>
      </c>
      <c r="CV23" s="602" t="s">
        <v>634</v>
      </c>
      <c r="CW23" s="602" t="s">
        <v>447</v>
      </c>
      <c r="CX23" s="602" t="s">
        <v>447</v>
      </c>
      <c r="CY23" s="604">
        <v>30857314736</v>
      </c>
      <c r="CZ23" s="604">
        <v>0</v>
      </c>
      <c r="DA23" s="604">
        <v>0</v>
      </c>
      <c r="DB23" s="862">
        <f t="shared" si="18"/>
        <v>32801325.564367998</v>
      </c>
      <c r="DC23" s="862">
        <f t="shared" si="19"/>
        <v>0</v>
      </c>
      <c r="DD23" s="862">
        <f t="shared" si="20"/>
        <v>0</v>
      </c>
      <c r="DH23" s="602" t="s">
        <v>448</v>
      </c>
      <c r="DI23" s="602" t="s">
        <v>469</v>
      </c>
      <c r="DJ23" s="602" t="s">
        <v>447</v>
      </c>
      <c r="DK23" s="602" t="s">
        <v>447</v>
      </c>
      <c r="DL23" s="604">
        <v>15930849000</v>
      </c>
      <c r="DM23" s="604">
        <v>0</v>
      </c>
      <c r="DN23" s="604">
        <v>0</v>
      </c>
      <c r="DO23" s="862">
        <f t="shared" si="21"/>
        <v>16934492.487</v>
      </c>
      <c r="DP23" s="862">
        <f t="shared" si="22"/>
        <v>0</v>
      </c>
      <c r="DQ23" s="862">
        <f t="shared" si="23"/>
        <v>0</v>
      </c>
      <c r="EI23" s="602" t="s">
        <v>448</v>
      </c>
      <c r="EJ23" s="602" t="s">
        <v>469</v>
      </c>
      <c r="EK23" s="602" t="s">
        <v>447</v>
      </c>
      <c r="EL23" s="602" t="s">
        <v>447</v>
      </c>
      <c r="EM23" s="602" t="s">
        <v>547</v>
      </c>
      <c r="EN23" s="602">
        <v>15930849000</v>
      </c>
      <c r="EO23" s="602">
        <v>0</v>
      </c>
      <c r="EP23" s="602">
        <v>0</v>
      </c>
      <c r="EQ23" s="884">
        <f t="shared" si="27"/>
        <v>16934492.487</v>
      </c>
      <c r="ER23" s="884">
        <f t="shared" si="28"/>
        <v>0</v>
      </c>
      <c r="ES23" s="884">
        <f t="shared" si="29"/>
        <v>0</v>
      </c>
      <c r="EW23" s="602" t="s">
        <v>668</v>
      </c>
      <c r="EX23" s="602" t="s">
        <v>669</v>
      </c>
      <c r="EY23" s="602" t="s">
        <v>447</v>
      </c>
      <c r="EZ23" s="602" t="s">
        <v>447</v>
      </c>
      <c r="FA23" s="603" t="s">
        <v>547</v>
      </c>
      <c r="FB23" s="884">
        <v>0</v>
      </c>
      <c r="FC23" s="884">
        <v>0</v>
      </c>
      <c r="FD23" s="884">
        <v>0</v>
      </c>
      <c r="FE23" s="884">
        <f t="shared" si="30"/>
        <v>0</v>
      </c>
      <c r="FF23" s="884">
        <f t="shared" si="31"/>
        <v>0</v>
      </c>
      <c r="FG23" s="884">
        <f t="shared" si="32"/>
        <v>0</v>
      </c>
      <c r="FK23" s="602" t="s">
        <v>448</v>
      </c>
      <c r="FL23" s="602" t="s">
        <v>469</v>
      </c>
      <c r="FM23" s="602" t="s">
        <v>447</v>
      </c>
      <c r="FN23" s="602" t="s">
        <v>447</v>
      </c>
      <c r="FO23" s="602" t="s">
        <v>547</v>
      </c>
      <c r="FP23" s="884">
        <v>15930849000</v>
      </c>
      <c r="FQ23" s="884">
        <v>0</v>
      </c>
      <c r="FR23" s="884">
        <v>0</v>
      </c>
      <c r="FS23" s="862">
        <f t="shared" si="33"/>
        <v>16934492.487</v>
      </c>
      <c r="FT23" s="862">
        <f t="shared" si="34"/>
        <v>0</v>
      </c>
      <c r="FU23" s="862">
        <f t="shared" si="35"/>
        <v>0</v>
      </c>
      <c r="FY23" s="602" t="s">
        <v>667</v>
      </c>
      <c r="FZ23" s="602" t="s">
        <v>634</v>
      </c>
      <c r="GA23" s="602" t="s">
        <v>447</v>
      </c>
      <c r="GB23" s="602" t="s">
        <v>447</v>
      </c>
      <c r="GC23" s="603" t="s">
        <v>547</v>
      </c>
      <c r="GD23" s="604">
        <v>0</v>
      </c>
      <c r="GE23" s="604">
        <v>323679441</v>
      </c>
      <c r="GF23" s="604">
        <v>323679441</v>
      </c>
      <c r="GG23" s="884">
        <f t="shared" si="36"/>
        <v>0</v>
      </c>
      <c r="GH23" s="884">
        <f t="shared" si="37"/>
        <v>344071.24578299996</v>
      </c>
      <c r="GI23" s="884">
        <f t="shared" si="38"/>
        <v>344071.24578299996</v>
      </c>
      <c r="GM23" s="885" t="s">
        <v>448</v>
      </c>
      <c r="GN23" s="886" t="s">
        <v>469</v>
      </c>
      <c r="GO23" s="885" t="s">
        <v>447</v>
      </c>
      <c r="GP23" s="885" t="s">
        <v>447</v>
      </c>
      <c r="GQ23" s="886" t="s">
        <v>547</v>
      </c>
      <c r="GR23" s="887">
        <v>15930849000</v>
      </c>
      <c r="GS23" s="887">
        <v>0</v>
      </c>
      <c r="GT23" s="887">
        <v>0</v>
      </c>
      <c r="GU23" s="887">
        <f t="shared" si="39"/>
        <v>16934492.487</v>
      </c>
      <c r="GV23" s="887">
        <f t="shared" si="40"/>
        <v>0</v>
      </c>
      <c r="GW23" s="887">
        <f t="shared" si="41"/>
        <v>0</v>
      </c>
      <c r="HK23" s="860">
        <f>SUM(HK3:HK22)</f>
        <v>14920395.665000003</v>
      </c>
      <c r="HO23" s="885" t="s">
        <v>448</v>
      </c>
      <c r="HP23" s="885" t="s">
        <v>469</v>
      </c>
      <c r="HQ23" s="885" t="s">
        <v>447</v>
      </c>
      <c r="HR23" s="885" t="s">
        <v>447</v>
      </c>
      <c r="HS23" s="603" t="s">
        <v>547</v>
      </c>
      <c r="HT23" s="604">
        <v>15930849000</v>
      </c>
      <c r="HU23" s="604">
        <v>0</v>
      </c>
      <c r="HV23" s="604">
        <v>0</v>
      </c>
      <c r="HW23" s="862">
        <f t="shared" si="45"/>
        <v>15930849</v>
      </c>
      <c r="HX23" s="862">
        <f t="shared" si="46"/>
        <v>0</v>
      </c>
      <c r="HY23" s="862">
        <f t="shared" si="47"/>
        <v>0</v>
      </c>
      <c r="IC23" s="602" t="s">
        <v>659</v>
      </c>
      <c r="ID23" s="602" t="s">
        <v>221</v>
      </c>
      <c r="IE23" s="602" t="s">
        <v>447</v>
      </c>
      <c r="IF23" s="602" t="s">
        <v>447</v>
      </c>
      <c r="IG23" s="603" t="s">
        <v>547</v>
      </c>
      <c r="IH23" s="604">
        <v>0</v>
      </c>
      <c r="II23" s="604">
        <v>4276873346</v>
      </c>
      <c r="IJ23" s="604">
        <v>3673917336</v>
      </c>
      <c r="IK23" s="883">
        <f t="shared" si="48"/>
        <v>0</v>
      </c>
      <c r="IL23" s="883">
        <f t="shared" si="49"/>
        <v>4276873.3459999999</v>
      </c>
      <c r="IM23" s="883">
        <f t="shared" si="50"/>
        <v>3673917.3360000001</v>
      </c>
      <c r="IQ23" s="885" t="s">
        <v>656</v>
      </c>
      <c r="IR23" s="885" t="s">
        <v>657</v>
      </c>
      <c r="IS23" s="885" t="s">
        <v>447</v>
      </c>
      <c r="IT23" s="885" t="s">
        <v>447</v>
      </c>
      <c r="IU23" s="886" t="s">
        <v>547</v>
      </c>
      <c r="IV23" s="887">
        <v>0</v>
      </c>
      <c r="IW23" s="887">
        <v>0</v>
      </c>
      <c r="IX23" s="887">
        <v>0</v>
      </c>
      <c r="IY23" s="888">
        <f t="shared" si="51"/>
        <v>0</v>
      </c>
      <c r="IZ23" s="888">
        <f t="shared" si="52"/>
        <v>0</v>
      </c>
      <c r="JA23" s="888">
        <f t="shared" si="53"/>
        <v>0</v>
      </c>
      <c r="JE23" s="886" t="s">
        <v>668</v>
      </c>
      <c r="JF23" s="886" t="s">
        <v>669</v>
      </c>
      <c r="JG23" s="886" t="s">
        <v>447</v>
      </c>
      <c r="JH23" s="886" t="s">
        <v>447</v>
      </c>
      <c r="JI23" s="603" t="s">
        <v>547</v>
      </c>
      <c r="JJ23" s="604">
        <v>8531539632</v>
      </c>
      <c r="JK23" s="862">
        <f t="shared" si="54"/>
        <v>8531539.6319999993</v>
      </c>
      <c r="JO23" s="884" t="s">
        <v>656</v>
      </c>
      <c r="JP23" s="884" t="s">
        <v>657</v>
      </c>
      <c r="JQ23" s="884" t="s">
        <v>447</v>
      </c>
      <c r="JR23" s="605" t="s">
        <v>447</v>
      </c>
      <c r="JS23" s="605" t="s">
        <v>547</v>
      </c>
      <c r="JT23" s="889">
        <v>0</v>
      </c>
      <c r="JU23" s="889">
        <v>0</v>
      </c>
      <c r="JV23" s="889">
        <v>0</v>
      </c>
      <c r="JW23" s="863">
        <f t="shared" si="55"/>
        <v>0</v>
      </c>
      <c r="JX23" s="863">
        <f t="shared" si="56"/>
        <v>0</v>
      </c>
      <c r="JY23" s="863">
        <f t="shared" si="57"/>
        <v>0</v>
      </c>
    </row>
    <row r="24" spans="1:285" ht="15" customHeight="1" x14ac:dyDescent="0.3">
      <c r="A24" s="872" t="s">
        <v>659</v>
      </c>
      <c r="B24" s="872" t="s">
        <v>221</v>
      </c>
      <c r="C24" s="872" t="s">
        <v>447</v>
      </c>
      <c r="D24" s="872" t="s">
        <v>447</v>
      </c>
      <c r="E24" s="873">
        <v>12345937500</v>
      </c>
      <c r="F24" s="873">
        <f t="shared" si="7"/>
        <v>13123731.5625</v>
      </c>
      <c r="G24" s="873">
        <v>0</v>
      </c>
      <c r="H24" s="873">
        <f t="shared" si="8"/>
        <v>0</v>
      </c>
      <c r="U24" s="874" t="s">
        <v>667</v>
      </c>
      <c r="V24" s="874" t="s">
        <v>634</v>
      </c>
      <c r="W24" s="874" t="s">
        <v>447</v>
      </c>
      <c r="X24" s="874" t="s">
        <v>447</v>
      </c>
      <c r="Y24" s="875">
        <v>12647240000</v>
      </c>
      <c r="Z24" s="875">
        <f t="shared" si="10"/>
        <v>13444016.119999999</v>
      </c>
      <c r="AM24" s="874" t="s">
        <v>451</v>
      </c>
      <c r="AN24" s="874" t="s">
        <v>470</v>
      </c>
      <c r="AO24" s="874" t="s">
        <v>447</v>
      </c>
      <c r="AP24" s="874" t="s">
        <v>447</v>
      </c>
      <c r="AQ24" s="875">
        <v>4161496000</v>
      </c>
      <c r="AR24" s="875">
        <f t="shared" si="58"/>
        <v>4423670.2479999997</v>
      </c>
      <c r="AS24" s="875">
        <v>0</v>
      </c>
      <c r="AV24" s="862"/>
      <c r="BG24" s="874" t="s">
        <v>451</v>
      </c>
      <c r="BH24" s="874" t="s">
        <v>470</v>
      </c>
      <c r="BI24" s="874" t="s">
        <v>447</v>
      </c>
      <c r="BJ24" s="874" t="s">
        <v>447</v>
      </c>
      <c r="BK24" s="875">
        <v>4161496000</v>
      </c>
      <c r="BL24" s="875">
        <v>0</v>
      </c>
      <c r="BM24" s="875">
        <v>0</v>
      </c>
      <c r="BN24" s="864">
        <f t="shared" si="1"/>
        <v>4423670.2479999997</v>
      </c>
      <c r="BO24" s="864">
        <f t="shared" si="2"/>
        <v>0</v>
      </c>
      <c r="BP24" s="864">
        <f t="shared" si="3"/>
        <v>0</v>
      </c>
      <c r="CH24" s="602" t="s">
        <v>451</v>
      </c>
      <c r="CI24" s="602" t="s">
        <v>470</v>
      </c>
      <c r="CJ24" s="602" t="s">
        <v>447</v>
      </c>
      <c r="CK24" s="602" t="s">
        <v>447</v>
      </c>
      <c r="CL24" s="604">
        <v>4161496000</v>
      </c>
      <c r="CM24" s="604">
        <v>0</v>
      </c>
      <c r="CN24" s="604">
        <v>0</v>
      </c>
      <c r="CO24" s="879">
        <f t="shared" si="15"/>
        <v>4423670.2479999997</v>
      </c>
      <c r="CP24" s="879">
        <f t="shared" si="16"/>
        <v>0</v>
      </c>
      <c r="CQ24" s="879">
        <f t="shared" si="17"/>
        <v>0</v>
      </c>
      <c r="CU24" s="602" t="s">
        <v>667</v>
      </c>
      <c r="CV24" s="602" t="s">
        <v>634</v>
      </c>
      <c r="CW24" s="602" t="s">
        <v>447</v>
      </c>
      <c r="CX24" s="602" t="s">
        <v>447</v>
      </c>
      <c r="CY24" s="604">
        <v>0</v>
      </c>
      <c r="CZ24" s="604">
        <v>155024875</v>
      </c>
      <c r="DA24" s="604">
        <v>185102306</v>
      </c>
      <c r="DB24" s="862">
        <f t="shared" si="18"/>
        <v>0</v>
      </c>
      <c r="DC24" s="862">
        <f t="shared" si="19"/>
        <v>164791.442125</v>
      </c>
      <c r="DD24" s="862">
        <f t="shared" si="20"/>
        <v>196763.75127800001</v>
      </c>
      <c r="DH24" s="602" t="s">
        <v>451</v>
      </c>
      <c r="DI24" s="602" t="s">
        <v>470</v>
      </c>
      <c r="DJ24" s="602" t="s">
        <v>447</v>
      </c>
      <c r="DK24" s="602" t="s">
        <v>447</v>
      </c>
      <c r="DL24" s="604">
        <v>7700863000</v>
      </c>
      <c r="DM24" s="604">
        <v>0</v>
      </c>
      <c r="DN24" s="604">
        <v>0</v>
      </c>
      <c r="DO24" s="862">
        <f t="shared" si="21"/>
        <v>8186017.3689999999</v>
      </c>
      <c r="DP24" s="862">
        <f t="shared" si="22"/>
        <v>0</v>
      </c>
      <c r="DQ24" s="862">
        <f t="shared" si="23"/>
        <v>0</v>
      </c>
      <c r="EI24" s="602" t="s">
        <v>448</v>
      </c>
      <c r="EJ24" s="602" t="s">
        <v>469</v>
      </c>
      <c r="EK24" s="602" t="s">
        <v>447</v>
      </c>
      <c r="EL24" s="602" t="s">
        <v>447</v>
      </c>
      <c r="EM24" s="602" t="s">
        <v>547</v>
      </c>
      <c r="EN24" s="602">
        <v>0</v>
      </c>
      <c r="EO24" s="602">
        <v>15930849000</v>
      </c>
      <c r="EP24" s="602">
        <v>4882361192</v>
      </c>
      <c r="EQ24" s="884">
        <f t="shared" si="27"/>
        <v>0</v>
      </c>
      <c r="ER24" s="884">
        <f t="shared" si="28"/>
        <v>16934492.487</v>
      </c>
      <c r="ES24" s="884">
        <f t="shared" si="29"/>
        <v>5189949.9470959995</v>
      </c>
      <c r="FG24" s="865">
        <f>SUM(FG3:FG23)</f>
        <v>71250308.604422003</v>
      </c>
      <c r="FK24" s="602" t="s">
        <v>448</v>
      </c>
      <c r="FL24" s="602" t="s">
        <v>469</v>
      </c>
      <c r="FM24" s="602" t="s">
        <v>447</v>
      </c>
      <c r="FN24" s="602" t="s">
        <v>447</v>
      </c>
      <c r="FO24" s="602" t="s">
        <v>547</v>
      </c>
      <c r="FP24" s="884">
        <v>0</v>
      </c>
      <c r="FQ24" s="884">
        <v>15930849000</v>
      </c>
      <c r="FR24" s="884">
        <v>9809972598</v>
      </c>
      <c r="FS24" s="862">
        <f t="shared" si="33"/>
        <v>0</v>
      </c>
      <c r="FT24" s="862">
        <f t="shared" si="34"/>
        <v>16934492.487</v>
      </c>
      <c r="FU24" s="862">
        <f t="shared" si="35"/>
        <v>10428000.871673999</v>
      </c>
      <c r="FY24" s="602" t="s">
        <v>667</v>
      </c>
      <c r="FZ24" s="602" t="s">
        <v>634</v>
      </c>
      <c r="GA24" s="602" t="s">
        <v>447</v>
      </c>
      <c r="GB24" s="602" t="s">
        <v>447</v>
      </c>
      <c r="GC24" s="603" t="s">
        <v>547</v>
      </c>
      <c r="GD24" s="604">
        <v>-6157969648</v>
      </c>
      <c r="GE24" s="604">
        <v>0</v>
      </c>
      <c r="GF24" s="604">
        <v>0</v>
      </c>
      <c r="GG24" s="884">
        <f t="shared" si="36"/>
        <v>-6545921.7358240001</v>
      </c>
      <c r="GH24" s="884">
        <f t="shared" si="37"/>
        <v>0</v>
      </c>
      <c r="GI24" s="884">
        <f t="shared" si="38"/>
        <v>0</v>
      </c>
      <c r="GM24" s="885" t="s">
        <v>448</v>
      </c>
      <c r="GN24" s="886" t="s">
        <v>469</v>
      </c>
      <c r="GO24" s="885" t="s">
        <v>447</v>
      </c>
      <c r="GP24" s="885" t="s">
        <v>447</v>
      </c>
      <c r="GQ24" s="886" t="s">
        <v>547</v>
      </c>
      <c r="GR24" s="887">
        <v>0</v>
      </c>
      <c r="GS24" s="887">
        <v>15930849000</v>
      </c>
      <c r="GT24" s="887">
        <v>11450125825</v>
      </c>
      <c r="GU24" s="887">
        <f t="shared" si="39"/>
        <v>0</v>
      </c>
      <c r="GV24" s="887">
        <f t="shared" si="40"/>
        <v>16934492.487</v>
      </c>
      <c r="GW24" s="887">
        <f t="shared" si="41"/>
        <v>12171483.751974998</v>
      </c>
      <c r="HO24" s="885" t="s">
        <v>448</v>
      </c>
      <c r="HP24" s="885" t="s">
        <v>469</v>
      </c>
      <c r="HQ24" s="885" t="s">
        <v>447</v>
      </c>
      <c r="HR24" s="885" t="s">
        <v>447</v>
      </c>
      <c r="HS24" s="603" t="s">
        <v>547</v>
      </c>
      <c r="HT24" s="604">
        <v>0</v>
      </c>
      <c r="HU24" s="604">
        <v>15930849000</v>
      </c>
      <c r="HV24" s="604">
        <v>13520508490</v>
      </c>
      <c r="HW24" s="862">
        <f t="shared" si="45"/>
        <v>0</v>
      </c>
      <c r="HX24" s="862">
        <f t="shared" si="46"/>
        <v>15930849</v>
      </c>
      <c r="HY24" s="862">
        <f t="shared" si="47"/>
        <v>13520508.49</v>
      </c>
      <c r="IC24" s="602" t="s">
        <v>659</v>
      </c>
      <c r="ID24" s="602" t="s">
        <v>221</v>
      </c>
      <c r="IE24" s="602" t="s">
        <v>447</v>
      </c>
      <c r="IF24" s="602" t="s">
        <v>447</v>
      </c>
      <c r="IG24" s="603" t="s">
        <v>547</v>
      </c>
      <c r="IH24" s="604">
        <v>-3000000000</v>
      </c>
      <c r="II24" s="604">
        <v>0</v>
      </c>
      <c r="IJ24" s="604">
        <v>0</v>
      </c>
      <c r="IK24" s="883">
        <f t="shared" si="48"/>
        <v>-3000000</v>
      </c>
      <c r="IL24" s="883">
        <f t="shared" si="49"/>
        <v>0</v>
      </c>
      <c r="IM24" s="883">
        <f t="shared" si="50"/>
        <v>0</v>
      </c>
      <c r="IQ24" s="885" t="s">
        <v>450</v>
      </c>
      <c r="IR24" s="885" t="s">
        <v>142</v>
      </c>
      <c r="IS24" s="885" t="s">
        <v>447</v>
      </c>
      <c r="IT24" s="885" t="s">
        <v>447</v>
      </c>
      <c r="IU24" s="886" t="s">
        <v>547</v>
      </c>
      <c r="IV24" s="887">
        <v>9151948000</v>
      </c>
      <c r="IW24" s="887">
        <v>0</v>
      </c>
      <c r="IX24" s="887">
        <v>0</v>
      </c>
      <c r="IY24" s="888">
        <f t="shared" ref="IY24:IY55" si="59">+IV24/$JB$2*$JC$2</f>
        <v>9151948</v>
      </c>
      <c r="IZ24" s="888">
        <f t="shared" ref="IZ24:IZ55" si="60">+IW24/$JB$2*$JC$2</f>
        <v>0</v>
      </c>
      <c r="JA24" s="888">
        <f t="shared" ref="JA24:JA55" si="61">+IX24/$JB$2*$JC$2</f>
        <v>0</v>
      </c>
      <c r="JE24" s="859"/>
      <c r="JF24" s="859"/>
      <c r="JG24" s="859"/>
      <c r="JH24" s="859"/>
      <c r="JK24" s="865"/>
      <c r="JO24" s="884" t="s">
        <v>450</v>
      </c>
      <c r="JP24" s="884" t="s">
        <v>142</v>
      </c>
      <c r="JQ24" s="884" t="s">
        <v>447</v>
      </c>
      <c r="JR24" s="605" t="s">
        <v>447</v>
      </c>
      <c r="JS24" s="605" t="s">
        <v>547</v>
      </c>
      <c r="JT24" s="889">
        <v>0</v>
      </c>
      <c r="JU24" s="889">
        <v>0</v>
      </c>
      <c r="JV24" s="889">
        <v>0</v>
      </c>
      <c r="JW24" s="863">
        <f t="shared" si="55"/>
        <v>0</v>
      </c>
      <c r="JX24" s="863">
        <f t="shared" si="56"/>
        <v>0</v>
      </c>
      <c r="JY24" s="863">
        <f t="shared" si="57"/>
        <v>0</v>
      </c>
    </row>
    <row r="25" spans="1:285" ht="15" customHeight="1" x14ac:dyDescent="0.3">
      <c r="A25" s="872" t="s">
        <v>660</v>
      </c>
      <c r="B25" s="872" t="s">
        <v>154</v>
      </c>
      <c r="C25" s="872" t="s">
        <v>447</v>
      </c>
      <c r="D25" s="872" t="s">
        <v>447</v>
      </c>
      <c r="E25" s="873">
        <v>20598777500</v>
      </c>
      <c r="F25" s="873">
        <f t="shared" si="7"/>
        <v>21896500.482499998</v>
      </c>
      <c r="G25" s="873">
        <v>0</v>
      </c>
      <c r="H25" s="873">
        <f t="shared" si="8"/>
        <v>0</v>
      </c>
      <c r="U25" s="874" t="s">
        <v>668</v>
      </c>
      <c r="V25" s="874" t="s">
        <v>669</v>
      </c>
      <c r="W25" s="874" t="s">
        <v>447</v>
      </c>
      <c r="X25" s="874" t="s">
        <v>447</v>
      </c>
      <c r="Y25" s="875">
        <v>13787455000</v>
      </c>
      <c r="Z25" s="875">
        <f t="shared" si="10"/>
        <v>14656064.664999999</v>
      </c>
      <c r="AM25" s="874" t="s">
        <v>451</v>
      </c>
      <c r="AN25" s="874" t="s">
        <v>470</v>
      </c>
      <c r="AO25" s="874" t="s">
        <v>447</v>
      </c>
      <c r="AP25" s="874" t="s">
        <v>447</v>
      </c>
      <c r="AQ25" s="875">
        <v>4161484000</v>
      </c>
      <c r="AR25" s="875">
        <f t="shared" si="58"/>
        <v>4423657.4919999996</v>
      </c>
      <c r="AS25" s="875">
        <v>0</v>
      </c>
      <c r="AV25" s="862"/>
      <c r="BG25" s="874" t="s">
        <v>451</v>
      </c>
      <c r="BH25" s="874" t="s">
        <v>470</v>
      </c>
      <c r="BI25" s="874" t="s">
        <v>447</v>
      </c>
      <c r="BJ25" s="874" t="s">
        <v>447</v>
      </c>
      <c r="BK25" s="875">
        <v>4161484000</v>
      </c>
      <c r="BL25" s="875">
        <v>0</v>
      </c>
      <c r="BM25" s="875">
        <v>0</v>
      </c>
      <c r="BN25" s="864">
        <f t="shared" si="1"/>
        <v>4423657.4919999996</v>
      </c>
      <c r="BO25" s="864">
        <f t="shared" si="2"/>
        <v>0</v>
      </c>
      <c r="BP25" s="864">
        <f t="shared" si="3"/>
        <v>0</v>
      </c>
      <c r="CH25" s="602" t="s">
        <v>451</v>
      </c>
      <c r="CI25" s="602" t="s">
        <v>470</v>
      </c>
      <c r="CJ25" s="602" t="s">
        <v>447</v>
      </c>
      <c r="CK25" s="602" t="s">
        <v>447</v>
      </c>
      <c r="CL25" s="604">
        <v>4161484000</v>
      </c>
      <c r="CM25" s="604">
        <v>0</v>
      </c>
      <c r="CN25" s="604">
        <v>0</v>
      </c>
      <c r="CO25" s="879">
        <f t="shared" si="15"/>
        <v>4423657.4919999996</v>
      </c>
      <c r="CP25" s="879">
        <f t="shared" si="16"/>
        <v>0</v>
      </c>
      <c r="CQ25" s="879">
        <f t="shared" si="17"/>
        <v>0</v>
      </c>
      <c r="CU25" s="602" t="s">
        <v>452</v>
      </c>
      <c r="CV25" s="602" t="s">
        <v>128</v>
      </c>
      <c r="CW25" s="602" t="s">
        <v>447</v>
      </c>
      <c r="CX25" s="602" t="s">
        <v>447</v>
      </c>
      <c r="CY25" s="604">
        <v>467081000</v>
      </c>
      <c r="CZ25" s="604">
        <v>0</v>
      </c>
      <c r="DA25" s="604">
        <v>0</v>
      </c>
      <c r="DB25" s="862">
        <f t="shared" si="18"/>
        <v>496507.103</v>
      </c>
      <c r="DC25" s="862">
        <f t="shared" si="19"/>
        <v>0</v>
      </c>
      <c r="DD25" s="862">
        <f t="shared" si="20"/>
        <v>0</v>
      </c>
      <c r="DH25" s="602" t="s">
        <v>451</v>
      </c>
      <c r="DI25" s="602" t="s">
        <v>470</v>
      </c>
      <c r="DJ25" s="602" t="s">
        <v>447</v>
      </c>
      <c r="DK25" s="602" t="s">
        <v>447</v>
      </c>
      <c r="DL25" s="604">
        <v>4161484000</v>
      </c>
      <c r="DM25" s="604">
        <v>0</v>
      </c>
      <c r="DN25" s="604">
        <v>0</v>
      </c>
      <c r="DO25" s="862">
        <f t="shared" si="21"/>
        <v>4423657.4919999996</v>
      </c>
      <c r="DP25" s="862">
        <f t="shared" si="22"/>
        <v>0</v>
      </c>
      <c r="DQ25" s="862">
        <f t="shared" si="23"/>
        <v>0</v>
      </c>
      <c r="EI25" s="602" t="s">
        <v>451</v>
      </c>
      <c r="EJ25" s="602" t="s">
        <v>470</v>
      </c>
      <c r="EK25" s="602" t="s">
        <v>447</v>
      </c>
      <c r="EL25" s="602" t="s">
        <v>447</v>
      </c>
      <c r="EM25" s="602" t="s">
        <v>547</v>
      </c>
      <c r="EN25" s="602">
        <v>7700863000</v>
      </c>
      <c r="EO25" s="602">
        <v>0</v>
      </c>
      <c r="EP25" s="602">
        <v>0</v>
      </c>
      <c r="EQ25" s="884">
        <f t="shared" si="27"/>
        <v>8186017.3689999999</v>
      </c>
      <c r="ER25" s="884">
        <f t="shared" si="28"/>
        <v>0</v>
      </c>
      <c r="ES25" s="884">
        <f t="shared" si="29"/>
        <v>0</v>
      </c>
      <c r="FK25" s="602" t="s">
        <v>451</v>
      </c>
      <c r="FL25" s="602" t="s">
        <v>470</v>
      </c>
      <c r="FM25" s="602" t="s">
        <v>447</v>
      </c>
      <c r="FN25" s="602" t="s">
        <v>447</v>
      </c>
      <c r="FO25" s="602" t="s">
        <v>547</v>
      </c>
      <c r="FP25" s="884">
        <v>12341654000</v>
      </c>
      <c r="FQ25" s="884">
        <v>0</v>
      </c>
      <c r="FR25" s="884">
        <v>0</v>
      </c>
      <c r="FS25" s="862">
        <f t="shared" si="33"/>
        <v>13119178.202</v>
      </c>
      <c r="FT25" s="862">
        <f t="shared" si="34"/>
        <v>0</v>
      </c>
      <c r="FU25" s="862">
        <f t="shared" si="35"/>
        <v>0</v>
      </c>
      <c r="GG25" s="862"/>
      <c r="GH25" s="862"/>
      <c r="GI25" s="862"/>
      <c r="GM25" s="885" t="s">
        <v>451</v>
      </c>
      <c r="GN25" s="886" t="s">
        <v>470</v>
      </c>
      <c r="GO25" s="885" t="s">
        <v>447</v>
      </c>
      <c r="GP25" s="885" t="s">
        <v>447</v>
      </c>
      <c r="GQ25" s="886" t="s">
        <v>547</v>
      </c>
      <c r="GR25" s="887">
        <v>12341654000</v>
      </c>
      <c r="GS25" s="887">
        <v>0</v>
      </c>
      <c r="GT25" s="887">
        <v>0</v>
      </c>
      <c r="GU25" s="887">
        <f t="shared" si="39"/>
        <v>13119178.202</v>
      </c>
      <c r="GV25" s="887">
        <f t="shared" si="40"/>
        <v>0</v>
      </c>
      <c r="GW25" s="887">
        <f t="shared" si="41"/>
        <v>0</v>
      </c>
      <c r="HO25" s="885" t="s">
        <v>451</v>
      </c>
      <c r="HP25" s="885" t="s">
        <v>470</v>
      </c>
      <c r="HQ25" s="885" t="s">
        <v>447</v>
      </c>
      <c r="HR25" s="885" t="s">
        <v>447</v>
      </c>
      <c r="HS25" s="603" t="s">
        <v>547</v>
      </c>
      <c r="HT25" s="604">
        <v>12341654000</v>
      </c>
      <c r="HU25" s="604">
        <v>0</v>
      </c>
      <c r="HV25" s="604">
        <v>0</v>
      </c>
      <c r="HW25" s="862">
        <f t="shared" si="45"/>
        <v>12341654</v>
      </c>
      <c r="HX25" s="862">
        <f t="shared" si="46"/>
        <v>0</v>
      </c>
      <c r="HY25" s="862">
        <f t="shared" si="47"/>
        <v>0</v>
      </c>
      <c r="IC25" s="602" t="s">
        <v>660</v>
      </c>
      <c r="ID25" s="602" t="s">
        <v>154</v>
      </c>
      <c r="IE25" s="602" t="s">
        <v>447</v>
      </c>
      <c r="IF25" s="602" t="s">
        <v>447</v>
      </c>
      <c r="IG25" s="603" t="s">
        <v>547</v>
      </c>
      <c r="IH25" s="604">
        <v>70000000</v>
      </c>
      <c r="II25" s="604">
        <v>0</v>
      </c>
      <c r="IJ25" s="604">
        <v>0</v>
      </c>
      <c r="IK25" s="883">
        <f t="shared" si="48"/>
        <v>70000</v>
      </c>
      <c r="IL25" s="883">
        <f t="shared" si="49"/>
        <v>0</v>
      </c>
      <c r="IM25" s="883">
        <f t="shared" si="50"/>
        <v>0</v>
      </c>
      <c r="IQ25" s="885" t="s">
        <v>506</v>
      </c>
      <c r="IR25" s="885" t="s">
        <v>507</v>
      </c>
      <c r="IS25" s="885" t="s">
        <v>447</v>
      </c>
      <c r="IT25" s="885" t="s">
        <v>447</v>
      </c>
      <c r="IU25" s="886" t="s">
        <v>547</v>
      </c>
      <c r="IV25" s="887">
        <v>881025000</v>
      </c>
      <c r="IW25" s="887">
        <v>0</v>
      </c>
      <c r="IX25" s="887">
        <v>0</v>
      </c>
      <c r="IY25" s="888">
        <f t="shared" si="59"/>
        <v>881025</v>
      </c>
      <c r="IZ25" s="888">
        <f t="shared" si="60"/>
        <v>0</v>
      </c>
      <c r="JA25" s="888">
        <f t="shared" si="61"/>
        <v>0</v>
      </c>
      <c r="JE25" s="859"/>
      <c r="JF25" s="859"/>
      <c r="JG25" s="859"/>
      <c r="JH25" s="859"/>
      <c r="JK25" s="867"/>
      <c r="JO25" s="884" t="s">
        <v>506</v>
      </c>
      <c r="JP25" s="884" t="s">
        <v>507</v>
      </c>
      <c r="JQ25" s="884" t="s">
        <v>447</v>
      </c>
      <c r="JR25" s="605" t="s">
        <v>447</v>
      </c>
      <c r="JS25" s="605" t="s">
        <v>547</v>
      </c>
      <c r="JT25" s="889">
        <v>881025000</v>
      </c>
      <c r="JU25" s="889">
        <v>0</v>
      </c>
      <c r="JV25" s="889">
        <v>0</v>
      </c>
      <c r="JW25" s="863">
        <f t="shared" si="55"/>
        <v>881025</v>
      </c>
      <c r="JX25" s="863">
        <f t="shared" si="56"/>
        <v>0</v>
      </c>
      <c r="JY25" s="863">
        <f t="shared" si="57"/>
        <v>0</v>
      </c>
    </row>
    <row r="26" spans="1:285" ht="15" customHeight="1" x14ac:dyDescent="0.3">
      <c r="A26" s="872" t="s">
        <v>660</v>
      </c>
      <c r="B26" s="872" t="s">
        <v>154</v>
      </c>
      <c r="C26" s="872" t="s">
        <v>447</v>
      </c>
      <c r="D26" s="872" t="s">
        <v>447</v>
      </c>
      <c r="E26" s="873">
        <v>0</v>
      </c>
      <c r="F26" s="873">
        <f t="shared" si="7"/>
        <v>0</v>
      </c>
      <c r="G26" s="873">
        <v>107727136</v>
      </c>
      <c r="H26" s="873">
        <f t="shared" si="8"/>
        <v>114513.945568</v>
      </c>
      <c r="U26" s="874" t="s">
        <v>452</v>
      </c>
      <c r="V26" s="874" t="s">
        <v>128</v>
      </c>
      <c r="W26" s="874" t="s">
        <v>447</v>
      </c>
      <c r="X26" s="874" t="s">
        <v>447</v>
      </c>
      <c r="Y26" s="875">
        <v>10000</v>
      </c>
      <c r="Z26" s="875">
        <f t="shared" si="10"/>
        <v>10.629999999999999</v>
      </c>
      <c r="AM26" s="874" t="s">
        <v>451</v>
      </c>
      <c r="AN26" s="874" t="s">
        <v>470</v>
      </c>
      <c r="AO26" s="874" t="s">
        <v>447</v>
      </c>
      <c r="AP26" s="874" t="s">
        <v>447</v>
      </c>
      <c r="AQ26" s="875">
        <v>0</v>
      </c>
      <c r="AR26" s="875">
        <f t="shared" si="58"/>
        <v>0</v>
      </c>
      <c r="AS26" s="875">
        <v>257386764</v>
      </c>
      <c r="AV26" s="862"/>
      <c r="BG26" s="874" t="s">
        <v>451</v>
      </c>
      <c r="BH26" s="874" t="s">
        <v>470</v>
      </c>
      <c r="BI26" s="874" t="s">
        <v>447</v>
      </c>
      <c r="BJ26" s="874" t="s">
        <v>447</v>
      </c>
      <c r="BK26" s="875">
        <v>0</v>
      </c>
      <c r="BL26" s="875">
        <v>977652242</v>
      </c>
      <c r="BM26" s="875">
        <v>477386764</v>
      </c>
      <c r="BN26" s="864">
        <f t="shared" si="1"/>
        <v>0</v>
      </c>
      <c r="BO26" s="864">
        <f t="shared" si="2"/>
        <v>1039244.3332459999</v>
      </c>
      <c r="BP26" s="864">
        <f t="shared" si="3"/>
        <v>507462.13013200002</v>
      </c>
      <c r="CH26" s="602" t="s">
        <v>451</v>
      </c>
      <c r="CI26" s="602" t="s">
        <v>470</v>
      </c>
      <c r="CJ26" s="602" t="s">
        <v>447</v>
      </c>
      <c r="CK26" s="602" t="s">
        <v>447</v>
      </c>
      <c r="CL26" s="604">
        <v>0</v>
      </c>
      <c r="CM26" s="604">
        <v>1542377072</v>
      </c>
      <c r="CN26" s="604">
        <v>977652242</v>
      </c>
      <c r="CO26" s="879">
        <f t="shared" si="15"/>
        <v>0</v>
      </c>
      <c r="CP26" s="879">
        <f t="shared" si="16"/>
        <v>1639546.8275359999</v>
      </c>
      <c r="CQ26" s="879">
        <f t="shared" si="17"/>
        <v>1039244.3332459999</v>
      </c>
      <c r="CU26" s="602" t="s">
        <v>452</v>
      </c>
      <c r="CV26" s="602" t="s">
        <v>128</v>
      </c>
      <c r="CW26" s="602" t="s">
        <v>447</v>
      </c>
      <c r="CX26" s="602" t="s">
        <v>447</v>
      </c>
      <c r="CY26" s="604">
        <v>0</v>
      </c>
      <c r="CZ26" s="604">
        <v>-639443880</v>
      </c>
      <c r="DA26" s="604">
        <v>-639443880</v>
      </c>
      <c r="DB26" s="862">
        <f t="shared" si="18"/>
        <v>0</v>
      </c>
      <c r="DC26" s="862">
        <f t="shared" si="19"/>
        <v>-679728.84444000002</v>
      </c>
      <c r="DD26" s="862">
        <f>+DA26/$DE$2*$DF$2</f>
        <v>-679728.84444000002</v>
      </c>
      <c r="DH26" s="602" t="s">
        <v>451</v>
      </c>
      <c r="DI26" s="602" t="s">
        <v>470</v>
      </c>
      <c r="DJ26" s="602" t="s">
        <v>447</v>
      </c>
      <c r="DK26" s="602" t="s">
        <v>447</v>
      </c>
      <c r="DL26" s="604">
        <v>0</v>
      </c>
      <c r="DM26" s="604">
        <v>1817444911</v>
      </c>
      <c r="DN26" s="604">
        <v>1542377072</v>
      </c>
      <c r="DO26" s="862">
        <f t="shared" si="21"/>
        <v>0</v>
      </c>
      <c r="DP26" s="862">
        <f t="shared" si="22"/>
        <v>1931943.9403929999</v>
      </c>
      <c r="DQ26" s="862">
        <f t="shared" si="23"/>
        <v>1639546.8275359999</v>
      </c>
      <c r="EI26" s="602" t="s">
        <v>451</v>
      </c>
      <c r="EJ26" s="602" t="s">
        <v>470</v>
      </c>
      <c r="EK26" s="602" t="s">
        <v>447</v>
      </c>
      <c r="EL26" s="602" t="s">
        <v>447</v>
      </c>
      <c r="EM26" s="602" t="s">
        <v>547</v>
      </c>
      <c r="EN26" s="602">
        <v>4161484000</v>
      </c>
      <c r="EO26" s="602">
        <v>0</v>
      </c>
      <c r="EP26" s="602">
        <v>0</v>
      </c>
      <c r="EQ26" s="884">
        <f t="shared" si="27"/>
        <v>4423657.4919999996</v>
      </c>
      <c r="ER26" s="884">
        <f t="shared" si="28"/>
        <v>0</v>
      </c>
      <c r="ES26" s="884">
        <f t="shared" si="29"/>
        <v>0</v>
      </c>
      <c r="FK26" s="602" t="s">
        <v>451</v>
      </c>
      <c r="FL26" s="602" t="s">
        <v>470</v>
      </c>
      <c r="FM26" s="602" t="s">
        <v>447</v>
      </c>
      <c r="FN26" s="602" t="s">
        <v>447</v>
      </c>
      <c r="FO26" s="602" t="s">
        <v>547</v>
      </c>
      <c r="FP26" s="884">
        <v>4161484000</v>
      </c>
      <c r="FQ26" s="884">
        <v>0</v>
      </c>
      <c r="FR26" s="884">
        <v>0</v>
      </c>
      <c r="FS26" s="862">
        <f t="shared" si="33"/>
        <v>4423657.4919999996</v>
      </c>
      <c r="FT26" s="862">
        <f t="shared" si="34"/>
        <v>0</v>
      </c>
      <c r="FU26" s="862">
        <f t="shared" si="35"/>
        <v>0</v>
      </c>
      <c r="GM26" s="885" t="s">
        <v>451</v>
      </c>
      <c r="GN26" s="886" t="s">
        <v>470</v>
      </c>
      <c r="GO26" s="885" t="s">
        <v>447</v>
      </c>
      <c r="GP26" s="885" t="s">
        <v>447</v>
      </c>
      <c r="GQ26" s="886" t="s">
        <v>547</v>
      </c>
      <c r="GR26" s="887">
        <v>4161484000</v>
      </c>
      <c r="GS26" s="887">
        <v>0</v>
      </c>
      <c r="GT26" s="887">
        <v>0</v>
      </c>
      <c r="GU26" s="887">
        <f t="shared" si="39"/>
        <v>4423657.4919999996</v>
      </c>
      <c r="GV26" s="887">
        <f t="shared" si="40"/>
        <v>0</v>
      </c>
      <c r="GW26" s="887">
        <f t="shared" si="41"/>
        <v>0</v>
      </c>
      <c r="HO26" s="885" t="s">
        <v>451</v>
      </c>
      <c r="HP26" s="885" t="s">
        <v>470</v>
      </c>
      <c r="HQ26" s="885" t="s">
        <v>447</v>
      </c>
      <c r="HR26" s="885" t="s">
        <v>447</v>
      </c>
      <c r="HS26" s="603" t="s">
        <v>547</v>
      </c>
      <c r="HT26" s="604">
        <v>4161484000</v>
      </c>
      <c r="HU26" s="604">
        <v>0</v>
      </c>
      <c r="HV26" s="604">
        <v>0</v>
      </c>
      <c r="HW26" s="862">
        <f t="shared" si="45"/>
        <v>4161484</v>
      </c>
      <c r="HX26" s="862">
        <f t="shared" si="46"/>
        <v>0</v>
      </c>
      <c r="HY26" s="862">
        <f t="shared" si="47"/>
        <v>0</v>
      </c>
      <c r="IC26" s="602" t="s">
        <v>660</v>
      </c>
      <c r="ID26" s="602" t="s">
        <v>154</v>
      </c>
      <c r="IE26" s="602" t="s">
        <v>447</v>
      </c>
      <c r="IF26" s="602" t="s">
        <v>447</v>
      </c>
      <c r="IG26" s="603" t="s">
        <v>547</v>
      </c>
      <c r="IH26" s="604">
        <v>0</v>
      </c>
      <c r="II26" s="604">
        <v>17825294112</v>
      </c>
      <c r="IJ26" s="604">
        <v>17459232348</v>
      </c>
      <c r="IK26" s="883">
        <f t="shared" si="48"/>
        <v>0</v>
      </c>
      <c r="IL26" s="883">
        <f t="shared" si="49"/>
        <v>17825294.112</v>
      </c>
      <c r="IM26" s="883">
        <f t="shared" si="50"/>
        <v>17459232.348000001</v>
      </c>
      <c r="IQ26" s="885" t="s">
        <v>448</v>
      </c>
      <c r="IR26" s="885" t="s">
        <v>469</v>
      </c>
      <c r="IS26" s="885" t="s">
        <v>447</v>
      </c>
      <c r="IT26" s="885" t="s">
        <v>447</v>
      </c>
      <c r="IU26" s="886" t="s">
        <v>547</v>
      </c>
      <c r="IV26" s="887">
        <v>15930849000</v>
      </c>
      <c r="IW26" s="887">
        <v>0</v>
      </c>
      <c r="IX26" s="887">
        <v>0</v>
      </c>
      <c r="IY26" s="888">
        <f t="shared" si="59"/>
        <v>15930849</v>
      </c>
      <c r="IZ26" s="888">
        <f t="shared" si="60"/>
        <v>0</v>
      </c>
      <c r="JA26" s="888">
        <f t="shared" si="61"/>
        <v>0</v>
      </c>
      <c r="JE26" s="859"/>
      <c r="JF26" s="859"/>
      <c r="JG26" s="859"/>
      <c r="JH26" s="859"/>
      <c r="JO26" s="884" t="s">
        <v>506</v>
      </c>
      <c r="JP26" s="884" t="s">
        <v>507</v>
      </c>
      <c r="JQ26" s="884" t="s">
        <v>447</v>
      </c>
      <c r="JR26" s="605" t="s">
        <v>447</v>
      </c>
      <c r="JS26" s="605" t="s">
        <v>547</v>
      </c>
      <c r="JT26" s="889">
        <v>0</v>
      </c>
      <c r="JU26" s="889">
        <v>881025000</v>
      </c>
      <c r="JV26" s="889">
        <v>881025000</v>
      </c>
      <c r="JW26" s="863">
        <f t="shared" si="55"/>
        <v>0</v>
      </c>
      <c r="JX26" s="863">
        <f t="shared" si="56"/>
        <v>881025</v>
      </c>
      <c r="JY26" s="863">
        <f t="shared" si="57"/>
        <v>881025</v>
      </c>
    </row>
    <row r="27" spans="1:285" ht="15" customHeight="1" x14ac:dyDescent="0.3">
      <c r="A27" s="872" t="s">
        <v>661</v>
      </c>
      <c r="B27" s="872" t="s">
        <v>305</v>
      </c>
      <c r="C27" s="872" t="s">
        <v>447</v>
      </c>
      <c r="D27" s="872" t="s">
        <v>447</v>
      </c>
      <c r="E27" s="873">
        <v>15656882000</v>
      </c>
      <c r="F27" s="873">
        <f t="shared" si="7"/>
        <v>16643265.566</v>
      </c>
      <c r="G27" s="873">
        <v>0</v>
      </c>
      <c r="H27" s="873">
        <f t="shared" si="8"/>
        <v>0</v>
      </c>
      <c r="AM27" s="874" t="s">
        <v>659</v>
      </c>
      <c r="AN27" s="874" t="s">
        <v>221</v>
      </c>
      <c r="AO27" s="874" t="s">
        <v>447</v>
      </c>
      <c r="AP27" s="874" t="s">
        <v>447</v>
      </c>
      <c r="AQ27" s="875">
        <v>12345937500</v>
      </c>
      <c r="AR27" s="875">
        <f t="shared" si="58"/>
        <v>13123731.5625</v>
      </c>
      <c r="AS27" s="875">
        <v>0</v>
      </c>
      <c r="AV27" s="862"/>
      <c r="BG27" s="874" t="s">
        <v>659</v>
      </c>
      <c r="BH27" s="874" t="s">
        <v>221</v>
      </c>
      <c r="BI27" s="874" t="s">
        <v>447</v>
      </c>
      <c r="BJ27" s="874" t="s">
        <v>447</v>
      </c>
      <c r="BK27" s="875">
        <v>12345937500</v>
      </c>
      <c r="BL27" s="875">
        <v>0</v>
      </c>
      <c r="BM27" s="875">
        <v>0</v>
      </c>
      <c r="BN27" s="864">
        <f t="shared" si="1"/>
        <v>13123731.5625</v>
      </c>
      <c r="BO27" s="864">
        <f t="shared" si="2"/>
        <v>0</v>
      </c>
      <c r="BP27" s="864">
        <f t="shared" si="3"/>
        <v>0</v>
      </c>
      <c r="CH27" s="602" t="s">
        <v>659</v>
      </c>
      <c r="CI27" s="602" t="s">
        <v>221</v>
      </c>
      <c r="CJ27" s="602" t="s">
        <v>447</v>
      </c>
      <c r="CK27" s="602" t="s">
        <v>447</v>
      </c>
      <c r="CL27" s="604">
        <v>12345937500</v>
      </c>
      <c r="CM27" s="604">
        <v>0</v>
      </c>
      <c r="CN27" s="604">
        <v>0</v>
      </c>
      <c r="CO27" s="879">
        <f t="shared" si="15"/>
        <v>13123731.5625</v>
      </c>
      <c r="CP27" s="879">
        <f t="shared" si="16"/>
        <v>0</v>
      </c>
      <c r="CQ27" s="879">
        <f t="shared" si="17"/>
        <v>0</v>
      </c>
      <c r="DH27" s="602" t="s">
        <v>659</v>
      </c>
      <c r="DI27" s="602" t="s">
        <v>221</v>
      </c>
      <c r="DJ27" s="602" t="s">
        <v>447</v>
      </c>
      <c r="DK27" s="602" t="s">
        <v>447</v>
      </c>
      <c r="DL27" s="604">
        <v>12345937500</v>
      </c>
      <c r="DM27" s="604">
        <v>0</v>
      </c>
      <c r="DN27" s="604">
        <v>0</v>
      </c>
      <c r="DO27" s="862">
        <f t="shared" si="21"/>
        <v>13123731.5625</v>
      </c>
      <c r="DP27" s="862">
        <f t="shared" si="22"/>
        <v>0</v>
      </c>
      <c r="DQ27" s="862">
        <f t="shared" si="23"/>
        <v>0</v>
      </c>
      <c r="EI27" s="602" t="s">
        <v>451</v>
      </c>
      <c r="EJ27" s="602" t="s">
        <v>470</v>
      </c>
      <c r="EK27" s="602" t="s">
        <v>447</v>
      </c>
      <c r="EL27" s="602" t="s">
        <v>447</v>
      </c>
      <c r="EM27" s="602" t="s">
        <v>547</v>
      </c>
      <c r="EN27" s="602">
        <v>0</v>
      </c>
      <c r="EO27" s="602">
        <v>1817444911</v>
      </c>
      <c r="EP27" s="602">
        <v>1817444911</v>
      </c>
      <c r="EQ27" s="884">
        <f t="shared" si="27"/>
        <v>0</v>
      </c>
      <c r="ER27" s="884">
        <f t="shared" si="28"/>
        <v>1931943.9403929999</v>
      </c>
      <c r="ES27" s="884">
        <f t="shared" si="29"/>
        <v>1931943.9403929999</v>
      </c>
      <c r="FK27" s="602" t="s">
        <v>451</v>
      </c>
      <c r="FL27" s="602" t="s">
        <v>470</v>
      </c>
      <c r="FM27" s="602" t="s">
        <v>447</v>
      </c>
      <c r="FN27" s="602" t="s">
        <v>447</v>
      </c>
      <c r="FO27" s="602" t="s">
        <v>547</v>
      </c>
      <c r="FP27" s="884">
        <v>0</v>
      </c>
      <c r="FQ27" s="884">
        <v>3502055850</v>
      </c>
      <c r="FR27" s="884">
        <v>3488215614</v>
      </c>
      <c r="FS27" s="862">
        <f t="shared" si="33"/>
        <v>0</v>
      </c>
      <c r="FT27" s="862">
        <f t="shared" si="34"/>
        <v>3722685.3685499998</v>
      </c>
      <c r="FU27" s="862">
        <f t="shared" si="35"/>
        <v>3707973.1976819998</v>
      </c>
      <c r="GM27" s="885" t="s">
        <v>451</v>
      </c>
      <c r="GN27" s="886" t="s">
        <v>470</v>
      </c>
      <c r="GO27" s="885" t="s">
        <v>447</v>
      </c>
      <c r="GP27" s="885" t="s">
        <v>447</v>
      </c>
      <c r="GQ27" s="886" t="s">
        <v>547</v>
      </c>
      <c r="GR27" s="887">
        <v>0</v>
      </c>
      <c r="GS27" s="887">
        <v>3538135825</v>
      </c>
      <c r="GT27" s="887">
        <v>3538135825</v>
      </c>
      <c r="GU27" s="887">
        <f t="shared" si="39"/>
        <v>0</v>
      </c>
      <c r="GV27" s="887">
        <f t="shared" si="40"/>
        <v>3761038.3819749998</v>
      </c>
      <c r="GW27" s="887">
        <f t="shared" si="41"/>
        <v>3761038.3819749998</v>
      </c>
      <c r="HO27" s="885" t="s">
        <v>451</v>
      </c>
      <c r="HP27" s="885" t="s">
        <v>470</v>
      </c>
      <c r="HQ27" s="885" t="s">
        <v>447</v>
      </c>
      <c r="HR27" s="885" t="s">
        <v>447</v>
      </c>
      <c r="HS27" s="603" t="s">
        <v>547</v>
      </c>
      <c r="HT27" s="604">
        <v>0</v>
      </c>
      <c r="HU27" s="604">
        <v>2794099709</v>
      </c>
      <c r="HV27" s="604">
        <v>2708590315</v>
      </c>
      <c r="HW27" s="862">
        <f t="shared" si="45"/>
        <v>0</v>
      </c>
      <c r="HX27" s="862">
        <f t="shared" si="46"/>
        <v>2794099.7089999998</v>
      </c>
      <c r="HY27" s="862">
        <f t="shared" si="47"/>
        <v>2708590.3149999999</v>
      </c>
      <c r="IC27" s="602" t="s">
        <v>661</v>
      </c>
      <c r="ID27" s="602" t="s">
        <v>305</v>
      </c>
      <c r="IE27" s="602" t="s">
        <v>447</v>
      </c>
      <c r="IF27" s="602" t="s">
        <v>447</v>
      </c>
      <c r="IG27" s="603" t="s">
        <v>547</v>
      </c>
      <c r="IH27" s="604">
        <v>0</v>
      </c>
      <c r="II27" s="604">
        <v>0</v>
      </c>
      <c r="IJ27" s="604">
        <v>701779527</v>
      </c>
      <c r="IK27" s="883">
        <f t="shared" si="48"/>
        <v>0</v>
      </c>
      <c r="IL27" s="883">
        <f t="shared" si="49"/>
        <v>0</v>
      </c>
      <c r="IM27" s="883">
        <f t="shared" si="50"/>
        <v>701779.527</v>
      </c>
      <c r="IQ27" s="885" t="s">
        <v>448</v>
      </c>
      <c r="IR27" s="885" t="s">
        <v>469</v>
      </c>
      <c r="IS27" s="885" t="s">
        <v>447</v>
      </c>
      <c r="IT27" s="885" t="s">
        <v>447</v>
      </c>
      <c r="IU27" s="886" t="s">
        <v>547</v>
      </c>
      <c r="IV27" s="887">
        <v>0</v>
      </c>
      <c r="IW27" s="887">
        <v>15930849000</v>
      </c>
      <c r="IX27" s="887">
        <v>15490673265</v>
      </c>
      <c r="IY27" s="888">
        <f t="shared" si="59"/>
        <v>0</v>
      </c>
      <c r="IZ27" s="888">
        <f t="shared" si="60"/>
        <v>15930849</v>
      </c>
      <c r="JA27" s="888">
        <f t="shared" si="61"/>
        <v>15490673.265000001</v>
      </c>
      <c r="JE27" s="859"/>
      <c r="JF27" s="859"/>
      <c r="JG27" s="859"/>
      <c r="JH27" s="859"/>
      <c r="JO27" s="884" t="s">
        <v>448</v>
      </c>
      <c r="JP27" s="884" t="s">
        <v>469</v>
      </c>
      <c r="JQ27" s="884" t="s">
        <v>447</v>
      </c>
      <c r="JR27" s="605" t="s">
        <v>447</v>
      </c>
      <c r="JS27" s="605" t="s">
        <v>547</v>
      </c>
      <c r="JT27" s="889">
        <v>15930849000</v>
      </c>
      <c r="JU27" s="889">
        <v>0</v>
      </c>
      <c r="JV27" s="889">
        <v>0</v>
      </c>
      <c r="JW27" s="863">
        <f t="shared" si="55"/>
        <v>15930849</v>
      </c>
      <c r="JX27" s="863">
        <f t="shared" si="56"/>
        <v>0</v>
      </c>
      <c r="JY27" s="863">
        <f t="shared" si="57"/>
        <v>0</v>
      </c>
    </row>
    <row r="28" spans="1:285" ht="15" customHeight="1" x14ac:dyDescent="0.3">
      <c r="A28" s="872" t="s">
        <v>661</v>
      </c>
      <c r="B28" s="872" t="s">
        <v>305</v>
      </c>
      <c r="C28" s="872" t="s">
        <v>447</v>
      </c>
      <c r="D28" s="872" t="s">
        <v>447</v>
      </c>
      <c r="E28" s="873">
        <v>0</v>
      </c>
      <c r="F28" s="873">
        <f t="shared" si="7"/>
        <v>0</v>
      </c>
      <c r="G28" s="873">
        <v>4097973137</v>
      </c>
      <c r="H28" s="873">
        <f t="shared" si="8"/>
        <v>4356145.444631</v>
      </c>
      <c r="AM28" s="874" t="s">
        <v>659</v>
      </c>
      <c r="AN28" s="874" t="s">
        <v>221</v>
      </c>
      <c r="AO28" s="874" t="s">
        <v>447</v>
      </c>
      <c r="AP28" s="874" t="s">
        <v>447</v>
      </c>
      <c r="AQ28" s="875">
        <v>0</v>
      </c>
      <c r="AR28" s="875">
        <f t="shared" si="58"/>
        <v>0</v>
      </c>
      <c r="AS28" s="875">
        <v>0</v>
      </c>
      <c r="AV28" s="862"/>
      <c r="BG28" s="874" t="s">
        <v>659</v>
      </c>
      <c r="BH28" s="874" t="s">
        <v>221</v>
      </c>
      <c r="BI28" s="874" t="s">
        <v>447</v>
      </c>
      <c r="BJ28" s="874" t="s">
        <v>447</v>
      </c>
      <c r="BK28" s="875">
        <v>0</v>
      </c>
      <c r="BL28" s="875">
        <v>0</v>
      </c>
      <c r="BM28" s="875">
        <v>0</v>
      </c>
      <c r="BN28" s="864">
        <f t="shared" si="1"/>
        <v>0</v>
      </c>
      <c r="BO28" s="864">
        <f t="shared" si="2"/>
        <v>0</v>
      </c>
      <c r="BP28" s="864">
        <f t="shared" si="3"/>
        <v>0</v>
      </c>
      <c r="CH28" s="602" t="s">
        <v>659</v>
      </c>
      <c r="CI28" s="602" t="s">
        <v>221</v>
      </c>
      <c r="CJ28" s="602" t="s">
        <v>447</v>
      </c>
      <c r="CK28" s="602" t="s">
        <v>447</v>
      </c>
      <c r="CL28" s="604">
        <v>0</v>
      </c>
      <c r="CM28" s="604">
        <v>207145992</v>
      </c>
      <c r="CN28" s="604">
        <v>77268932</v>
      </c>
      <c r="CO28" s="879">
        <f t="shared" si="15"/>
        <v>0</v>
      </c>
      <c r="CP28" s="879">
        <f t="shared" si="16"/>
        <v>220196.18949599998</v>
      </c>
      <c r="CQ28" s="879">
        <f t="shared" si="17"/>
        <v>82136.874715999991</v>
      </c>
      <c r="DH28" s="602" t="s">
        <v>659</v>
      </c>
      <c r="DI28" s="602" t="s">
        <v>221</v>
      </c>
      <c r="DJ28" s="602" t="s">
        <v>447</v>
      </c>
      <c r="DK28" s="602" t="s">
        <v>447</v>
      </c>
      <c r="DL28" s="604">
        <v>0</v>
      </c>
      <c r="DM28" s="604">
        <v>521999491</v>
      </c>
      <c r="DN28" s="604">
        <v>386995565</v>
      </c>
      <c r="DO28" s="862">
        <f t="shared" si="21"/>
        <v>0</v>
      </c>
      <c r="DP28" s="862">
        <f t="shared" si="22"/>
        <v>554885.45893299999</v>
      </c>
      <c r="DQ28" s="862">
        <f t="shared" si="23"/>
        <v>411376.28559499996</v>
      </c>
      <c r="EI28" s="602" t="s">
        <v>659</v>
      </c>
      <c r="EJ28" s="602" t="s">
        <v>221</v>
      </c>
      <c r="EK28" s="602" t="s">
        <v>447</v>
      </c>
      <c r="EL28" s="602" t="s">
        <v>447</v>
      </c>
      <c r="EM28" s="602" t="s">
        <v>547</v>
      </c>
      <c r="EN28" s="602">
        <v>12345937500</v>
      </c>
      <c r="EO28" s="602">
        <v>0</v>
      </c>
      <c r="EP28" s="602">
        <v>0</v>
      </c>
      <c r="EQ28" s="884">
        <f t="shared" si="27"/>
        <v>13123731.5625</v>
      </c>
      <c r="ER28" s="884">
        <f t="shared" si="28"/>
        <v>0</v>
      </c>
      <c r="ES28" s="884">
        <f t="shared" si="29"/>
        <v>0</v>
      </c>
      <c r="FK28" s="602" t="s">
        <v>451</v>
      </c>
      <c r="FL28" s="602" t="s">
        <v>470</v>
      </c>
      <c r="FM28" s="602" t="s">
        <v>447</v>
      </c>
      <c r="FN28" s="602" t="s">
        <v>447</v>
      </c>
      <c r="FO28" s="602" t="s">
        <v>547</v>
      </c>
      <c r="FP28" s="884">
        <v>0</v>
      </c>
      <c r="FQ28" s="884">
        <v>1971883462</v>
      </c>
      <c r="FR28" s="884">
        <v>1956814305</v>
      </c>
      <c r="FS28" s="862">
        <f t="shared" si="33"/>
        <v>0</v>
      </c>
      <c r="FT28" s="862">
        <f t="shared" si="34"/>
        <v>2096112.120106</v>
      </c>
      <c r="FU28" s="862">
        <f t="shared" si="35"/>
        <v>2080093.6062149999</v>
      </c>
      <c r="GM28" s="885" t="s">
        <v>451</v>
      </c>
      <c r="GN28" s="886" t="s">
        <v>470</v>
      </c>
      <c r="GO28" s="885" t="s">
        <v>447</v>
      </c>
      <c r="GP28" s="885" t="s">
        <v>447</v>
      </c>
      <c r="GQ28" s="886" t="s">
        <v>547</v>
      </c>
      <c r="GR28" s="887">
        <v>0</v>
      </c>
      <c r="GS28" s="887">
        <v>2499500056</v>
      </c>
      <c r="GT28" s="887">
        <v>2161974339</v>
      </c>
      <c r="GU28" s="887">
        <f t="shared" si="39"/>
        <v>0</v>
      </c>
      <c r="GV28" s="887">
        <f t="shared" si="40"/>
        <v>2656968.5595279997</v>
      </c>
      <c r="GW28" s="887">
        <f t="shared" si="41"/>
        <v>2298178.7223570002</v>
      </c>
      <c r="HO28" s="885" t="s">
        <v>451</v>
      </c>
      <c r="HP28" s="885" t="s">
        <v>470</v>
      </c>
      <c r="HQ28" s="885" t="s">
        <v>447</v>
      </c>
      <c r="HR28" s="885" t="s">
        <v>447</v>
      </c>
      <c r="HS28" s="603" t="s">
        <v>547</v>
      </c>
      <c r="HT28" s="604">
        <v>0</v>
      </c>
      <c r="HU28" s="604">
        <v>7533993895</v>
      </c>
      <c r="HV28" s="604">
        <v>7533993895</v>
      </c>
      <c r="HW28" s="862">
        <f t="shared" si="45"/>
        <v>0</v>
      </c>
      <c r="HX28" s="862">
        <f t="shared" si="46"/>
        <v>7533993.8949999996</v>
      </c>
      <c r="HY28" s="862">
        <f t="shared" si="47"/>
        <v>7533993.8949999996</v>
      </c>
      <c r="IC28" s="602" t="s">
        <v>661</v>
      </c>
      <c r="ID28" s="602" t="s">
        <v>305</v>
      </c>
      <c r="IE28" s="602" t="s">
        <v>447</v>
      </c>
      <c r="IF28" s="602" t="s">
        <v>447</v>
      </c>
      <c r="IG28" s="603" t="s">
        <v>547</v>
      </c>
      <c r="IH28" s="604">
        <v>-70000000</v>
      </c>
      <c r="II28" s="604">
        <v>0</v>
      </c>
      <c r="IJ28" s="604">
        <v>0</v>
      </c>
      <c r="IK28" s="883">
        <f t="shared" si="48"/>
        <v>-70000</v>
      </c>
      <c r="IL28" s="883">
        <f t="shared" si="49"/>
        <v>0</v>
      </c>
      <c r="IM28" s="883">
        <f t="shared" si="50"/>
        <v>0</v>
      </c>
      <c r="IQ28" s="885" t="s">
        <v>451</v>
      </c>
      <c r="IR28" s="885" t="s">
        <v>470</v>
      </c>
      <c r="IS28" s="885" t="s">
        <v>447</v>
      </c>
      <c r="IT28" s="885" t="s">
        <v>447</v>
      </c>
      <c r="IU28" s="886" t="s">
        <v>547</v>
      </c>
      <c r="IV28" s="887">
        <v>11460629000</v>
      </c>
      <c r="IW28" s="887">
        <v>0</v>
      </c>
      <c r="IX28" s="887">
        <v>0</v>
      </c>
      <c r="IY28" s="888">
        <f t="shared" si="59"/>
        <v>11460629</v>
      </c>
      <c r="IZ28" s="888">
        <f t="shared" si="60"/>
        <v>0</v>
      </c>
      <c r="JA28" s="888">
        <f t="shared" si="61"/>
        <v>0</v>
      </c>
      <c r="JE28" s="859"/>
      <c r="JF28" s="859"/>
      <c r="JG28" s="859"/>
      <c r="JH28" s="859"/>
      <c r="JO28" s="884" t="s">
        <v>448</v>
      </c>
      <c r="JP28" s="884" t="s">
        <v>469</v>
      </c>
      <c r="JQ28" s="884" t="s">
        <v>447</v>
      </c>
      <c r="JR28" s="605" t="s">
        <v>447</v>
      </c>
      <c r="JS28" s="605" t="s">
        <v>547</v>
      </c>
      <c r="JT28" s="889">
        <v>0</v>
      </c>
      <c r="JU28" s="889">
        <v>15930849000</v>
      </c>
      <c r="JV28" s="889">
        <v>15930849000</v>
      </c>
      <c r="JW28" s="863">
        <f t="shared" si="55"/>
        <v>0</v>
      </c>
      <c r="JX28" s="863">
        <f t="shared" si="56"/>
        <v>15930849</v>
      </c>
      <c r="JY28" s="863">
        <f t="shared" si="57"/>
        <v>15930849</v>
      </c>
    </row>
    <row r="29" spans="1:285" ht="15" customHeight="1" x14ac:dyDescent="0.3">
      <c r="A29" s="872" t="s">
        <v>662</v>
      </c>
      <c r="B29" s="872" t="s">
        <v>308</v>
      </c>
      <c r="C29" s="872" t="s">
        <v>447</v>
      </c>
      <c r="D29" s="872" t="s">
        <v>447</v>
      </c>
      <c r="E29" s="873">
        <v>3794172000</v>
      </c>
      <c r="F29" s="873">
        <f t="shared" si="7"/>
        <v>4033204.8359999997</v>
      </c>
      <c r="G29" s="873">
        <v>0</v>
      </c>
      <c r="H29" s="873">
        <f t="shared" si="8"/>
        <v>0</v>
      </c>
      <c r="AM29" s="874" t="s">
        <v>660</v>
      </c>
      <c r="AN29" s="874" t="s">
        <v>154</v>
      </c>
      <c r="AO29" s="874" t="s">
        <v>447</v>
      </c>
      <c r="AP29" s="874" t="s">
        <v>447</v>
      </c>
      <c r="AQ29" s="875">
        <v>19245949160</v>
      </c>
      <c r="AR29" s="875">
        <f t="shared" si="58"/>
        <v>20458443.957079999</v>
      </c>
      <c r="AS29" s="875">
        <v>0</v>
      </c>
      <c r="AV29" s="862"/>
      <c r="BG29" s="874" t="s">
        <v>660</v>
      </c>
      <c r="BH29" s="874" t="s">
        <v>154</v>
      </c>
      <c r="BI29" s="874" t="s">
        <v>447</v>
      </c>
      <c r="BJ29" s="874" t="s">
        <v>447</v>
      </c>
      <c r="BK29" s="875">
        <v>19245949160</v>
      </c>
      <c r="BL29" s="875">
        <v>0</v>
      </c>
      <c r="BM29" s="875">
        <v>0</v>
      </c>
      <c r="BN29" s="864">
        <f t="shared" si="1"/>
        <v>20458443.957079999</v>
      </c>
      <c r="BO29" s="864">
        <f t="shared" si="2"/>
        <v>0</v>
      </c>
      <c r="BP29" s="864">
        <f t="shared" si="3"/>
        <v>0</v>
      </c>
      <c r="CH29" s="602" t="s">
        <v>660</v>
      </c>
      <c r="CI29" s="602" t="s">
        <v>154</v>
      </c>
      <c r="CJ29" s="602" t="s">
        <v>447</v>
      </c>
      <c r="CK29" s="602" t="s">
        <v>447</v>
      </c>
      <c r="CL29" s="604">
        <v>19245949160</v>
      </c>
      <c r="CM29" s="604">
        <v>0</v>
      </c>
      <c r="CN29" s="604">
        <v>0</v>
      </c>
      <c r="CO29" s="879">
        <f t="shared" si="15"/>
        <v>20458443.957079999</v>
      </c>
      <c r="CP29" s="879">
        <f t="shared" si="16"/>
        <v>0</v>
      </c>
      <c r="CQ29" s="879">
        <f t="shared" si="17"/>
        <v>0</v>
      </c>
      <c r="DH29" s="602" t="s">
        <v>660</v>
      </c>
      <c r="DI29" s="602" t="s">
        <v>154</v>
      </c>
      <c r="DJ29" s="602" t="s">
        <v>447</v>
      </c>
      <c r="DK29" s="602" t="s">
        <v>447</v>
      </c>
      <c r="DL29" s="604">
        <v>46228663400</v>
      </c>
      <c r="DM29" s="604">
        <v>0</v>
      </c>
      <c r="DN29" s="604">
        <v>0</v>
      </c>
      <c r="DO29" s="862">
        <f t="shared" si="21"/>
        <v>49141069.194199994</v>
      </c>
      <c r="DP29" s="862">
        <f t="shared" si="22"/>
        <v>0</v>
      </c>
      <c r="DQ29" s="862">
        <f t="shared" si="23"/>
        <v>0</v>
      </c>
      <c r="EI29" s="602" t="s">
        <v>659</v>
      </c>
      <c r="EJ29" s="602" t="s">
        <v>221</v>
      </c>
      <c r="EK29" s="602" t="s">
        <v>447</v>
      </c>
      <c r="EL29" s="602" t="s">
        <v>447</v>
      </c>
      <c r="EM29" s="602" t="s">
        <v>547</v>
      </c>
      <c r="EN29" s="602">
        <v>0</v>
      </c>
      <c r="EO29" s="602">
        <v>2007932452</v>
      </c>
      <c r="EP29" s="602">
        <v>1388555993</v>
      </c>
      <c r="EQ29" s="884">
        <f t="shared" si="27"/>
        <v>0</v>
      </c>
      <c r="ER29" s="884">
        <f t="shared" si="28"/>
        <v>2134432.1964759999</v>
      </c>
      <c r="ES29" s="884">
        <f t="shared" si="29"/>
        <v>1476035.0205589999</v>
      </c>
      <c r="FK29" s="602" t="s">
        <v>659</v>
      </c>
      <c r="FL29" s="602" t="s">
        <v>221</v>
      </c>
      <c r="FM29" s="602" t="s">
        <v>447</v>
      </c>
      <c r="FN29" s="602" t="s">
        <v>447</v>
      </c>
      <c r="FO29" s="602" t="s">
        <v>547</v>
      </c>
      <c r="FP29" s="884">
        <v>12345937500</v>
      </c>
      <c r="FQ29" s="884">
        <v>0</v>
      </c>
      <c r="FR29" s="884">
        <v>0</v>
      </c>
      <c r="FS29" s="862">
        <f t="shared" si="33"/>
        <v>13123731.5625</v>
      </c>
      <c r="FT29" s="862">
        <f t="shared" si="34"/>
        <v>0</v>
      </c>
      <c r="FU29" s="862">
        <f t="shared" si="35"/>
        <v>0</v>
      </c>
      <c r="GM29" s="885" t="s">
        <v>659</v>
      </c>
      <c r="GN29" s="886" t="s">
        <v>221</v>
      </c>
      <c r="GO29" s="885" t="s">
        <v>447</v>
      </c>
      <c r="GP29" s="885" t="s">
        <v>447</v>
      </c>
      <c r="GQ29" s="886" t="s">
        <v>547</v>
      </c>
      <c r="GR29" s="887">
        <v>12345937500</v>
      </c>
      <c r="GS29" s="887">
        <v>0</v>
      </c>
      <c r="GT29" s="887">
        <v>0</v>
      </c>
      <c r="GU29" s="887">
        <f t="shared" si="39"/>
        <v>13123731.5625</v>
      </c>
      <c r="GV29" s="887">
        <f t="shared" si="40"/>
        <v>0</v>
      </c>
      <c r="GW29" s="887">
        <f t="shared" si="41"/>
        <v>0</v>
      </c>
      <c r="HO29" s="885" t="s">
        <v>659</v>
      </c>
      <c r="HP29" s="885" t="s">
        <v>221</v>
      </c>
      <c r="HQ29" s="885" t="s">
        <v>447</v>
      </c>
      <c r="HR29" s="885" t="s">
        <v>447</v>
      </c>
      <c r="HS29" s="603" t="s">
        <v>547</v>
      </c>
      <c r="HT29" s="604">
        <v>12345937500</v>
      </c>
      <c r="HU29" s="604">
        <v>0</v>
      </c>
      <c r="HV29" s="604">
        <v>0</v>
      </c>
      <c r="HW29" s="862">
        <f t="shared" si="45"/>
        <v>12345937.5</v>
      </c>
      <c r="HX29" s="862">
        <f t="shared" si="46"/>
        <v>0</v>
      </c>
      <c r="HY29" s="862">
        <f t="shared" si="47"/>
        <v>0</v>
      </c>
      <c r="IC29" s="602" t="s">
        <v>901</v>
      </c>
      <c r="ID29" s="602" t="s">
        <v>902</v>
      </c>
      <c r="IE29" s="602" t="s">
        <v>447</v>
      </c>
      <c r="IF29" s="602" t="s">
        <v>447</v>
      </c>
      <c r="IG29" s="603" t="s">
        <v>547</v>
      </c>
      <c r="IH29" s="604">
        <v>3000000000</v>
      </c>
      <c r="II29" s="604">
        <v>0</v>
      </c>
      <c r="IJ29" s="604">
        <v>0</v>
      </c>
      <c r="IK29" s="883">
        <f t="shared" si="48"/>
        <v>3000000</v>
      </c>
      <c r="IL29" s="883">
        <f t="shared" si="49"/>
        <v>0</v>
      </c>
      <c r="IM29" s="883">
        <f t="shared" si="50"/>
        <v>0</v>
      </c>
      <c r="IQ29" s="885" t="s">
        <v>451</v>
      </c>
      <c r="IR29" s="885" t="s">
        <v>470</v>
      </c>
      <c r="IS29" s="885" t="s">
        <v>447</v>
      </c>
      <c r="IT29" s="885" t="s">
        <v>447</v>
      </c>
      <c r="IU29" s="886" t="s">
        <v>547</v>
      </c>
      <c r="IV29" s="887">
        <v>4161484000</v>
      </c>
      <c r="IW29" s="887">
        <v>0</v>
      </c>
      <c r="IX29" s="887">
        <v>0</v>
      </c>
      <c r="IY29" s="888">
        <f t="shared" si="59"/>
        <v>4161484</v>
      </c>
      <c r="IZ29" s="888">
        <f t="shared" si="60"/>
        <v>0</v>
      </c>
      <c r="JA29" s="888">
        <f t="shared" si="61"/>
        <v>0</v>
      </c>
      <c r="JE29" s="859"/>
      <c r="JF29" s="859"/>
      <c r="JG29" s="859"/>
      <c r="JH29" s="859"/>
      <c r="JO29" s="884" t="s">
        <v>451</v>
      </c>
      <c r="JP29" s="884" t="s">
        <v>470</v>
      </c>
      <c r="JQ29" s="884" t="s">
        <v>447</v>
      </c>
      <c r="JR29" s="605" t="s">
        <v>447</v>
      </c>
      <c r="JS29" s="605" t="s">
        <v>547</v>
      </c>
      <c r="JT29" s="889">
        <v>11998966894</v>
      </c>
      <c r="JU29" s="889">
        <v>0</v>
      </c>
      <c r="JV29" s="889">
        <v>0</v>
      </c>
      <c r="JW29" s="863">
        <f t="shared" si="55"/>
        <v>11998966.893999999</v>
      </c>
      <c r="JX29" s="863">
        <f t="shared" si="56"/>
        <v>0</v>
      </c>
      <c r="JY29" s="863">
        <f t="shared" si="57"/>
        <v>0</v>
      </c>
    </row>
    <row r="30" spans="1:285" ht="15" customHeight="1" x14ac:dyDescent="0.3">
      <c r="A30" s="872" t="s">
        <v>662</v>
      </c>
      <c r="B30" s="872" t="s">
        <v>308</v>
      </c>
      <c r="C30" s="872" t="s">
        <v>447</v>
      </c>
      <c r="D30" s="872" t="s">
        <v>447</v>
      </c>
      <c r="E30" s="873">
        <v>0</v>
      </c>
      <c r="F30" s="873">
        <f t="shared" si="7"/>
        <v>0</v>
      </c>
      <c r="G30" s="873">
        <v>198638025</v>
      </c>
      <c r="H30" s="873">
        <f t="shared" si="8"/>
        <v>211152.22057499998</v>
      </c>
      <c r="AM30" s="874" t="s">
        <v>660</v>
      </c>
      <c r="AN30" s="874" t="s">
        <v>154</v>
      </c>
      <c r="AO30" s="874" t="s">
        <v>447</v>
      </c>
      <c r="AP30" s="874" t="s">
        <v>447</v>
      </c>
      <c r="AQ30" s="875">
        <v>0</v>
      </c>
      <c r="AR30" s="875">
        <f t="shared" si="58"/>
        <v>0</v>
      </c>
      <c r="AS30" s="875">
        <v>4319575750</v>
      </c>
      <c r="AV30" s="862"/>
      <c r="BG30" s="874" t="s">
        <v>660</v>
      </c>
      <c r="BH30" s="874" t="s">
        <v>154</v>
      </c>
      <c r="BI30" s="874" t="s">
        <v>447</v>
      </c>
      <c r="BJ30" s="874" t="s">
        <v>447</v>
      </c>
      <c r="BK30" s="875">
        <v>0</v>
      </c>
      <c r="BL30" s="875">
        <v>4635337747</v>
      </c>
      <c r="BM30" s="875">
        <v>4560337748</v>
      </c>
      <c r="BN30" s="864">
        <f t="shared" si="1"/>
        <v>0</v>
      </c>
      <c r="BO30" s="864">
        <f t="shared" si="2"/>
        <v>4927364.0250610001</v>
      </c>
      <c r="BP30" s="864">
        <f t="shared" si="3"/>
        <v>4847639.0261239996</v>
      </c>
      <c r="CH30" s="602" t="s">
        <v>660</v>
      </c>
      <c r="CI30" s="602" t="s">
        <v>154</v>
      </c>
      <c r="CJ30" s="602" t="s">
        <v>447</v>
      </c>
      <c r="CK30" s="602" t="s">
        <v>447</v>
      </c>
      <c r="CL30" s="604">
        <v>0</v>
      </c>
      <c r="CM30" s="604">
        <v>4897774975</v>
      </c>
      <c r="CN30" s="604">
        <v>4897774975</v>
      </c>
      <c r="CO30" s="879">
        <f t="shared" si="15"/>
        <v>0</v>
      </c>
      <c r="CP30" s="879">
        <f t="shared" si="16"/>
        <v>5206334.7984249992</v>
      </c>
      <c r="CQ30" s="879">
        <f t="shared" si="17"/>
        <v>5206334.7984249992</v>
      </c>
      <c r="DH30" s="602" t="s">
        <v>660</v>
      </c>
      <c r="DI30" s="602" t="s">
        <v>154</v>
      </c>
      <c r="DJ30" s="602" t="s">
        <v>447</v>
      </c>
      <c r="DK30" s="602" t="s">
        <v>447</v>
      </c>
      <c r="DL30" s="604">
        <v>0</v>
      </c>
      <c r="DM30" s="604">
        <v>5288703494</v>
      </c>
      <c r="DN30" s="604">
        <v>5250685229</v>
      </c>
      <c r="DO30" s="862">
        <f t="shared" si="21"/>
        <v>0</v>
      </c>
      <c r="DP30" s="862">
        <f t="shared" si="22"/>
        <v>5621891.8141219998</v>
      </c>
      <c r="DQ30" s="862">
        <f t="shared" si="23"/>
        <v>5581478.3984270003</v>
      </c>
      <c r="EI30" s="602" t="s">
        <v>660</v>
      </c>
      <c r="EJ30" s="602" t="s">
        <v>154</v>
      </c>
      <c r="EK30" s="602" t="s">
        <v>447</v>
      </c>
      <c r="EL30" s="602" t="s">
        <v>447</v>
      </c>
      <c r="EM30" s="602" t="s">
        <v>547</v>
      </c>
      <c r="EN30" s="602">
        <v>46228663400</v>
      </c>
      <c r="EO30" s="602">
        <v>0</v>
      </c>
      <c r="EP30" s="602">
        <v>0</v>
      </c>
      <c r="EQ30" s="884">
        <f t="shared" si="27"/>
        <v>49141069.194199994</v>
      </c>
      <c r="ER30" s="884">
        <f t="shared" si="28"/>
        <v>0</v>
      </c>
      <c r="ES30" s="884">
        <f t="shared" si="29"/>
        <v>0</v>
      </c>
      <c r="FK30" s="602" t="s">
        <v>659</v>
      </c>
      <c r="FL30" s="602" t="s">
        <v>221</v>
      </c>
      <c r="FM30" s="602" t="s">
        <v>447</v>
      </c>
      <c r="FN30" s="602" t="s">
        <v>447</v>
      </c>
      <c r="FO30" s="602" t="s">
        <v>547</v>
      </c>
      <c r="FP30" s="884">
        <v>0</v>
      </c>
      <c r="FQ30" s="884">
        <v>2805575974</v>
      </c>
      <c r="FR30" s="884">
        <v>2075994214</v>
      </c>
      <c r="FS30" s="862">
        <f t="shared" si="33"/>
        <v>0</v>
      </c>
      <c r="FT30" s="862">
        <f t="shared" si="34"/>
        <v>2982327.2603619997</v>
      </c>
      <c r="FU30" s="862">
        <f t="shared" si="35"/>
        <v>2206781.8494819999</v>
      </c>
      <c r="GM30" s="885" t="s">
        <v>659</v>
      </c>
      <c r="GN30" s="886" t="s">
        <v>221</v>
      </c>
      <c r="GO30" s="885" t="s">
        <v>447</v>
      </c>
      <c r="GP30" s="885" t="s">
        <v>447</v>
      </c>
      <c r="GQ30" s="886" t="s">
        <v>547</v>
      </c>
      <c r="GR30" s="887">
        <v>0</v>
      </c>
      <c r="GS30" s="887">
        <v>3290902633</v>
      </c>
      <c r="GT30" s="887">
        <v>2707077407</v>
      </c>
      <c r="GU30" s="887">
        <f t="shared" si="39"/>
        <v>0</v>
      </c>
      <c r="GV30" s="887">
        <f t="shared" si="40"/>
        <v>3498229.4988789996</v>
      </c>
      <c r="GW30" s="887">
        <f t="shared" si="41"/>
        <v>2877623.2836409998</v>
      </c>
      <c r="HO30" s="885" t="s">
        <v>659</v>
      </c>
      <c r="HP30" s="885" t="s">
        <v>221</v>
      </c>
      <c r="HQ30" s="885" t="s">
        <v>447</v>
      </c>
      <c r="HR30" s="885" t="s">
        <v>447</v>
      </c>
      <c r="HS30" s="603" t="s">
        <v>547</v>
      </c>
      <c r="HT30" s="604">
        <v>0</v>
      </c>
      <c r="HU30" s="604">
        <v>4076853221</v>
      </c>
      <c r="HV30" s="604">
        <v>3265977408</v>
      </c>
      <c r="HW30" s="862">
        <f t="shared" si="45"/>
        <v>0</v>
      </c>
      <c r="HX30" s="862">
        <f t="shared" si="46"/>
        <v>4076853.2209999999</v>
      </c>
      <c r="HY30" s="862">
        <f t="shared" si="47"/>
        <v>3265977.4079999998</v>
      </c>
      <c r="IC30" s="602" t="s">
        <v>901</v>
      </c>
      <c r="ID30" s="602" t="s">
        <v>902</v>
      </c>
      <c r="IE30" s="602" t="s">
        <v>447</v>
      </c>
      <c r="IF30" s="602" t="s">
        <v>447</v>
      </c>
      <c r="IG30" s="603" t="s">
        <v>547</v>
      </c>
      <c r="IH30" s="604">
        <v>0</v>
      </c>
      <c r="II30" s="604">
        <v>4482957662</v>
      </c>
      <c r="IJ30" s="604">
        <v>2470419206</v>
      </c>
      <c r="IK30" s="883">
        <f t="shared" si="48"/>
        <v>0</v>
      </c>
      <c r="IL30" s="883">
        <f t="shared" si="49"/>
        <v>4482957.6619999995</v>
      </c>
      <c r="IM30" s="883">
        <f t="shared" si="50"/>
        <v>2470419.2059999998</v>
      </c>
      <c r="IQ30" s="885" t="s">
        <v>451</v>
      </c>
      <c r="IR30" s="885" t="s">
        <v>470</v>
      </c>
      <c r="IS30" s="885" t="s">
        <v>447</v>
      </c>
      <c r="IT30" s="885" t="s">
        <v>447</v>
      </c>
      <c r="IU30" s="886" t="s">
        <v>547</v>
      </c>
      <c r="IV30" s="887">
        <v>0</v>
      </c>
      <c r="IW30" s="887">
        <v>3801872839</v>
      </c>
      <c r="IX30" s="887">
        <v>3790438810</v>
      </c>
      <c r="IY30" s="888">
        <f t="shared" si="59"/>
        <v>0</v>
      </c>
      <c r="IZ30" s="888">
        <f t="shared" si="60"/>
        <v>3801872.8390000002</v>
      </c>
      <c r="JA30" s="888">
        <f t="shared" si="61"/>
        <v>3790438.81</v>
      </c>
      <c r="JE30" s="859"/>
      <c r="JF30" s="859"/>
      <c r="JG30" s="859"/>
      <c r="JH30" s="859"/>
      <c r="JO30" s="884" t="s">
        <v>451</v>
      </c>
      <c r="JP30" s="884" t="s">
        <v>470</v>
      </c>
      <c r="JQ30" s="884" t="s">
        <v>447</v>
      </c>
      <c r="JR30" s="605" t="s">
        <v>447</v>
      </c>
      <c r="JS30" s="605" t="s">
        <v>547</v>
      </c>
      <c r="JT30" s="889">
        <v>5222934106</v>
      </c>
      <c r="JU30" s="889">
        <v>0</v>
      </c>
      <c r="JV30" s="889">
        <v>0</v>
      </c>
      <c r="JW30" s="863">
        <f t="shared" si="55"/>
        <v>5222934.1059999997</v>
      </c>
      <c r="JX30" s="863">
        <f t="shared" si="56"/>
        <v>0</v>
      </c>
      <c r="JY30" s="863">
        <f t="shared" si="57"/>
        <v>0</v>
      </c>
    </row>
    <row r="31" spans="1:285" ht="15" customHeight="1" x14ac:dyDescent="0.3">
      <c r="A31" s="872" t="s">
        <v>663</v>
      </c>
      <c r="B31" s="872" t="s">
        <v>266</v>
      </c>
      <c r="C31" s="872" t="s">
        <v>447</v>
      </c>
      <c r="D31" s="872" t="s">
        <v>447</v>
      </c>
      <c r="E31" s="873">
        <v>3161810000</v>
      </c>
      <c r="F31" s="873">
        <f t="shared" si="7"/>
        <v>3361004.03</v>
      </c>
      <c r="G31" s="873">
        <v>0</v>
      </c>
      <c r="H31" s="873">
        <f t="shared" si="8"/>
        <v>0</v>
      </c>
      <c r="AM31" s="874" t="s">
        <v>661</v>
      </c>
      <c r="AN31" s="874" t="s">
        <v>305</v>
      </c>
      <c r="AO31" s="874" t="s">
        <v>447</v>
      </c>
      <c r="AP31" s="874" t="s">
        <v>447</v>
      </c>
      <c r="AQ31" s="875">
        <v>17009710340</v>
      </c>
      <c r="AR31" s="875">
        <f t="shared" si="58"/>
        <v>18081322.091419999</v>
      </c>
      <c r="AS31" s="875">
        <v>0</v>
      </c>
      <c r="AV31" s="862"/>
      <c r="BG31" s="874" t="s">
        <v>661</v>
      </c>
      <c r="BH31" s="874" t="s">
        <v>305</v>
      </c>
      <c r="BI31" s="874" t="s">
        <v>447</v>
      </c>
      <c r="BJ31" s="874" t="s">
        <v>447</v>
      </c>
      <c r="BK31" s="875">
        <v>17009710340</v>
      </c>
      <c r="BL31" s="875">
        <v>0</v>
      </c>
      <c r="BM31" s="875">
        <v>0</v>
      </c>
      <c r="BN31" s="864">
        <f t="shared" si="1"/>
        <v>18081322.091419999</v>
      </c>
      <c r="BO31" s="864">
        <f t="shared" si="2"/>
        <v>0</v>
      </c>
      <c r="BP31" s="864">
        <f t="shared" si="3"/>
        <v>0</v>
      </c>
      <c r="CH31" s="602" t="s">
        <v>661</v>
      </c>
      <c r="CI31" s="602" t="s">
        <v>305</v>
      </c>
      <c r="CJ31" s="602" t="s">
        <v>447</v>
      </c>
      <c r="CK31" s="602" t="s">
        <v>447</v>
      </c>
      <c r="CL31" s="604">
        <v>17009710340</v>
      </c>
      <c r="CM31" s="604">
        <v>0</v>
      </c>
      <c r="CN31" s="604">
        <v>0</v>
      </c>
      <c r="CO31" s="879">
        <f t="shared" si="15"/>
        <v>18081322.091419999</v>
      </c>
      <c r="CP31" s="879">
        <f t="shared" si="16"/>
        <v>0</v>
      </c>
      <c r="CQ31" s="879">
        <f t="shared" si="17"/>
        <v>0</v>
      </c>
      <c r="DH31" s="602" t="s">
        <v>661</v>
      </c>
      <c r="DI31" s="602" t="s">
        <v>305</v>
      </c>
      <c r="DJ31" s="602" t="s">
        <v>447</v>
      </c>
      <c r="DK31" s="602" t="s">
        <v>447</v>
      </c>
      <c r="DL31" s="604">
        <v>17885599340</v>
      </c>
      <c r="DM31" s="604">
        <v>0</v>
      </c>
      <c r="DN31" s="604">
        <v>0</v>
      </c>
      <c r="DO31" s="862">
        <f t="shared" si="21"/>
        <v>19012392.098419998</v>
      </c>
      <c r="DP31" s="862">
        <f t="shared" si="22"/>
        <v>0</v>
      </c>
      <c r="DQ31" s="862">
        <f t="shared" si="23"/>
        <v>0</v>
      </c>
      <c r="EI31" s="602" t="s">
        <v>660</v>
      </c>
      <c r="EJ31" s="602" t="s">
        <v>154</v>
      </c>
      <c r="EK31" s="602" t="s">
        <v>447</v>
      </c>
      <c r="EL31" s="602" t="s">
        <v>447</v>
      </c>
      <c r="EM31" s="602" t="s">
        <v>547</v>
      </c>
      <c r="EN31" s="602">
        <v>0</v>
      </c>
      <c r="EO31" s="602">
        <v>19272253726</v>
      </c>
      <c r="EP31" s="602">
        <v>6471211920</v>
      </c>
      <c r="EQ31" s="884">
        <f t="shared" si="27"/>
        <v>0</v>
      </c>
      <c r="ER31" s="884">
        <f t="shared" si="28"/>
        <v>20486405.710738</v>
      </c>
      <c r="ES31" s="884">
        <f t="shared" si="29"/>
        <v>6878898.2709599994</v>
      </c>
      <c r="FK31" s="602" t="s">
        <v>660</v>
      </c>
      <c r="FL31" s="602" t="s">
        <v>154</v>
      </c>
      <c r="FM31" s="602" t="s">
        <v>447</v>
      </c>
      <c r="FN31" s="602" t="s">
        <v>447</v>
      </c>
      <c r="FO31" s="602" t="s">
        <v>547</v>
      </c>
      <c r="FP31" s="884">
        <v>60228663400</v>
      </c>
      <c r="FQ31" s="884">
        <v>0</v>
      </c>
      <c r="FR31" s="884">
        <v>0</v>
      </c>
      <c r="FS31" s="862">
        <f t="shared" si="33"/>
        <v>64023069.194199994</v>
      </c>
      <c r="FT31" s="862">
        <f t="shared" si="34"/>
        <v>0</v>
      </c>
      <c r="FU31" s="862">
        <f t="shared" si="35"/>
        <v>0</v>
      </c>
      <c r="GM31" s="885" t="s">
        <v>660</v>
      </c>
      <c r="GN31" s="886" t="s">
        <v>154</v>
      </c>
      <c r="GO31" s="885" t="s">
        <v>447</v>
      </c>
      <c r="GP31" s="885" t="s">
        <v>447</v>
      </c>
      <c r="GQ31" s="886" t="s">
        <v>547</v>
      </c>
      <c r="GR31" s="887">
        <v>60228663400</v>
      </c>
      <c r="GS31" s="887">
        <v>0</v>
      </c>
      <c r="GT31" s="887">
        <v>0</v>
      </c>
      <c r="GU31" s="887">
        <f t="shared" si="39"/>
        <v>64023069.194199994</v>
      </c>
      <c r="GV31" s="887">
        <f t="shared" si="40"/>
        <v>0</v>
      </c>
      <c r="GW31" s="887">
        <f t="shared" si="41"/>
        <v>0</v>
      </c>
      <c r="HO31" s="885" t="s">
        <v>660</v>
      </c>
      <c r="HP31" s="885" t="s">
        <v>154</v>
      </c>
      <c r="HQ31" s="885" t="s">
        <v>447</v>
      </c>
      <c r="HR31" s="885" t="s">
        <v>447</v>
      </c>
      <c r="HS31" s="603" t="s">
        <v>547</v>
      </c>
      <c r="HT31" s="604">
        <v>58228663400</v>
      </c>
      <c r="HU31" s="604">
        <v>0</v>
      </c>
      <c r="HV31" s="604">
        <v>0</v>
      </c>
      <c r="HW31" s="862">
        <f t="shared" si="45"/>
        <v>58228663.399999999</v>
      </c>
      <c r="HX31" s="862">
        <f t="shared" si="46"/>
        <v>0</v>
      </c>
      <c r="HY31" s="862">
        <f t="shared" si="47"/>
        <v>0</v>
      </c>
      <c r="IC31" s="602" t="s">
        <v>662</v>
      </c>
      <c r="ID31" s="602" t="s">
        <v>308</v>
      </c>
      <c r="IE31" s="602" t="s">
        <v>447</v>
      </c>
      <c r="IF31" s="602" t="s">
        <v>447</v>
      </c>
      <c r="IG31" s="603" t="s">
        <v>547</v>
      </c>
      <c r="IH31" s="604">
        <v>0</v>
      </c>
      <c r="II31" s="604">
        <v>413909181</v>
      </c>
      <c r="IJ31" s="604">
        <v>1259359920</v>
      </c>
      <c r="IK31" s="883">
        <f t="shared" si="48"/>
        <v>0</v>
      </c>
      <c r="IL31" s="883">
        <f t="shared" si="49"/>
        <v>413909.18099999998</v>
      </c>
      <c r="IM31" s="883">
        <f t="shared" si="50"/>
        <v>1259359.92</v>
      </c>
      <c r="IQ31" s="885" t="s">
        <v>451</v>
      </c>
      <c r="IR31" s="885" t="s">
        <v>470</v>
      </c>
      <c r="IS31" s="885" t="s">
        <v>447</v>
      </c>
      <c r="IT31" s="885" t="s">
        <v>447</v>
      </c>
      <c r="IU31" s="886" t="s">
        <v>547</v>
      </c>
      <c r="IV31" s="887">
        <v>0</v>
      </c>
      <c r="IW31" s="887">
        <v>11292890397</v>
      </c>
      <c r="IX31" s="887">
        <v>11226208281</v>
      </c>
      <c r="IY31" s="888">
        <f t="shared" si="59"/>
        <v>0</v>
      </c>
      <c r="IZ31" s="888">
        <f t="shared" si="60"/>
        <v>11292890.397</v>
      </c>
      <c r="JA31" s="888">
        <f t="shared" si="61"/>
        <v>11226208.280999999</v>
      </c>
      <c r="JE31" s="859"/>
      <c r="JF31" s="859"/>
      <c r="JG31" s="859"/>
      <c r="JH31" s="859"/>
      <c r="JO31" s="884" t="s">
        <v>451</v>
      </c>
      <c r="JP31" s="884" t="s">
        <v>470</v>
      </c>
      <c r="JQ31" s="884" t="s">
        <v>447</v>
      </c>
      <c r="JR31" s="605" t="s">
        <v>447</v>
      </c>
      <c r="JS31" s="605" t="s">
        <v>547</v>
      </c>
      <c r="JT31" s="889">
        <v>0</v>
      </c>
      <c r="JU31" s="889">
        <v>11998966894</v>
      </c>
      <c r="JV31" s="889">
        <v>11998966894</v>
      </c>
      <c r="JW31" s="863">
        <f t="shared" si="55"/>
        <v>0</v>
      </c>
      <c r="JX31" s="863">
        <f t="shared" si="56"/>
        <v>11998966.893999999</v>
      </c>
      <c r="JY31" s="863">
        <f t="shared" si="57"/>
        <v>11998966.893999999</v>
      </c>
    </row>
    <row r="32" spans="1:285" ht="15" customHeight="1" x14ac:dyDescent="0.3">
      <c r="A32" s="872" t="s">
        <v>663</v>
      </c>
      <c r="B32" s="872" t="s">
        <v>266</v>
      </c>
      <c r="C32" s="872" t="s">
        <v>447</v>
      </c>
      <c r="D32" s="872" t="s">
        <v>447</v>
      </c>
      <c r="E32" s="873">
        <v>0</v>
      </c>
      <c r="F32" s="873">
        <f t="shared" si="7"/>
        <v>0</v>
      </c>
      <c r="G32" s="873">
        <v>0</v>
      </c>
      <c r="H32" s="873">
        <f t="shared" si="8"/>
        <v>0</v>
      </c>
      <c r="AM32" s="874" t="s">
        <v>661</v>
      </c>
      <c r="AN32" s="874" t="s">
        <v>305</v>
      </c>
      <c r="AO32" s="874" t="s">
        <v>447</v>
      </c>
      <c r="AP32" s="874" t="s">
        <v>447</v>
      </c>
      <c r="AQ32" s="875">
        <v>0</v>
      </c>
      <c r="AR32" s="875">
        <f t="shared" si="58"/>
        <v>0</v>
      </c>
      <c r="AS32" s="875">
        <v>4282043448</v>
      </c>
      <c r="AV32" s="862"/>
      <c r="BG32" s="874" t="s">
        <v>661</v>
      </c>
      <c r="BH32" s="874" t="s">
        <v>305</v>
      </c>
      <c r="BI32" s="874" t="s">
        <v>447</v>
      </c>
      <c r="BJ32" s="874" t="s">
        <v>447</v>
      </c>
      <c r="BK32" s="875">
        <v>0</v>
      </c>
      <c r="BL32" s="875">
        <v>8846911670</v>
      </c>
      <c r="BM32" s="875">
        <v>8652019656</v>
      </c>
      <c r="BN32" s="864">
        <f t="shared" si="1"/>
        <v>0</v>
      </c>
      <c r="BO32" s="864">
        <f t="shared" si="2"/>
        <v>9404267.1052099988</v>
      </c>
      <c r="BP32" s="864">
        <f t="shared" si="3"/>
        <v>9197096.8943279982</v>
      </c>
      <c r="CH32" s="602" t="s">
        <v>661</v>
      </c>
      <c r="CI32" s="602" t="s">
        <v>305</v>
      </c>
      <c r="CJ32" s="602" t="s">
        <v>447</v>
      </c>
      <c r="CK32" s="602" t="s">
        <v>447</v>
      </c>
      <c r="CL32" s="604">
        <v>0</v>
      </c>
      <c r="CM32" s="604">
        <v>8846911670</v>
      </c>
      <c r="CN32" s="604">
        <v>8652019656</v>
      </c>
      <c r="CO32" s="879">
        <f t="shared" si="15"/>
        <v>0</v>
      </c>
      <c r="CP32" s="879">
        <f t="shared" si="16"/>
        <v>9404267.1052099988</v>
      </c>
      <c r="CQ32" s="879">
        <f t="shared" si="17"/>
        <v>9197096.8943279982</v>
      </c>
      <c r="DH32" s="602" t="s">
        <v>661</v>
      </c>
      <c r="DI32" s="602" t="s">
        <v>305</v>
      </c>
      <c r="DJ32" s="602" t="s">
        <v>447</v>
      </c>
      <c r="DK32" s="602" t="s">
        <v>447</v>
      </c>
      <c r="DL32" s="604">
        <v>0</v>
      </c>
      <c r="DM32" s="604">
        <v>8949202163</v>
      </c>
      <c r="DN32" s="604">
        <v>8921809832</v>
      </c>
      <c r="DO32" s="862">
        <f t="shared" si="21"/>
        <v>0</v>
      </c>
      <c r="DP32" s="862">
        <f t="shared" si="22"/>
        <v>9513001.8992689997</v>
      </c>
      <c r="DQ32" s="862">
        <f t="shared" si="23"/>
        <v>9483883.8514159992</v>
      </c>
      <c r="EI32" s="602" t="s">
        <v>661</v>
      </c>
      <c r="EJ32" s="602" t="s">
        <v>305</v>
      </c>
      <c r="EK32" s="602" t="s">
        <v>447</v>
      </c>
      <c r="EL32" s="602" t="s">
        <v>447</v>
      </c>
      <c r="EM32" s="602" t="s">
        <v>547</v>
      </c>
      <c r="EN32" s="602">
        <v>17885599340</v>
      </c>
      <c r="EO32" s="602">
        <v>0</v>
      </c>
      <c r="EP32" s="602">
        <v>0</v>
      </c>
      <c r="EQ32" s="884">
        <f t="shared" si="27"/>
        <v>19012392.098419998</v>
      </c>
      <c r="ER32" s="884">
        <f t="shared" si="28"/>
        <v>0</v>
      </c>
      <c r="ES32" s="884">
        <f t="shared" si="29"/>
        <v>0</v>
      </c>
      <c r="FK32" s="602" t="s">
        <v>660</v>
      </c>
      <c r="FL32" s="602" t="s">
        <v>154</v>
      </c>
      <c r="FM32" s="602" t="s">
        <v>447</v>
      </c>
      <c r="FN32" s="602" t="s">
        <v>447</v>
      </c>
      <c r="FO32" s="602" t="s">
        <v>547</v>
      </c>
      <c r="FP32" s="884">
        <v>0</v>
      </c>
      <c r="FQ32" s="884">
        <v>33622000485</v>
      </c>
      <c r="FR32" s="884">
        <v>33489677511</v>
      </c>
      <c r="FS32" s="862">
        <f t="shared" si="33"/>
        <v>0</v>
      </c>
      <c r="FT32" s="862">
        <f t="shared" si="34"/>
        <v>35740186.515554994</v>
      </c>
      <c r="FU32" s="862">
        <f t="shared" si="35"/>
        <v>35599527.194192998</v>
      </c>
      <c r="GM32" s="885" t="s">
        <v>660</v>
      </c>
      <c r="GN32" s="886" t="s">
        <v>154</v>
      </c>
      <c r="GO32" s="885" t="s">
        <v>447</v>
      </c>
      <c r="GP32" s="885" t="s">
        <v>447</v>
      </c>
      <c r="GQ32" s="886" t="s">
        <v>547</v>
      </c>
      <c r="GR32" s="887">
        <v>0</v>
      </c>
      <c r="GS32" s="887">
        <v>37632239533</v>
      </c>
      <c r="GT32" s="887">
        <v>36762631218</v>
      </c>
      <c r="GU32" s="887">
        <f t="shared" si="39"/>
        <v>0</v>
      </c>
      <c r="GV32" s="887">
        <f t="shared" si="40"/>
        <v>40003070.623578995</v>
      </c>
      <c r="GW32" s="887">
        <f t="shared" si="41"/>
        <v>39078676.984733999</v>
      </c>
      <c r="HO32" s="885" t="s">
        <v>660</v>
      </c>
      <c r="HP32" s="885" t="s">
        <v>154</v>
      </c>
      <c r="HQ32" s="885" t="s">
        <v>447</v>
      </c>
      <c r="HR32" s="885" t="s">
        <v>447</v>
      </c>
      <c r="HS32" s="603" t="s">
        <v>547</v>
      </c>
      <c r="HT32" s="604">
        <v>0</v>
      </c>
      <c r="HU32" s="604">
        <v>40471835479</v>
      </c>
      <c r="HV32" s="604">
        <v>39001201314</v>
      </c>
      <c r="HW32" s="862">
        <f t="shared" si="45"/>
        <v>0</v>
      </c>
      <c r="HX32" s="862">
        <f t="shared" si="46"/>
        <v>40471835.479000002</v>
      </c>
      <c r="HY32" s="862">
        <f t="shared" si="47"/>
        <v>39001201.314000003</v>
      </c>
      <c r="IC32" s="602" t="s">
        <v>662</v>
      </c>
      <c r="ID32" s="602" t="s">
        <v>308</v>
      </c>
      <c r="IE32" s="602" t="s">
        <v>447</v>
      </c>
      <c r="IF32" s="602" t="s">
        <v>447</v>
      </c>
      <c r="IG32" s="603" t="s">
        <v>547</v>
      </c>
      <c r="IH32" s="604">
        <v>-534777315</v>
      </c>
      <c r="II32" s="604">
        <v>0</v>
      </c>
      <c r="IJ32" s="604">
        <v>0</v>
      </c>
      <c r="IK32" s="883">
        <f t="shared" si="48"/>
        <v>-534777.31499999994</v>
      </c>
      <c r="IL32" s="883">
        <f t="shared" si="49"/>
        <v>0</v>
      </c>
      <c r="IM32" s="883">
        <f t="shared" si="50"/>
        <v>0</v>
      </c>
      <c r="IQ32" s="885" t="s">
        <v>659</v>
      </c>
      <c r="IR32" s="885" t="s">
        <v>221</v>
      </c>
      <c r="IS32" s="885" t="s">
        <v>447</v>
      </c>
      <c r="IT32" s="885" t="s">
        <v>447</v>
      </c>
      <c r="IU32" s="886" t="s">
        <v>547</v>
      </c>
      <c r="IV32" s="887">
        <v>9345937500</v>
      </c>
      <c r="IW32" s="887">
        <v>0</v>
      </c>
      <c r="IX32" s="887">
        <v>0</v>
      </c>
      <c r="IY32" s="888">
        <f t="shared" si="59"/>
        <v>9345937.5</v>
      </c>
      <c r="IZ32" s="888">
        <f t="shared" si="60"/>
        <v>0</v>
      </c>
      <c r="JA32" s="888">
        <f t="shared" si="61"/>
        <v>0</v>
      </c>
      <c r="JE32" s="859"/>
      <c r="JF32" s="859"/>
      <c r="JG32" s="859"/>
      <c r="JH32" s="859"/>
      <c r="JO32" s="884" t="s">
        <v>451</v>
      </c>
      <c r="JP32" s="884" t="s">
        <v>470</v>
      </c>
      <c r="JQ32" s="884" t="s">
        <v>447</v>
      </c>
      <c r="JR32" s="605" t="s">
        <v>447</v>
      </c>
      <c r="JS32" s="605" t="s">
        <v>547</v>
      </c>
      <c r="JT32" s="889">
        <v>0</v>
      </c>
      <c r="JU32" s="889">
        <v>5222934106</v>
      </c>
      <c r="JV32" s="889">
        <v>5222934106</v>
      </c>
      <c r="JW32" s="863">
        <f t="shared" si="55"/>
        <v>0</v>
      </c>
      <c r="JX32" s="863">
        <f t="shared" si="56"/>
        <v>5222934.1059999997</v>
      </c>
      <c r="JY32" s="863">
        <f t="shared" si="57"/>
        <v>5222934.1059999997</v>
      </c>
    </row>
    <row r="33" spans="1:285" ht="15" customHeight="1" x14ac:dyDescent="0.3">
      <c r="A33" s="872" t="s">
        <v>664</v>
      </c>
      <c r="B33" s="872" t="s">
        <v>267</v>
      </c>
      <c r="C33" s="872" t="s">
        <v>447</v>
      </c>
      <c r="D33" s="872" t="s">
        <v>447</v>
      </c>
      <c r="E33" s="873">
        <v>948543000</v>
      </c>
      <c r="F33" s="873">
        <f t="shared" si="7"/>
        <v>1008301.2089999999</v>
      </c>
      <c r="G33" s="873">
        <v>0</v>
      </c>
      <c r="H33" s="873">
        <f t="shared" si="8"/>
        <v>0</v>
      </c>
      <c r="AM33" s="874" t="s">
        <v>662</v>
      </c>
      <c r="AN33" s="874" t="s">
        <v>308</v>
      </c>
      <c r="AO33" s="874" t="s">
        <v>447</v>
      </c>
      <c r="AP33" s="874" t="s">
        <v>447</v>
      </c>
      <c r="AQ33" s="875">
        <v>6668896304</v>
      </c>
      <c r="AR33" s="875">
        <f t="shared" si="58"/>
        <v>7089036.771151999</v>
      </c>
      <c r="AS33" s="875">
        <v>0</v>
      </c>
      <c r="AV33" s="862"/>
      <c r="BG33" s="874" t="s">
        <v>662</v>
      </c>
      <c r="BH33" s="874" t="s">
        <v>308</v>
      </c>
      <c r="BI33" s="874" t="s">
        <v>447</v>
      </c>
      <c r="BJ33" s="874" t="s">
        <v>447</v>
      </c>
      <c r="BK33" s="875">
        <v>6668896304</v>
      </c>
      <c r="BL33" s="875">
        <v>0</v>
      </c>
      <c r="BM33" s="875">
        <v>0</v>
      </c>
      <c r="BN33" s="864">
        <f t="shared" si="1"/>
        <v>7089036.771151999</v>
      </c>
      <c r="BO33" s="864">
        <f t="shared" si="2"/>
        <v>0</v>
      </c>
      <c r="BP33" s="864">
        <f t="shared" si="3"/>
        <v>0</v>
      </c>
      <c r="CH33" s="602" t="s">
        <v>662</v>
      </c>
      <c r="CI33" s="602" t="s">
        <v>308</v>
      </c>
      <c r="CJ33" s="602" t="s">
        <v>447</v>
      </c>
      <c r="CK33" s="602" t="s">
        <v>447</v>
      </c>
      <c r="CL33" s="604">
        <v>6668896304</v>
      </c>
      <c r="CM33" s="604">
        <v>0</v>
      </c>
      <c r="CN33" s="604">
        <v>0</v>
      </c>
      <c r="CO33" s="879">
        <f t="shared" si="15"/>
        <v>7089036.771151999</v>
      </c>
      <c r="CP33" s="879">
        <f t="shared" si="16"/>
        <v>0</v>
      </c>
      <c r="CQ33" s="879">
        <f t="shared" si="17"/>
        <v>0</v>
      </c>
      <c r="DH33" s="602" t="s">
        <v>662</v>
      </c>
      <c r="DI33" s="602" t="s">
        <v>308</v>
      </c>
      <c r="DJ33" s="602" t="s">
        <v>447</v>
      </c>
      <c r="DK33" s="602" t="s">
        <v>447</v>
      </c>
      <c r="DL33" s="604">
        <v>6668896304</v>
      </c>
      <c r="DM33" s="604">
        <v>0</v>
      </c>
      <c r="DN33" s="604">
        <v>0</v>
      </c>
      <c r="DO33" s="862">
        <f t="shared" si="21"/>
        <v>7089036.771151999</v>
      </c>
      <c r="DP33" s="862">
        <f t="shared" si="22"/>
        <v>0</v>
      </c>
      <c r="DQ33" s="862">
        <f t="shared" si="23"/>
        <v>0</v>
      </c>
      <c r="EI33" s="602" t="s">
        <v>661</v>
      </c>
      <c r="EJ33" s="602" t="s">
        <v>305</v>
      </c>
      <c r="EK33" s="602" t="s">
        <v>447</v>
      </c>
      <c r="EL33" s="602" t="s">
        <v>447</v>
      </c>
      <c r="EM33" s="602" t="s">
        <v>547</v>
      </c>
      <c r="EN33" s="602">
        <v>0</v>
      </c>
      <c r="EO33" s="602">
        <v>17803099113</v>
      </c>
      <c r="EP33" s="602">
        <v>13332325089</v>
      </c>
      <c r="EQ33" s="884">
        <f t="shared" si="27"/>
        <v>0</v>
      </c>
      <c r="ER33" s="884">
        <f t="shared" si="28"/>
        <v>18924694.357119001</v>
      </c>
      <c r="ES33" s="884">
        <f t="shared" si="29"/>
        <v>14172261.569606999</v>
      </c>
      <c r="FK33" s="602" t="s">
        <v>661</v>
      </c>
      <c r="FL33" s="602" t="s">
        <v>305</v>
      </c>
      <c r="FM33" s="602" t="s">
        <v>447</v>
      </c>
      <c r="FN33" s="602" t="s">
        <v>447</v>
      </c>
      <c r="FO33" s="602" t="s">
        <v>547</v>
      </c>
      <c r="FP33" s="884">
        <v>17885599340</v>
      </c>
      <c r="FQ33" s="884">
        <v>0</v>
      </c>
      <c r="FR33" s="884">
        <v>0</v>
      </c>
      <c r="FS33" s="862">
        <f t="shared" si="33"/>
        <v>19012392.098419998</v>
      </c>
      <c r="FT33" s="862">
        <f t="shared" si="34"/>
        <v>0</v>
      </c>
      <c r="FU33" s="862">
        <f t="shared" si="35"/>
        <v>0</v>
      </c>
      <c r="GM33" s="885" t="s">
        <v>661</v>
      </c>
      <c r="GN33" s="886" t="s">
        <v>305</v>
      </c>
      <c r="GO33" s="885" t="s">
        <v>447</v>
      </c>
      <c r="GP33" s="885" t="s">
        <v>447</v>
      </c>
      <c r="GQ33" s="886" t="s">
        <v>547</v>
      </c>
      <c r="GR33" s="887">
        <v>17885599340</v>
      </c>
      <c r="GS33" s="887">
        <v>0</v>
      </c>
      <c r="GT33" s="887">
        <v>0</v>
      </c>
      <c r="GU33" s="887">
        <f t="shared" si="39"/>
        <v>19012392.098419998</v>
      </c>
      <c r="GV33" s="887">
        <f t="shared" si="40"/>
        <v>0</v>
      </c>
      <c r="GW33" s="887">
        <f t="shared" si="41"/>
        <v>0</v>
      </c>
      <c r="HO33" s="885" t="s">
        <v>661</v>
      </c>
      <c r="HP33" s="885" t="s">
        <v>305</v>
      </c>
      <c r="HQ33" s="885" t="s">
        <v>447</v>
      </c>
      <c r="HR33" s="885" t="s">
        <v>447</v>
      </c>
      <c r="HS33" s="603" t="s">
        <v>547</v>
      </c>
      <c r="HT33" s="604">
        <v>17885599340</v>
      </c>
      <c r="HU33" s="604">
        <v>0</v>
      </c>
      <c r="HV33" s="604">
        <v>0</v>
      </c>
      <c r="HW33" s="862">
        <f t="shared" si="45"/>
        <v>17885599.34</v>
      </c>
      <c r="HX33" s="862">
        <f t="shared" si="46"/>
        <v>0</v>
      </c>
      <c r="HY33" s="862">
        <f t="shared" si="47"/>
        <v>0</v>
      </c>
      <c r="IC33" s="602" t="s">
        <v>663</v>
      </c>
      <c r="ID33" s="602" t="s">
        <v>266</v>
      </c>
      <c r="IE33" s="602" t="s">
        <v>447</v>
      </c>
      <c r="IF33" s="602" t="s">
        <v>447</v>
      </c>
      <c r="IG33" s="603" t="s">
        <v>547</v>
      </c>
      <c r="IH33" s="604">
        <v>534777315</v>
      </c>
      <c r="II33" s="604">
        <v>0</v>
      </c>
      <c r="IJ33" s="604">
        <v>0</v>
      </c>
      <c r="IK33" s="883">
        <f t="shared" si="48"/>
        <v>534777.31499999994</v>
      </c>
      <c r="IL33" s="883">
        <f t="shared" si="49"/>
        <v>0</v>
      </c>
      <c r="IM33" s="883">
        <f t="shared" si="50"/>
        <v>0</v>
      </c>
      <c r="IQ33" s="885" t="s">
        <v>659</v>
      </c>
      <c r="IR33" s="885" t="s">
        <v>221</v>
      </c>
      <c r="IS33" s="885" t="s">
        <v>447</v>
      </c>
      <c r="IT33" s="885" t="s">
        <v>447</v>
      </c>
      <c r="IU33" s="886" t="s">
        <v>547</v>
      </c>
      <c r="IV33" s="887">
        <v>0</v>
      </c>
      <c r="IW33" s="887">
        <v>8353726567</v>
      </c>
      <c r="IX33" s="887">
        <v>6939894744</v>
      </c>
      <c r="IY33" s="888">
        <f t="shared" si="59"/>
        <v>0</v>
      </c>
      <c r="IZ33" s="888">
        <f t="shared" si="60"/>
        <v>8353726.5669999998</v>
      </c>
      <c r="JA33" s="888">
        <f t="shared" si="61"/>
        <v>6939894.7439999999</v>
      </c>
      <c r="JE33" s="859"/>
      <c r="JF33" s="859"/>
      <c r="JG33" s="859"/>
      <c r="JH33" s="859"/>
      <c r="JO33" s="884" t="s">
        <v>659</v>
      </c>
      <c r="JP33" s="884" t="s">
        <v>221</v>
      </c>
      <c r="JQ33" s="884" t="s">
        <v>447</v>
      </c>
      <c r="JR33" s="605" t="s">
        <v>447</v>
      </c>
      <c r="JS33" s="605" t="s">
        <v>547</v>
      </c>
      <c r="JT33" s="889">
        <v>9806029548</v>
      </c>
      <c r="JU33" s="889">
        <v>0</v>
      </c>
      <c r="JV33" s="889">
        <v>0</v>
      </c>
      <c r="JW33" s="863">
        <f t="shared" si="55"/>
        <v>9806029.5480000004</v>
      </c>
      <c r="JX33" s="863">
        <f t="shared" si="56"/>
        <v>0</v>
      </c>
      <c r="JY33" s="863">
        <f t="shared" si="57"/>
        <v>0</v>
      </c>
    </row>
    <row r="34" spans="1:285" ht="15" customHeight="1" x14ac:dyDescent="0.3">
      <c r="A34" s="872" t="s">
        <v>664</v>
      </c>
      <c r="B34" s="872" t="s">
        <v>267</v>
      </c>
      <c r="C34" s="872" t="s">
        <v>447</v>
      </c>
      <c r="D34" s="872" t="s">
        <v>447</v>
      </c>
      <c r="E34" s="873">
        <v>0</v>
      </c>
      <c r="F34" s="873">
        <f t="shared" si="7"/>
        <v>0</v>
      </c>
      <c r="G34" s="873">
        <v>21100000</v>
      </c>
      <c r="H34" s="873">
        <f t="shared" si="8"/>
        <v>22429.3</v>
      </c>
      <c r="AM34" s="874" t="s">
        <v>662</v>
      </c>
      <c r="AN34" s="874" t="s">
        <v>308</v>
      </c>
      <c r="AO34" s="874" t="s">
        <v>447</v>
      </c>
      <c r="AP34" s="874" t="s">
        <v>447</v>
      </c>
      <c r="AQ34" s="875">
        <v>0</v>
      </c>
      <c r="AR34" s="875">
        <f t="shared" si="58"/>
        <v>0</v>
      </c>
      <c r="AS34" s="875">
        <v>3197615392</v>
      </c>
      <c r="AV34" s="862"/>
      <c r="BG34" s="874" t="s">
        <v>662</v>
      </c>
      <c r="BH34" s="874" t="s">
        <v>308</v>
      </c>
      <c r="BI34" s="874" t="s">
        <v>447</v>
      </c>
      <c r="BJ34" s="874" t="s">
        <v>447</v>
      </c>
      <c r="BK34" s="875">
        <v>0</v>
      </c>
      <c r="BL34" s="875">
        <v>4286570442</v>
      </c>
      <c r="BM34" s="875">
        <v>3800576351</v>
      </c>
      <c r="BN34" s="864">
        <f t="shared" si="1"/>
        <v>0</v>
      </c>
      <c r="BO34" s="864">
        <f t="shared" si="2"/>
        <v>4556624.3798459992</v>
      </c>
      <c r="BP34" s="864">
        <f t="shared" si="3"/>
        <v>4040012.6611129995</v>
      </c>
      <c r="CH34" s="602" t="s">
        <v>662</v>
      </c>
      <c r="CI34" s="602" t="s">
        <v>308</v>
      </c>
      <c r="CJ34" s="602" t="s">
        <v>447</v>
      </c>
      <c r="CK34" s="602" t="s">
        <v>447</v>
      </c>
      <c r="CL34" s="604">
        <v>0</v>
      </c>
      <c r="CM34" s="604">
        <v>4849803362</v>
      </c>
      <c r="CN34" s="604">
        <v>4363406616</v>
      </c>
      <c r="CO34" s="879">
        <f t="shared" si="15"/>
        <v>0</v>
      </c>
      <c r="CP34" s="879">
        <f t="shared" si="16"/>
        <v>5155340.9738059994</v>
      </c>
      <c r="CQ34" s="879">
        <f t="shared" si="17"/>
        <v>4638301.2328080004</v>
      </c>
      <c r="DH34" s="602" t="s">
        <v>662</v>
      </c>
      <c r="DI34" s="602" t="s">
        <v>308</v>
      </c>
      <c r="DJ34" s="602" t="s">
        <v>447</v>
      </c>
      <c r="DK34" s="602" t="s">
        <v>447</v>
      </c>
      <c r="DL34" s="604">
        <v>0</v>
      </c>
      <c r="DM34" s="604">
        <v>5042440772</v>
      </c>
      <c r="DN34" s="604">
        <v>4599670681</v>
      </c>
      <c r="DO34" s="862">
        <f t="shared" si="21"/>
        <v>0</v>
      </c>
      <c r="DP34" s="862">
        <f t="shared" si="22"/>
        <v>5360114.5406359993</v>
      </c>
      <c r="DQ34" s="862">
        <f t="shared" si="23"/>
        <v>4889449.9339029994</v>
      </c>
      <c r="EI34" s="602" t="s">
        <v>662</v>
      </c>
      <c r="EJ34" s="602" t="s">
        <v>308</v>
      </c>
      <c r="EK34" s="602" t="s">
        <v>447</v>
      </c>
      <c r="EL34" s="602" t="s">
        <v>447</v>
      </c>
      <c r="EM34" s="602" t="s">
        <v>547</v>
      </c>
      <c r="EN34" s="602">
        <v>6668896304</v>
      </c>
      <c r="EO34" s="602">
        <v>0</v>
      </c>
      <c r="EP34" s="602">
        <v>0</v>
      </c>
      <c r="EQ34" s="884">
        <f t="shared" si="27"/>
        <v>7089036.771151999</v>
      </c>
      <c r="ER34" s="884">
        <f t="shared" si="28"/>
        <v>0</v>
      </c>
      <c r="ES34" s="884">
        <f t="shared" si="29"/>
        <v>0</v>
      </c>
      <c r="FK34" s="602" t="s">
        <v>661</v>
      </c>
      <c r="FL34" s="602" t="s">
        <v>305</v>
      </c>
      <c r="FM34" s="602" t="s">
        <v>447</v>
      </c>
      <c r="FN34" s="602" t="s">
        <v>447</v>
      </c>
      <c r="FO34" s="602" t="s">
        <v>547</v>
      </c>
      <c r="FP34" s="884">
        <v>0</v>
      </c>
      <c r="FQ34" s="884">
        <v>17803099113</v>
      </c>
      <c r="FR34" s="884">
        <v>13390965174</v>
      </c>
      <c r="FS34" s="862">
        <f t="shared" si="33"/>
        <v>0</v>
      </c>
      <c r="FT34" s="862">
        <f t="shared" si="34"/>
        <v>18924694.357119001</v>
      </c>
      <c r="FU34" s="862">
        <f t="shared" si="35"/>
        <v>14234595.979962001</v>
      </c>
      <c r="GM34" s="885" t="s">
        <v>661</v>
      </c>
      <c r="GN34" s="886" t="s">
        <v>305</v>
      </c>
      <c r="GO34" s="885" t="s">
        <v>447</v>
      </c>
      <c r="GP34" s="885" t="s">
        <v>447</v>
      </c>
      <c r="GQ34" s="886" t="s">
        <v>547</v>
      </c>
      <c r="GR34" s="887">
        <v>0</v>
      </c>
      <c r="GS34" s="887">
        <v>17803099113</v>
      </c>
      <c r="GT34" s="887">
        <v>13390965174</v>
      </c>
      <c r="GU34" s="887">
        <f t="shared" si="39"/>
        <v>0</v>
      </c>
      <c r="GV34" s="887">
        <f t="shared" si="40"/>
        <v>18924694.357119001</v>
      </c>
      <c r="GW34" s="887">
        <f t="shared" si="41"/>
        <v>14234595.979962001</v>
      </c>
      <c r="HO34" s="885" t="s">
        <v>661</v>
      </c>
      <c r="HP34" s="885" t="s">
        <v>305</v>
      </c>
      <c r="HQ34" s="885" t="s">
        <v>447</v>
      </c>
      <c r="HR34" s="885" t="s">
        <v>447</v>
      </c>
      <c r="HS34" s="603" t="s">
        <v>547</v>
      </c>
      <c r="HT34" s="604">
        <v>0</v>
      </c>
      <c r="HU34" s="604">
        <v>17803099113</v>
      </c>
      <c r="HV34" s="604">
        <v>15337163484</v>
      </c>
      <c r="HW34" s="862">
        <f t="shared" si="45"/>
        <v>0</v>
      </c>
      <c r="HX34" s="862">
        <f t="shared" si="46"/>
        <v>17803099.113000002</v>
      </c>
      <c r="HY34" s="862">
        <f t="shared" si="47"/>
        <v>15337163.483999999</v>
      </c>
      <c r="IC34" s="602" t="s">
        <v>663</v>
      </c>
      <c r="ID34" s="602" t="s">
        <v>266</v>
      </c>
      <c r="IE34" s="602" t="s">
        <v>447</v>
      </c>
      <c r="IF34" s="602" t="s">
        <v>447</v>
      </c>
      <c r="IG34" s="603" t="s">
        <v>547</v>
      </c>
      <c r="IH34" s="604">
        <v>0</v>
      </c>
      <c r="II34" s="604">
        <v>0</v>
      </c>
      <c r="IJ34" s="604">
        <v>1447202024</v>
      </c>
      <c r="IK34" s="883">
        <f t="shared" si="48"/>
        <v>0</v>
      </c>
      <c r="IL34" s="883">
        <f t="shared" si="49"/>
        <v>0</v>
      </c>
      <c r="IM34" s="883">
        <f t="shared" si="50"/>
        <v>1447202.024</v>
      </c>
      <c r="IQ34" s="885" t="s">
        <v>660</v>
      </c>
      <c r="IR34" s="885" t="s">
        <v>154</v>
      </c>
      <c r="IS34" s="885" t="s">
        <v>447</v>
      </c>
      <c r="IT34" s="885" t="s">
        <v>447</v>
      </c>
      <c r="IU34" s="886" t="s">
        <v>547</v>
      </c>
      <c r="IV34" s="887">
        <v>58298663400</v>
      </c>
      <c r="IW34" s="887">
        <v>0</v>
      </c>
      <c r="IX34" s="887">
        <v>0</v>
      </c>
      <c r="IY34" s="888">
        <f t="shared" si="59"/>
        <v>58298663.399999999</v>
      </c>
      <c r="IZ34" s="888">
        <f t="shared" si="60"/>
        <v>0</v>
      </c>
      <c r="JA34" s="888">
        <f t="shared" si="61"/>
        <v>0</v>
      </c>
      <c r="JE34" s="859"/>
      <c r="JF34" s="859"/>
      <c r="JG34" s="859"/>
      <c r="JH34" s="859"/>
      <c r="JO34" s="884" t="s">
        <v>659</v>
      </c>
      <c r="JP34" s="884" t="s">
        <v>221</v>
      </c>
      <c r="JQ34" s="884" t="s">
        <v>447</v>
      </c>
      <c r="JR34" s="605" t="s">
        <v>447</v>
      </c>
      <c r="JS34" s="605" t="s">
        <v>547</v>
      </c>
      <c r="JT34" s="889">
        <v>0</v>
      </c>
      <c r="JU34" s="889">
        <v>9805943378</v>
      </c>
      <c r="JV34" s="889">
        <v>9805943378</v>
      </c>
      <c r="JW34" s="863">
        <f t="shared" si="55"/>
        <v>0</v>
      </c>
      <c r="JX34" s="863">
        <f t="shared" si="56"/>
        <v>9805943.3780000005</v>
      </c>
      <c r="JY34" s="863">
        <f t="shared" si="57"/>
        <v>9805943.3780000005</v>
      </c>
    </row>
    <row r="35" spans="1:285" ht="15" customHeight="1" x14ac:dyDescent="0.3">
      <c r="A35" s="872" t="s">
        <v>665</v>
      </c>
      <c r="B35" s="872" t="s">
        <v>342</v>
      </c>
      <c r="C35" s="872" t="s">
        <v>447</v>
      </c>
      <c r="D35" s="872" t="s">
        <v>447</v>
      </c>
      <c r="E35" s="873">
        <v>2009426000</v>
      </c>
      <c r="F35" s="873">
        <f t="shared" si="7"/>
        <v>2136019.838</v>
      </c>
      <c r="G35" s="873">
        <v>0</v>
      </c>
      <c r="H35" s="873">
        <f t="shared" si="8"/>
        <v>0</v>
      </c>
      <c r="AM35" s="874" t="s">
        <v>663</v>
      </c>
      <c r="AN35" s="874" t="s">
        <v>266</v>
      </c>
      <c r="AO35" s="874" t="s">
        <v>447</v>
      </c>
      <c r="AP35" s="874" t="s">
        <v>447</v>
      </c>
      <c r="AQ35" s="875">
        <v>876109000</v>
      </c>
      <c r="AR35" s="875">
        <f t="shared" si="58"/>
        <v>931303.86699999997</v>
      </c>
      <c r="AS35" s="875">
        <v>0</v>
      </c>
      <c r="AV35" s="862"/>
      <c r="BG35" s="874" t="s">
        <v>663</v>
      </c>
      <c r="BH35" s="874" t="s">
        <v>266</v>
      </c>
      <c r="BI35" s="874" t="s">
        <v>447</v>
      </c>
      <c r="BJ35" s="874" t="s">
        <v>447</v>
      </c>
      <c r="BK35" s="875">
        <v>876109000</v>
      </c>
      <c r="BL35" s="875">
        <v>0</v>
      </c>
      <c r="BM35" s="875">
        <v>0</v>
      </c>
      <c r="BN35" s="864">
        <f t="shared" si="1"/>
        <v>931303.86699999997</v>
      </c>
      <c r="BO35" s="864">
        <f t="shared" si="2"/>
        <v>0</v>
      </c>
      <c r="BP35" s="864">
        <f t="shared" si="3"/>
        <v>0</v>
      </c>
      <c r="CH35" s="602" t="s">
        <v>663</v>
      </c>
      <c r="CI35" s="602" t="s">
        <v>266</v>
      </c>
      <c r="CJ35" s="602" t="s">
        <v>447</v>
      </c>
      <c r="CK35" s="602" t="s">
        <v>447</v>
      </c>
      <c r="CL35" s="604">
        <v>876109000</v>
      </c>
      <c r="CM35" s="604">
        <v>0</v>
      </c>
      <c r="CN35" s="604">
        <v>0</v>
      </c>
      <c r="CO35" s="879">
        <f t="shared" si="15"/>
        <v>931303.86699999997</v>
      </c>
      <c r="CP35" s="879">
        <f t="shared" si="16"/>
        <v>0</v>
      </c>
      <c r="CQ35" s="879">
        <f t="shared" si="17"/>
        <v>0</v>
      </c>
      <c r="DH35" s="602" t="s">
        <v>663</v>
      </c>
      <c r="DI35" s="602" t="s">
        <v>266</v>
      </c>
      <c r="DJ35" s="602" t="s">
        <v>447</v>
      </c>
      <c r="DK35" s="602" t="s">
        <v>447</v>
      </c>
      <c r="DL35" s="604">
        <v>3374020024</v>
      </c>
      <c r="DM35" s="604">
        <v>0</v>
      </c>
      <c r="DN35" s="604">
        <v>0</v>
      </c>
      <c r="DO35" s="862">
        <f t="shared" si="21"/>
        <v>3586583.2855119999</v>
      </c>
      <c r="DP35" s="862">
        <f t="shared" si="22"/>
        <v>0</v>
      </c>
      <c r="DQ35" s="862">
        <f t="shared" si="23"/>
        <v>0</v>
      </c>
      <c r="EI35" s="602" t="s">
        <v>662</v>
      </c>
      <c r="EJ35" s="602" t="s">
        <v>308</v>
      </c>
      <c r="EK35" s="602" t="s">
        <v>447</v>
      </c>
      <c r="EL35" s="602" t="s">
        <v>447</v>
      </c>
      <c r="EM35" s="602" t="s">
        <v>547</v>
      </c>
      <c r="EN35" s="602">
        <v>0</v>
      </c>
      <c r="EO35" s="602">
        <v>5134941920</v>
      </c>
      <c r="EP35" s="602">
        <v>4695663829</v>
      </c>
      <c r="EQ35" s="884">
        <f t="shared" si="27"/>
        <v>0</v>
      </c>
      <c r="ER35" s="884">
        <f t="shared" si="28"/>
        <v>5458443.2609599996</v>
      </c>
      <c r="ES35" s="884">
        <f t="shared" si="29"/>
        <v>4991490.650227</v>
      </c>
      <c r="FK35" s="602" t="s">
        <v>662</v>
      </c>
      <c r="FL35" s="602" t="s">
        <v>308</v>
      </c>
      <c r="FM35" s="602" t="s">
        <v>447</v>
      </c>
      <c r="FN35" s="602" t="s">
        <v>447</v>
      </c>
      <c r="FO35" s="602" t="s">
        <v>547</v>
      </c>
      <c r="FP35" s="884">
        <v>6668896304</v>
      </c>
      <c r="FQ35" s="884">
        <v>0</v>
      </c>
      <c r="FR35" s="884">
        <v>0</v>
      </c>
      <c r="FS35" s="862">
        <f t="shared" si="33"/>
        <v>7089036.771151999</v>
      </c>
      <c r="FT35" s="862">
        <f t="shared" si="34"/>
        <v>0</v>
      </c>
      <c r="FU35" s="862">
        <f t="shared" si="35"/>
        <v>0</v>
      </c>
      <c r="GM35" s="885" t="s">
        <v>662</v>
      </c>
      <c r="GN35" s="886" t="s">
        <v>308</v>
      </c>
      <c r="GO35" s="885" t="s">
        <v>447</v>
      </c>
      <c r="GP35" s="885" t="s">
        <v>447</v>
      </c>
      <c r="GQ35" s="886" t="s">
        <v>547</v>
      </c>
      <c r="GR35" s="887">
        <v>9911158850</v>
      </c>
      <c r="GS35" s="887">
        <v>0</v>
      </c>
      <c r="GT35" s="887">
        <v>0</v>
      </c>
      <c r="GU35" s="887">
        <f t="shared" si="39"/>
        <v>10535561.857549999</v>
      </c>
      <c r="GV35" s="887">
        <f t="shared" si="40"/>
        <v>0</v>
      </c>
      <c r="GW35" s="887">
        <f t="shared" si="41"/>
        <v>0</v>
      </c>
      <c r="HO35" s="885" t="s">
        <v>901</v>
      </c>
      <c r="HP35" s="885" t="s">
        <v>902</v>
      </c>
      <c r="HQ35" s="885" t="s">
        <v>447</v>
      </c>
      <c r="HR35" s="885" t="s">
        <v>447</v>
      </c>
      <c r="HS35" s="603" t="s">
        <v>547</v>
      </c>
      <c r="HT35" s="604">
        <v>2000000000</v>
      </c>
      <c r="HU35" s="604">
        <v>0</v>
      </c>
      <c r="HV35" s="604">
        <v>0</v>
      </c>
      <c r="HW35" s="862">
        <f t="shared" si="45"/>
        <v>2000000</v>
      </c>
      <c r="HX35" s="862">
        <f t="shared" si="46"/>
        <v>0</v>
      </c>
      <c r="HY35" s="862">
        <f t="shared" si="47"/>
        <v>0</v>
      </c>
      <c r="IC35" s="602" t="s">
        <v>664</v>
      </c>
      <c r="ID35" s="602" t="s">
        <v>267</v>
      </c>
      <c r="IE35" s="602" t="s">
        <v>447</v>
      </c>
      <c r="IF35" s="602" t="s">
        <v>447</v>
      </c>
      <c r="IG35" s="603" t="s">
        <v>547</v>
      </c>
      <c r="IH35" s="604">
        <v>472614021</v>
      </c>
      <c r="II35" s="604">
        <v>0</v>
      </c>
      <c r="IJ35" s="604">
        <v>0</v>
      </c>
      <c r="IK35" s="883">
        <f t="shared" si="48"/>
        <v>472614.02100000001</v>
      </c>
      <c r="IL35" s="883">
        <f t="shared" si="49"/>
        <v>0</v>
      </c>
      <c r="IM35" s="883">
        <f t="shared" si="50"/>
        <v>0</v>
      </c>
      <c r="IQ35" s="885" t="s">
        <v>660</v>
      </c>
      <c r="IR35" s="885" t="s">
        <v>154</v>
      </c>
      <c r="IS35" s="885" t="s">
        <v>447</v>
      </c>
      <c r="IT35" s="885" t="s">
        <v>447</v>
      </c>
      <c r="IU35" s="886" t="s">
        <v>547</v>
      </c>
      <c r="IV35" s="887">
        <v>0</v>
      </c>
      <c r="IW35" s="887">
        <v>58297129591</v>
      </c>
      <c r="IX35" s="887">
        <v>56460433662</v>
      </c>
      <c r="IY35" s="888">
        <f t="shared" si="59"/>
        <v>0</v>
      </c>
      <c r="IZ35" s="888">
        <f t="shared" si="60"/>
        <v>58297129.590999998</v>
      </c>
      <c r="JA35" s="888">
        <f t="shared" si="61"/>
        <v>56460433.662</v>
      </c>
      <c r="JE35" s="859"/>
      <c r="JF35" s="859"/>
      <c r="JG35" s="859"/>
      <c r="JH35" s="859"/>
      <c r="JO35" s="884" t="s">
        <v>660</v>
      </c>
      <c r="JP35" s="884" t="s">
        <v>154</v>
      </c>
      <c r="JQ35" s="884" t="s">
        <v>447</v>
      </c>
      <c r="JR35" s="605" t="s">
        <v>447</v>
      </c>
      <c r="JS35" s="605" t="s">
        <v>547</v>
      </c>
      <c r="JT35" s="889">
        <v>59012039700</v>
      </c>
      <c r="JU35" s="889">
        <v>0</v>
      </c>
      <c r="JV35" s="889">
        <v>0</v>
      </c>
      <c r="JW35" s="863">
        <f t="shared" si="55"/>
        <v>59012039.700000003</v>
      </c>
      <c r="JX35" s="863">
        <f t="shared" si="56"/>
        <v>0</v>
      </c>
      <c r="JY35" s="863">
        <f t="shared" si="57"/>
        <v>0</v>
      </c>
    </row>
    <row r="36" spans="1:285" ht="15" customHeight="1" x14ac:dyDescent="0.3">
      <c r="A36" s="872" t="s">
        <v>665</v>
      </c>
      <c r="B36" s="872" t="s">
        <v>342</v>
      </c>
      <c r="C36" s="872" t="s">
        <v>447</v>
      </c>
      <c r="D36" s="872" t="s">
        <v>447</v>
      </c>
      <c r="E36" s="873">
        <v>0</v>
      </c>
      <c r="F36" s="873">
        <f t="shared" si="7"/>
        <v>0</v>
      </c>
      <c r="G36" s="873">
        <v>0</v>
      </c>
      <c r="H36" s="873">
        <f t="shared" si="8"/>
        <v>0</v>
      </c>
      <c r="AM36" s="874" t="s">
        <v>663</v>
      </c>
      <c r="AN36" s="874" t="s">
        <v>266</v>
      </c>
      <c r="AO36" s="874" t="s">
        <v>447</v>
      </c>
      <c r="AP36" s="874" t="s">
        <v>447</v>
      </c>
      <c r="AQ36" s="875">
        <v>0</v>
      </c>
      <c r="AR36" s="875">
        <f t="shared" si="58"/>
        <v>0</v>
      </c>
      <c r="AS36" s="875">
        <v>125400000</v>
      </c>
      <c r="AV36" s="862"/>
      <c r="BG36" s="874" t="s">
        <v>663</v>
      </c>
      <c r="BH36" s="874" t="s">
        <v>266</v>
      </c>
      <c r="BI36" s="874" t="s">
        <v>447</v>
      </c>
      <c r="BJ36" s="874" t="s">
        <v>447</v>
      </c>
      <c r="BK36" s="875">
        <v>0</v>
      </c>
      <c r="BL36" s="875">
        <v>576109000</v>
      </c>
      <c r="BM36" s="875">
        <v>576109000</v>
      </c>
      <c r="BN36" s="864">
        <f t="shared" si="1"/>
        <v>0</v>
      </c>
      <c r="BO36" s="864">
        <f t="shared" si="2"/>
        <v>612403.86699999997</v>
      </c>
      <c r="BP36" s="864">
        <f t="shared" si="3"/>
        <v>612403.86699999997</v>
      </c>
      <c r="CH36" s="602" t="s">
        <v>663</v>
      </c>
      <c r="CI36" s="602" t="s">
        <v>266</v>
      </c>
      <c r="CJ36" s="602" t="s">
        <v>447</v>
      </c>
      <c r="CK36" s="602" t="s">
        <v>447</v>
      </c>
      <c r="CL36" s="604">
        <v>0</v>
      </c>
      <c r="CM36" s="604">
        <v>576109000</v>
      </c>
      <c r="CN36" s="604">
        <v>576109000</v>
      </c>
      <c r="CO36" s="879">
        <f t="shared" si="15"/>
        <v>0</v>
      </c>
      <c r="CP36" s="879">
        <f t="shared" si="16"/>
        <v>612403.86699999997</v>
      </c>
      <c r="CQ36" s="879">
        <f t="shared" si="17"/>
        <v>612403.86699999997</v>
      </c>
      <c r="DH36" s="602" t="s">
        <v>663</v>
      </c>
      <c r="DI36" s="602" t="s">
        <v>266</v>
      </c>
      <c r="DJ36" s="602" t="s">
        <v>447</v>
      </c>
      <c r="DK36" s="602" t="s">
        <v>447</v>
      </c>
      <c r="DL36" s="604">
        <v>0</v>
      </c>
      <c r="DM36" s="604">
        <v>1443186315</v>
      </c>
      <c r="DN36" s="604">
        <v>1443186315</v>
      </c>
      <c r="DO36" s="862">
        <f t="shared" si="21"/>
        <v>0</v>
      </c>
      <c r="DP36" s="862">
        <f t="shared" si="22"/>
        <v>1534107.0528449998</v>
      </c>
      <c r="DQ36" s="862">
        <f t="shared" si="23"/>
        <v>1534107.0528449998</v>
      </c>
      <c r="EI36" s="602" t="s">
        <v>663</v>
      </c>
      <c r="EJ36" s="602" t="s">
        <v>266</v>
      </c>
      <c r="EK36" s="602" t="s">
        <v>447</v>
      </c>
      <c r="EL36" s="602" t="s">
        <v>447</v>
      </c>
      <c r="EM36" s="602" t="s">
        <v>547</v>
      </c>
      <c r="EN36" s="602">
        <v>3374020024</v>
      </c>
      <c r="EO36" s="602">
        <v>0</v>
      </c>
      <c r="EP36" s="602">
        <v>0</v>
      </c>
      <c r="EQ36" s="884">
        <f t="shared" si="27"/>
        <v>3586583.2855119999</v>
      </c>
      <c r="ER36" s="884">
        <f t="shared" si="28"/>
        <v>0</v>
      </c>
      <c r="ES36" s="884">
        <f t="shared" si="29"/>
        <v>0</v>
      </c>
      <c r="FK36" s="602" t="s">
        <v>662</v>
      </c>
      <c r="FL36" s="602" t="s">
        <v>308</v>
      </c>
      <c r="FM36" s="602" t="s">
        <v>447</v>
      </c>
      <c r="FN36" s="602" t="s">
        <v>447</v>
      </c>
      <c r="FO36" s="602" t="s">
        <v>547</v>
      </c>
      <c r="FP36" s="884">
        <v>0</v>
      </c>
      <c r="FQ36" s="884">
        <v>5346802919</v>
      </c>
      <c r="FR36" s="884">
        <v>4958803562</v>
      </c>
      <c r="FS36" s="862">
        <f t="shared" si="33"/>
        <v>0</v>
      </c>
      <c r="FT36" s="862">
        <f t="shared" si="34"/>
        <v>5683651.502896999</v>
      </c>
      <c r="FU36" s="862">
        <f t="shared" si="35"/>
        <v>5271208.1864059996</v>
      </c>
      <c r="GM36" s="885" t="s">
        <v>662</v>
      </c>
      <c r="GN36" s="886" t="s">
        <v>308</v>
      </c>
      <c r="GO36" s="885" t="s">
        <v>447</v>
      </c>
      <c r="GP36" s="885" t="s">
        <v>447</v>
      </c>
      <c r="GQ36" s="886" t="s">
        <v>547</v>
      </c>
      <c r="GR36" s="887">
        <v>0</v>
      </c>
      <c r="GS36" s="887">
        <v>5496154919</v>
      </c>
      <c r="GT36" s="887">
        <v>5131435562</v>
      </c>
      <c r="GU36" s="887">
        <f t="shared" si="39"/>
        <v>0</v>
      </c>
      <c r="GV36" s="887">
        <f t="shared" si="40"/>
        <v>5842412.678896999</v>
      </c>
      <c r="GW36" s="887">
        <f t="shared" si="41"/>
        <v>5454716.0024059992</v>
      </c>
      <c r="HO36" s="885" t="s">
        <v>662</v>
      </c>
      <c r="HP36" s="885" t="s">
        <v>308</v>
      </c>
      <c r="HQ36" s="885" t="s">
        <v>447</v>
      </c>
      <c r="HR36" s="885" t="s">
        <v>447</v>
      </c>
      <c r="HS36" s="603" t="s">
        <v>547</v>
      </c>
      <c r="HT36" s="604">
        <v>9911158850</v>
      </c>
      <c r="HU36" s="604">
        <v>0</v>
      </c>
      <c r="HV36" s="604">
        <v>0</v>
      </c>
      <c r="HW36" s="862">
        <f t="shared" si="45"/>
        <v>9911158.8499999996</v>
      </c>
      <c r="HX36" s="862">
        <f t="shared" si="46"/>
        <v>0</v>
      </c>
      <c r="HY36" s="862">
        <f t="shared" si="47"/>
        <v>0</v>
      </c>
      <c r="IC36" s="602" t="s">
        <v>664</v>
      </c>
      <c r="ID36" s="602" t="s">
        <v>267</v>
      </c>
      <c r="IE36" s="602" t="s">
        <v>447</v>
      </c>
      <c r="IF36" s="602" t="s">
        <v>447</v>
      </c>
      <c r="IG36" s="603" t="s">
        <v>547</v>
      </c>
      <c r="IH36" s="604">
        <v>0</v>
      </c>
      <c r="II36" s="604">
        <v>493098510</v>
      </c>
      <c r="IJ36" s="604">
        <v>1700736510</v>
      </c>
      <c r="IK36" s="883">
        <f t="shared" si="48"/>
        <v>0</v>
      </c>
      <c r="IL36" s="883">
        <f t="shared" si="49"/>
        <v>493098.51</v>
      </c>
      <c r="IM36" s="883">
        <f t="shared" si="50"/>
        <v>1700736.51</v>
      </c>
      <c r="IQ36" s="885" t="s">
        <v>661</v>
      </c>
      <c r="IR36" s="885" t="s">
        <v>305</v>
      </c>
      <c r="IS36" s="885" t="s">
        <v>447</v>
      </c>
      <c r="IT36" s="885" t="s">
        <v>447</v>
      </c>
      <c r="IU36" s="886" t="s">
        <v>547</v>
      </c>
      <c r="IV36" s="887">
        <v>17815599340</v>
      </c>
      <c r="IW36" s="887">
        <v>0</v>
      </c>
      <c r="IX36" s="887">
        <v>0</v>
      </c>
      <c r="IY36" s="888">
        <f t="shared" si="59"/>
        <v>17815599.34</v>
      </c>
      <c r="IZ36" s="888">
        <f t="shared" si="60"/>
        <v>0</v>
      </c>
      <c r="JA36" s="888">
        <f t="shared" si="61"/>
        <v>0</v>
      </c>
      <c r="JE36" s="859"/>
      <c r="JF36" s="859"/>
      <c r="JG36" s="859"/>
      <c r="JH36" s="859"/>
      <c r="JO36" s="884" t="s">
        <v>660</v>
      </c>
      <c r="JP36" s="884" t="s">
        <v>154</v>
      </c>
      <c r="JQ36" s="884" t="s">
        <v>447</v>
      </c>
      <c r="JR36" s="605" t="s">
        <v>447</v>
      </c>
      <c r="JS36" s="605" t="s">
        <v>547</v>
      </c>
      <c r="JT36" s="889">
        <v>0</v>
      </c>
      <c r="JU36" s="889">
        <v>58991391357</v>
      </c>
      <c r="JV36" s="889">
        <v>58055332928</v>
      </c>
      <c r="JW36" s="863">
        <f t="shared" si="55"/>
        <v>0</v>
      </c>
      <c r="JX36" s="863">
        <f t="shared" si="56"/>
        <v>58991391.357000001</v>
      </c>
      <c r="JY36" s="863">
        <f t="shared" si="57"/>
        <v>58055332.928000003</v>
      </c>
    </row>
    <row r="37" spans="1:285" ht="15" customHeight="1" x14ac:dyDescent="0.3">
      <c r="A37" s="872" t="s">
        <v>666</v>
      </c>
      <c r="B37" s="872" t="s">
        <v>529</v>
      </c>
      <c r="C37" s="872" t="s">
        <v>447</v>
      </c>
      <c r="D37" s="872" t="s">
        <v>447</v>
      </c>
      <c r="E37" s="873">
        <v>9056909000</v>
      </c>
      <c r="F37" s="873">
        <f t="shared" si="7"/>
        <v>9627494.2669999991</v>
      </c>
      <c r="G37" s="873">
        <v>0</v>
      </c>
      <c r="H37" s="873">
        <f t="shared" si="8"/>
        <v>0</v>
      </c>
      <c r="AM37" s="874" t="s">
        <v>664</v>
      </c>
      <c r="AN37" s="874" t="s">
        <v>267</v>
      </c>
      <c r="AO37" s="874" t="s">
        <v>447</v>
      </c>
      <c r="AP37" s="874" t="s">
        <v>447</v>
      </c>
      <c r="AQ37" s="875">
        <v>2103486236</v>
      </c>
      <c r="AR37" s="875">
        <f t="shared" si="58"/>
        <v>2236005.8688679999</v>
      </c>
      <c r="AS37" s="875">
        <v>0</v>
      </c>
      <c r="AV37" s="862"/>
      <c r="BG37" s="874" t="s">
        <v>664</v>
      </c>
      <c r="BH37" s="874" t="s">
        <v>267</v>
      </c>
      <c r="BI37" s="874" t="s">
        <v>447</v>
      </c>
      <c r="BJ37" s="874" t="s">
        <v>447</v>
      </c>
      <c r="BK37" s="875">
        <v>2103486236</v>
      </c>
      <c r="BL37" s="875">
        <v>0</v>
      </c>
      <c r="BM37" s="875">
        <v>0</v>
      </c>
      <c r="BN37" s="864">
        <f t="shared" si="1"/>
        <v>2236005.8688679999</v>
      </c>
      <c r="BO37" s="864">
        <f t="shared" si="2"/>
        <v>0</v>
      </c>
      <c r="BP37" s="864">
        <f t="shared" si="3"/>
        <v>0</v>
      </c>
      <c r="CH37" s="602" t="s">
        <v>664</v>
      </c>
      <c r="CI37" s="602" t="s">
        <v>267</v>
      </c>
      <c r="CJ37" s="602" t="s">
        <v>447</v>
      </c>
      <c r="CK37" s="602" t="s">
        <v>447</v>
      </c>
      <c r="CL37" s="604">
        <v>2103486236</v>
      </c>
      <c r="CM37" s="604">
        <v>0</v>
      </c>
      <c r="CN37" s="604">
        <v>0</v>
      </c>
      <c r="CO37" s="879">
        <f t="shared" si="15"/>
        <v>2236005.8688679999</v>
      </c>
      <c r="CP37" s="879">
        <f t="shared" si="16"/>
        <v>0</v>
      </c>
      <c r="CQ37" s="879">
        <f t="shared" si="17"/>
        <v>0</v>
      </c>
      <c r="DH37" s="602" t="s">
        <v>664</v>
      </c>
      <c r="DI37" s="602" t="s">
        <v>267</v>
      </c>
      <c r="DJ37" s="602" t="s">
        <v>447</v>
      </c>
      <c r="DK37" s="602" t="s">
        <v>447</v>
      </c>
      <c r="DL37" s="604">
        <v>2103486236</v>
      </c>
      <c r="DM37" s="604">
        <v>0</v>
      </c>
      <c r="DN37" s="604">
        <v>0</v>
      </c>
      <c r="DO37" s="862">
        <f t="shared" si="21"/>
        <v>2236005.8688679999</v>
      </c>
      <c r="DP37" s="862">
        <f t="shared" si="22"/>
        <v>0</v>
      </c>
      <c r="DQ37" s="862">
        <f t="shared" si="23"/>
        <v>0</v>
      </c>
      <c r="EI37" s="602" t="s">
        <v>663</v>
      </c>
      <c r="EJ37" s="602" t="s">
        <v>266</v>
      </c>
      <c r="EK37" s="602" t="s">
        <v>447</v>
      </c>
      <c r="EL37" s="602" t="s">
        <v>447</v>
      </c>
      <c r="EM37" s="602" t="s">
        <v>547</v>
      </c>
      <c r="EN37" s="602">
        <v>0</v>
      </c>
      <c r="EO37" s="602">
        <v>1443186315</v>
      </c>
      <c r="EP37" s="602">
        <v>1443186315</v>
      </c>
      <c r="EQ37" s="884">
        <f t="shared" si="27"/>
        <v>0</v>
      </c>
      <c r="ER37" s="884">
        <f t="shared" si="28"/>
        <v>1534107.0528449998</v>
      </c>
      <c r="ES37" s="884">
        <f t="shared" si="29"/>
        <v>1534107.0528449998</v>
      </c>
      <c r="FK37" s="602" t="s">
        <v>663</v>
      </c>
      <c r="FL37" s="602" t="s">
        <v>266</v>
      </c>
      <c r="FM37" s="602" t="s">
        <v>447</v>
      </c>
      <c r="FN37" s="602" t="s">
        <v>447</v>
      </c>
      <c r="FO37" s="602" t="s">
        <v>547</v>
      </c>
      <c r="FP37" s="884">
        <v>3374020024</v>
      </c>
      <c r="FQ37" s="884">
        <v>0</v>
      </c>
      <c r="FR37" s="884">
        <v>0</v>
      </c>
      <c r="FS37" s="862">
        <f t="shared" si="33"/>
        <v>3586583.2855119999</v>
      </c>
      <c r="FT37" s="862">
        <f t="shared" si="34"/>
        <v>0</v>
      </c>
      <c r="FU37" s="862">
        <f t="shared" si="35"/>
        <v>0</v>
      </c>
      <c r="GM37" s="885" t="s">
        <v>663</v>
      </c>
      <c r="GN37" s="886" t="s">
        <v>266</v>
      </c>
      <c r="GO37" s="885" t="s">
        <v>447</v>
      </c>
      <c r="GP37" s="885" t="s">
        <v>447</v>
      </c>
      <c r="GQ37" s="886" t="s">
        <v>547</v>
      </c>
      <c r="GR37" s="887">
        <v>3374020024</v>
      </c>
      <c r="GS37" s="887">
        <v>0</v>
      </c>
      <c r="GT37" s="887">
        <v>0</v>
      </c>
      <c r="GU37" s="887">
        <f t="shared" si="39"/>
        <v>3586583.2855119999</v>
      </c>
      <c r="GV37" s="887">
        <f t="shared" si="40"/>
        <v>0</v>
      </c>
      <c r="GW37" s="887">
        <f t="shared" si="41"/>
        <v>0</v>
      </c>
      <c r="HO37" s="885" t="s">
        <v>662</v>
      </c>
      <c r="HP37" s="885" t="s">
        <v>308</v>
      </c>
      <c r="HQ37" s="885" t="s">
        <v>447</v>
      </c>
      <c r="HR37" s="885" t="s">
        <v>447</v>
      </c>
      <c r="HS37" s="603" t="s">
        <v>547</v>
      </c>
      <c r="HT37" s="604">
        <v>0</v>
      </c>
      <c r="HU37" s="604">
        <v>6708172909</v>
      </c>
      <c r="HV37" s="604">
        <v>5437023667</v>
      </c>
      <c r="HW37" s="862">
        <f t="shared" si="45"/>
        <v>0</v>
      </c>
      <c r="HX37" s="862">
        <f t="shared" si="46"/>
        <v>6708172.909</v>
      </c>
      <c r="HY37" s="862">
        <f t="shared" si="47"/>
        <v>5437023.6670000004</v>
      </c>
      <c r="IC37" s="602" t="s">
        <v>665</v>
      </c>
      <c r="ID37" s="602" t="s">
        <v>342</v>
      </c>
      <c r="IE37" s="602" t="s">
        <v>447</v>
      </c>
      <c r="IF37" s="602" t="s">
        <v>447</v>
      </c>
      <c r="IG37" s="603" t="s">
        <v>547</v>
      </c>
      <c r="IH37" s="604">
        <v>0</v>
      </c>
      <c r="II37" s="604">
        <v>426122677</v>
      </c>
      <c r="IJ37" s="604">
        <v>914049520</v>
      </c>
      <c r="IK37" s="883">
        <f t="shared" si="48"/>
        <v>0</v>
      </c>
      <c r="IL37" s="883">
        <f t="shared" si="49"/>
        <v>426122.67700000003</v>
      </c>
      <c r="IM37" s="883">
        <f t="shared" si="50"/>
        <v>914049.52</v>
      </c>
      <c r="IQ37" s="885" t="s">
        <v>661</v>
      </c>
      <c r="IR37" s="885" t="s">
        <v>305</v>
      </c>
      <c r="IS37" s="885" t="s">
        <v>447</v>
      </c>
      <c r="IT37" s="885" t="s">
        <v>447</v>
      </c>
      <c r="IU37" s="886" t="s">
        <v>547</v>
      </c>
      <c r="IV37" s="887">
        <v>0</v>
      </c>
      <c r="IW37" s="887">
        <v>17803099113</v>
      </c>
      <c r="IX37" s="887">
        <v>16038943011</v>
      </c>
      <c r="IY37" s="888">
        <f t="shared" si="59"/>
        <v>0</v>
      </c>
      <c r="IZ37" s="888">
        <f t="shared" si="60"/>
        <v>17803099.113000002</v>
      </c>
      <c r="JA37" s="888">
        <f t="shared" si="61"/>
        <v>16038943.011</v>
      </c>
      <c r="JE37" s="859"/>
      <c r="JF37" s="859"/>
      <c r="JG37" s="859"/>
      <c r="JH37" s="859"/>
      <c r="JO37" s="884" t="s">
        <v>661</v>
      </c>
      <c r="JP37" s="884" t="s">
        <v>305</v>
      </c>
      <c r="JQ37" s="884" t="s">
        <v>447</v>
      </c>
      <c r="JR37" s="605" t="s">
        <v>447</v>
      </c>
      <c r="JS37" s="605" t="s">
        <v>547</v>
      </c>
      <c r="JT37" s="889">
        <v>17813245023</v>
      </c>
      <c r="JU37" s="889">
        <v>0</v>
      </c>
      <c r="JV37" s="889">
        <v>0</v>
      </c>
      <c r="JW37" s="863">
        <f t="shared" si="55"/>
        <v>17813245.022999998</v>
      </c>
      <c r="JX37" s="863">
        <f t="shared" si="56"/>
        <v>0</v>
      </c>
      <c r="JY37" s="863">
        <f t="shared" si="57"/>
        <v>0</v>
      </c>
    </row>
    <row r="38" spans="1:285" ht="15" customHeight="1" x14ac:dyDescent="0.3">
      <c r="A38" s="872" t="s">
        <v>667</v>
      </c>
      <c r="B38" s="872" t="s">
        <v>634</v>
      </c>
      <c r="C38" s="872" t="s">
        <v>447</v>
      </c>
      <c r="D38" s="872" t="s">
        <v>447</v>
      </c>
      <c r="E38" s="873">
        <v>12647240000</v>
      </c>
      <c r="F38" s="873">
        <f t="shared" si="7"/>
        <v>13444016.119999999</v>
      </c>
      <c r="G38" s="873">
        <v>0</v>
      </c>
      <c r="H38" s="873">
        <f t="shared" si="8"/>
        <v>0</v>
      </c>
      <c r="AM38" s="874" t="s">
        <v>664</v>
      </c>
      <c r="AN38" s="874" t="s">
        <v>267</v>
      </c>
      <c r="AO38" s="874" t="s">
        <v>447</v>
      </c>
      <c r="AP38" s="874" t="s">
        <v>447</v>
      </c>
      <c r="AQ38" s="875">
        <v>0</v>
      </c>
      <c r="AR38" s="875">
        <f t="shared" si="58"/>
        <v>0</v>
      </c>
      <c r="AS38" s="875">
        <v>574667500</v>
      </c>
      <c r="AV38" s="862"/>
      <c r="BG38" s="874" t="s">
        <v>664</v>
      </c>
      <c r="BH38" s="874" t="s">
        <v>267</v>
      </c>
      <c r="BI38" s="874" t="s">
        <v>447</v>
      </c>
      <c r="BJ38" s="874" t="s">
        <v>447</v>
      </c>
      <c r="BK38" s="875">
        <v>0</v>
      </c>
      <c r="BL38" s="875">
        <v>1020942833</v>
      </c>
      <c r="BM38" s="875">
        <v>771402833</v>
      </c>
      <c r="BN38" s="864">
        <f t="shared" si="1"/>
        <v>0</v>
      </c>
      <c r="BO38" s="864">
        <f t="shared" si="2"/>
        <v>1085262.2314789998</v>
      </c>
      <c r="BP38" s="864">
        <f t="shared" si="3"/>
        <v>820001.21147899993</v>
      </c>
      <c r="CH38" s="602" t="s">
        <v>664</v>
      </c>
      <c r="CI38" s="602" t="s">
        <v>267</v>
      </c>
      <c r="CJ38" s="602" t="s">
        <v>447</v>
      </c>
      <c r="CK38" s="602" t="s">
        <v>447</v>
      </c>
      <c r="CL38" s="604">
        <v>0</v>
      </c>
      <c r="CM38" s="604">
        <v>1250981185</v>
      </c>
      <c r="CN38" s="604">
        <v>1035041185</v>
      </c>
      <c r="CO38" s="879">
        <f t="shared" si="15"/>
        <v>0</v>
      </c>
      <c r="CP38" s="879">
        <f t="shared" si="16"/>
        <v>1329792.9996549999</v>
      </c>
      <c r="CQ38" s="879">
        <f t="shared" si="17"/>
        <v>1100248.779655</v>
      </c>
      <c r="DH38" s="602" t="s">
        <v>664</v>
      </c>
      <c r="DI38" s="602" t="s">
        <v>267</v>
      </c>
      <c r="DJ38" s="602" t="s">
        <v>447</v>
      </c>
      <c r="DK38" s="602" t="s">
        <v>447</v>
      </c>
      <c r="DL38" s="604">
        <v>0</v>
      </c>
      <c r="DM38" s="604">
        <v>1295090412</v>
      </c>
      <c r="DN38" s="604">
        <v>1087310412</v>
      </c>
      <c r="DO38" s="862">
        <f t="shared" si="21"/>
        <v>0</v>
      </c>
      <c r="DP38" s="862">
        <f t="shared" si="22"/>
        <v>1376681.1079559999</v>
      </c>
      <c r="DQ38" s="862">
        <f t="shared" si="23"/>
        <v>1155810.967956</v>
      </c>
      <c r="EI38" s="602" t="s">
        <v>664</v>
      </c>
      <c r="EJ38" s="602" t="s">
        <v>267</v>
      </c>
      <c r="EK38" s="602" t="s">
        <v>447</v>
      </c>
      <c r="EL38" s="602" t="s">
        <v>447</v>
      </c>
      <c r="EM38" s="602" t="s">
        <v>547</v>
      </c>
      <c r="EN38" s="602">
        <v>2103486236</v>
      </c>
      <c r="EO38" s="602">
        <v>0</v>
      </c>
      <c r="EP38" s="602">
        <v>0</v>
      </c>
      <c r="EQ38" s="884">
        <f t="shared" si="27"/>
        <v>2236005.8688679999</v>
      </c>
      <c r="ER38" s="884">
        <f t="shared" si="28"/>
        <v>0</v>
      </c>
      <c r="ES38" s="884">
        <f t="shared" si="29"/>
        <v>0</v>
      </c>
      <c r="FK38" s="602" t="s">
        <v>663</v>
      </c>
      <c r="FL38" s="602" t="s">
        <v>266</v>
      </c>
      <c r="FM38" s="602" t="s">
        <v>447</v>
      </c>
      <c r="FN38" s="602" t="s">
        <v>447</v>
      </c>
      <c r="FO38" s="602" t="s">
        <v>547</v>
      </c>
      <c r="FP38" s="884">
        <v>0</v>
      </c>
      <c r="FQ38" s="884">
        <v>3341097339</v>
      </c>
      <c r="FR38" s="884">
        <v>1893895315</v>
      </c>
      <c r="FS38" s="862">
        <f t="shared" si="33"/>
        <v>0</v>
      </c>
      <c r="FT38" s="862">
        <f t="shared" si="34"/>
        <v>3551586.4713570001</v>
      </c>
      <c r="FU38" s="862">
        <f t="shared" si="35"/>
        <v>2013210.7198449997</v>
      </c>
      <c r="GM38" s="885" t="s">
        <v>663</v>
      </c>
      <c r="GN38" s="886" t="s">
        <v>266</v>
      </c>
      <c r="GO38" s="885" t="s">
        <v>447</v>
      </c>
      <c r="GP38" s="885" t="s">
        <v>447</v>
      </c>
      <c r="GQ38" s="886" t="s">
        <v>547</v>
      </c>
      <c r="GR38" s="887">
        <v>0</v>
      </c>
      <c r="GS38" s="887">
        <v>3341097339</v>
      </c>
      <c r="GT38" s="887">
        <v>1893895315</v>
      </c>
      <c r="GU38" s="887">
        <f t="shared" si="39"/>
        <v>0</v>
      </c>
      <c r="GV38" s="887">
        <f t="shared" si="40"/>
        <v>3551586.4713570001</v>
      </c>
      <c r="GW38" s="887">
        <f t="shared" si="41"/>
        <v>2013210.7198449997</v>
      </c>
      <c r="HO38" s="885" t="s">
        <v>663</v>
      </c>
      <c r="HP38" s="885" t="s">
        <v>266</v>
      </c>
      <c r="HQ38" s="885" t="s">
        <v>447</v>
      </c>
      <c r="HR38" s="885" t="s">
        <v>447</v>
      </c>
      <c r="HS38" s="603" t="s">
        <v>547</v>
      </c>
      <c r="HT38" s="604">
        <v>3374020024</v>
      </c>
      <c r="HU38" s="604">
        <v>0</v>
      </c>
      <c r="HV38" s="604">
        <v>0</v>
      </c>
      <c r="HW38" s="862">
        <f t="shared" si="45"/>
        <v>3374020.0240000002</v>
      </c>
      <c r="HX38" s="862">
        <f t="shared" si="46"/>
        <v>0</v>
      </c>
      <c r="HY38" s="862">
        <f t="shared" si="47"/>
        <v>0</v>
      </c>
      <c r="IC38" s="602" t="s">
        <v>665</v>
      </c>
      <c r="ID38" s="602" t="s">
        <v>342</v>
      </c>
      <c r="IE38" s="602" t="s">
        <v>447</v>
      </c>
      <c r="IF38" s="602" t="s">
        <v>447</v>
      </c>
      <c r="IG38" s="603" t="s">
        <v>547</v>
      </c>
      <c r="IH38" s="604">
        <v>-472614021</v>
      </c>
      <c r="II38" s="604">
        <v>0</v>
      </c>
      <c r="IJ38" s="604">
        <v>0</v>
      </c>
      <c r="IK38" s="883">
        <f t="shared" si="48"/>
        <v>-472614.02100000001</v>
      </c>
      <c r="IL38" s="883">
        <f t="shared" si="49"/>
        <v>0</v>
      </c>
      <c r="IM38" s="883">
        <f t="shared" si="50"/>
        <v>0</v>
      </c>
      <c r="IQ38" s="885" t="s">
        <v>901</v>
      </c>
      <c r="IR38" s="885" t="s">
        <v>902</v>
      </c>
      <c r="IS38" s="885" t="s">
        <v>447</v>
      </c>
      <c r="IT38" s="885" t="s">
        <v>447</v>
      </c>
      <c r="IU38" s="886" t="s">
        <v>547</v>
      </c>
      <c r="IV38" s="887">
        <v>5000000000</v>
      </c>
      <c r="IW38" s="887">
        <v>0</v>
      </c>
      <c r="IX38" s="887">
        <v>0</v>
      </c>
      <c r="IY38" s="888">
        <f t="shared" si="59"/>
        <v>5000000</v>
      </c>
      <c r="IZ38" s="888">
        <f t="shared" si="60"/>
        <v>0</v>
      </c>
      <c r="JA38" s="888">
        <f t="shared" si="61"/>
        <v>0</v>
      </c>
      <c r="JE38" s="859"/>
      <c r="JF38" s="859"/>
      <c r="JG38" s="859"/>
      <c r="JH38" s="859"/>
      <c r="JO38" s="884" t="s">
        <v>661</v>
      </c>
      <c r="JP38" s="884" t="s">
        <v>305</v>
      </c>
      <c r="JQ38" s="884" t="s">
        <v>447</v>
      </c>
      <c r="JR38" s="605" t="s">
        <v>447</v>
      </c>
      <c r="JS38" s="605" t="s">
        <v>547</v>
      </c>
      <c r="JT38" s="889">
        <v>0</v>
      </c>
      <c r="JU38" s="889">
        <v>17813245023</v>
      </c>
      <c r="JV38" s="889">
        <v>17783710226</v>
      </c>
      <c r="JW38" s="863">
        <f t="shared" si="55"/>
        <v>0</v>
      </c>
      <c r="JX38" s="863">
        <f t="shared" si="56"/>
        <v>17813245.022999998</v>
      </c>
      <c r="JY38" s="863">
        <f t="shared" si="57"/>
        <v>17783710.226</v>
      </c>
    </row>
    <row r="39" spans="1:285" ht="15" customHeight="1" x14ac:dyDescent="0.3">
      <c r="A39" s="872" t="s">
        <v>667</v>
      </c>
      <c r="B39" s="872" t="s">
        <v>634</v>
      </c>
      <c r="C39" s="872" t="s">
        <v>447</v>
      </c>
      <c r="D39" s="872" t="s">
        <v>447</v>
      </c>
      <c r="E39" s="873">
        <v>0</v>
      </c>
      <c r="F39" s="873">
        <f t="shared" si="7"/>
        <v>0</v>
      </c>
      <c r="G39" s="873">
        <v>246635741</v>
      </c>
      <c r="H39" s="873">
        <f t="shared" si="8"/>
        <v>262173.79268299998</v>
      </c>
      <c r="AM39" s="874" t="s">
        <v>665</v>
      </c>
      <c r="AN39" s="874" t="s">
        <v>342</v>
      </c>
      <c r="AO39" s="874" t="s">
        <v>447</v>
      </c>
      <c r="AP39" s="874" t="s">
        <v>447</v>
      </c>
      <c r="AQ39" s="875">
        <v>1870210431</v>
      </c>
      <c r="AR39" s="875">
        <f t="shared" si="58"/>
        <v>1988033.6881530001</v>
      </c>
      <c r="AS39" s="875">
        <v>0</v>
      </c>
      <c r="AV39" s="862"/>
      <c r="BG39" s="874" t="s">
        <v>665</v>
      </c>
      <c r="BH39" s="874" t="s">
        <v>342</v>
      </c>
      <c r="BI39" s="874" t="s">
        <v>447</v>
      </c>
      <c r="BJ39" s="874" t="s">
        <v>447</v>
      </c>
      <c r="BK39" s="875">
        <v>1870210431</v>
      </c>
      <c r="BL39" s="875">
        <v>0</v>
      </c>
      <c r="BM39" s="875">
        <v>0</v>
      </c>
      <c r="BN39" s="864">
        <f t="shared" si="1"/>
        <v>1988033.6881530001</v>
      </c>
      <c r="BO39" s="864">
        <f t="shared" si="2"/>
        <v>0</v>
      </c>
      <c r="BP39" s="864">
        <f t="shared" si="3"/>
        <v>0</v>
      </c>
      <c r="CH39" s="602" t="s">
        <v>665</v>
      </c>
      <c r="CI39" s="602" t="s">
        <v>342</v>
      </c>
      <c r="CJ39" s="602" t="s">
        <v>447</v>
      </c>
      <c r="CK39" s="602" t="s">
        <v>447</v>
      </c>
      <c r="CL39" s="604">
        <v>1870210431</v>
      </c>
      <c r="CM39" s="604">
        <v>0</v>
      </c>
      <c r="CN39" s="604">
        <v>0</v>
      </c>
      <c r="CO39" s="879">
        <f t="shared" si="15"/>
        <v>1988033.6881530001</v>
      </c>
      <c r="CP39" s="879">
        <f t="shared" si="16"/>
        <v>0</v>
      </c>
      <c r="CQ39" s="879">
        <f t="shared" si="17"/>
        <v>0</v>
      </c>
      <c r="DH39" s="602" t="s">
        <v>665</v>
      </c>
      <c r="DI39" s="602" t="s">
        <v>342</v>
      </c>
      <c r="DJ39" s="602" t="s">
        <v>447</v>
      </c>
      <c r="DK39" s="602" t="s">
        <v>447</v>
      </c>
      <c r="DL39" s="604">
        <v>1870210431</v>
      </c>
      <c r="DM39" s="604">
        <v>0</v>
      </c>
      <c r="DN39" s="604">
        <v>0</v>
      </c>
      <c r="DO39" s="862">
        <f t="shared" si="21"/>
        <v>1988033.6881530001</v>
      </c>
      <c r="DP39" s="862">
        <f t="shared" si="22"/>
        <v>0</v>
      </c>
      <c r="DQ39" s="862">
        <f t="shared" si="23"/>
        <v>0</v>
      </c>
      <c r="EI39" s="602" t="s">
        <v>664</v>
      </c>
      <c r="EJ39" s="602" t="s">
        <v>267</v>
      </c>
      <c r="EK39" s="602" t="s">
        <v>447</v>
      </c>
      <c r="EL39" s="602" t="s">
        <v>447</v>
      </c>
      <c r="EM39" s="602" t="s">
        <v>547</v>
      </c>
      <c r="EN39" s="602">
        <v>0</v>
      </c>
      <c r="EO39" s="602">
        <v>1361820119</v>
      </c>
      <c r="EP39" s="602">
        <v>1179240119</v>
      </c>
      <c r="EQ39" s="884">
        <f t="shared" si="27"/>
        <v>0</v>
      </c>
      <c r="ER39" s="884">
        <f t="shared" si="28"/>
        <v>1447614.7864969999</v>
      </c>
      <c r="ES39" s="884">
        <f t="shared" si="29"/>
        <v>1253532.2464969999</v>
      </c>
      <c r="FK39" s="602" t="s">
        <v>664</v>
      </c>
      <c r="FL39" s="602" t="s">
        <v>267</v>
      </c>
      <c r="FM39" s="602" t="s">
        <v>447</v>
      </c>
      <c r="FN39" s="602" t="s">
        <v>447</v>
      </c>
      <c r="FO39" s="602" t="s">
        <v>547</v>
      </c>
      <c r="FP39" s="884">
        <v>2103486236</v>
      </c>
      <c r="FQ39" s="884">
        <v>0</v>
      </c>
      <c r="FR39" s="884">
        <v>0</v>
      </c>
      <c r="FS39" s="862">
        <f t="shared" si="33"/>
        <v>2236005.8688679999</v>
      </c>
      <c r="FT39" s="862">
        <f t="shared" si="34"/>
        <v>0</v>
      </c>
      <c r="FU39" s="862">
        <f t="shared" si="35"/>
        <v>0</v>
      </c>
      <c r="GM39" s="885" t="s">
        <v>664</v>
      </c>
      <c r="GN39" s="886" t="s">
        <v>267</v>
      </c>
      <c r="GO39" s="885" t="s">
        <v>447</v>
      </c>
      <c r="GP39" s="885" t="s">
        <v>447</v>
      </c>
      <c r="GQ39" s="886" t="s">
        <v>547</v>
      </c>
      <c r="GR39" s="887">
        <v>3660757243</v>
      </c>
      <c r="GS39" s="887">
        <v>0</v>
      </c>
      <c r="GT39" s="887">
        <v>0</v>
      </c>
      <c r="GU39" s="887">
        <f t="shared" si="39"/>
        <v>3891384.9493089993</v>
      </c>
      <c r="GV39" s="887">
        <f t="shared" si="40"/>
        <v>0</v>
      </c>
      <c r="GW39" s="887">
        <f t="shared" si="41"/>
        <v>0</v>
      </c>
      <c r="HO39" s="885" t="s">
        <v>663</v>
      </c>
      <c r="HP39" s="885" t="s">
        <v>266</v>
      </c>
      <c r="HQ39" s="885" t="s">
        <v>447</v>
      </c>
      <c r="HR39" s="885" t="s">
        <v>447</v>
      </c>
      <c r="HS39" s="603" t="s">
        <v>547</v>
      </c>
      <c r="HT39" s="604">
        <v>0</v>
      </c>
      <c r="HU39" s="604">
        <v>3341097339</v>
      </c>
      <c r="HV39" s="604">
        <v>1893895315</v>
      </c>
      <c r="HW39" s="862">
        <f t="shared" si="45"/>
        <v>0</v>
      </c>
      <c r="HX39" s="862">
        <f t="shared" si="46"/>
        <v>3341097.3390000002</v>
      </c>
      <c r="HY39" s="862">
        <f t="shared" si="47"/>
        <v>1893895.3149999999</v>
      </c>
      <c r="IC39" s="602" t="s">
        <v>666</v>
      </c>
      <c r="ID39" s="602" t="s">
        <v>529</v>
      </c>
      <c r="IE39" s="602" t="s">
        <v>447</v>
      </c>
      <c r="IF39" s="602" t="s">
        <v>447</v>
      </c>
      <c r="IG39" s="603" t="s">
        <v>547</v>
      </c>
      <c r="IH39" s="604">
        <v>0</v>
      </c>
      <c r="II39" s="604">
        <v>1335513265</v>
      </c>
      <c r="IJ39" s="604">
        <v>1693674596</v>
      </c>
      <c r="IK39" s="883">
        <f t="shared" si="48"/>
        <v>0</v>
      </c>
      <c r="IL39" s="883">
        <f t="shared" si="49"/>
        <v>1335513.2649999999</v>
      </c>
      <c r="IM39" s="883">
        <f t="shared" si="50"/>
        <v>1693674.5959999999</v>
      </c>
      <c r="IQ39" s="885" t="s">
        <v>901</v>
      </c>
      <c r="IR39" s="885" t="s">
        <v>902</v>
      </c>
      <c r="IS39" s="885" t="s">
        <v>447</v>
      </c>
      <c r="IT39" s="885" t="s">
        <v>447</v>
      </c>
      <c r="IU39" s="886" t="s">
        <v>547</v>
      </c>
      <c r="IV39" s="887">
        <v>0</v>
      </c>
      <c r="IW39" s="887">
        <v>4482957662</v>
      </c>
      <c r="IX39" s="887">
        <v>2470419206</v>
      </c>
      <c r="IY39" s="888">
        <f t="shared" si="59"/>
        <v>0</v>
      </c>
      <c r="IZ39" s="888">
        <f t="shared" si="60"/>
        <v>4482957.6619999995</v>
      </c>
      <c r="JA39" s="888">
        <f t="shared" si="61"/>
        <v>2470419.2059999998</v>
      </c>
      <c r="JE39" s="859"/>
      <c r="JF39" s="859"/>
      <c r="JG39" s="859"/>
      <c r="JH39" s="859"/>
      <c r="JO39" s="884" t="s">
        <v>901</v>
      </c>
      <c r="JP39" s="884" t="s">
        <v>902</v>
      </c>
      <c r="JQ39" s="884" t="s">
        <v>447</v>
      </c>
      <c r="JR39" s="605" t="s">
        <v>447</v>
      </c>
      <c r="JS39" s="605" t="s">
        <v>547</v>
      </c>
      <c r="JT39" s="889">
        <v>20028902969</v>
      </c>
      <c r="JU39" s="889">
        <v>0</v>
      </c>
      <c r="JV39" s="889">
        <v>0</v>
      </c>
      <c r="JW39" s="863">
        <f t="shared" si="55"/>
        <v>20028902.969000001</v>
      </c>
      <c r="JX39" s="863">
        <f t="shared" si="56"/>
        <v>0</v>
      </c>
      <c r="JY39" s="863">
        <f t="shared" si="57"/>
        <v>0</v>
      </c>
    </row>
    <row r="40" spans="1:285" ht="15" customHeight="1" x14ac:dyDescent="0.3">
      <c r="A40" s="872" t="s">
        <v>668</v>
      </c>
      <c r="B40" s="872" t="s">
        <v>669</v>
      </c>
      <c r="C40" s="872" t="s">
        <v>447</v>
      </c>
      <c r="D40" s="872" t="s">
        <v>447</v>
      </c>
      <c r="E40" s="873">
        <v>13787455000</v>
      </c>
      <c r="F40" s="873">
        <f t="shared" si="7"/>
        <v>14656064.664999999</v>
      </c>
      <c r="G40" s="873">
        <v>0</v>
      </c>
      <c r="H40" s="873">
        <f t="shared" si="8"/>
        <v>0</v>
      </c>
      <c r="AM40" s="874" t="s">
        <v>665</v>
      </c>
      <c r="AN40" s="874" t="s">
        <v>342</v>
      </c>
      <c r="AO40" s="874" t="s">
        <v>447</v>
      </c>
      <c r="AP40" s="874" t="s">
        <v>447</v>
      </c>
      <c r="AQ40" s="875">
        <v>0</v>
      </c>
      <c r="AR40" s="875">
        <f t="shared" si="58"/>
        <v>0</v>
      </c>
      <c r="AS40" s="875">
        <v>395821400</v>
      </c>
      <c r="AV40" s="862"/>
      <c r="BG40" s="874" t="s">
        <v>665</v>
      </c>
      <c r="BH40" s="874" t="s">
        <v>342</v>
      </c>
      <c r="BI40" s="874" t="s">
        <v>447</v>
      </c>
      <c r="BJ40" s="874" t="s">
        <v>447</v>
      </c>
      <c r="BK40" s="875">
        <v>0</v>
      </c>
      <c r="BL40" s="875">
        <v>503242411</v>
      </c>
      <c r="BM40" s="875">
        <v>441531400</v>
      </c>
      <c r="BN40" s="864">
        <f t="shared" si="1"/>
        <v>0</v>
      </c>
      <c r="BO40" s="864">
        <f t="shared" si="2"/>
        <v>534946.68289299996</v>
      </c>
      <c r="BP40" s="864">
        <f t="shared" si="3"/>
        <v>469347.87819999998</v>
      </c>
      <c r="CH40" s="602" t="s">
        <v>665</v>
      </c>
      <c r="CI40" s="602" t="s">
        <v>342</v>
      </c>
      <c r="CJ40" s="602" t="s">
        <v>447</v>
      </c>
      <c r="CK40" s="602" t="s">
        <v>447</v>
      </c>
      <c r="CL40" s="604">
        <v>0</v>
      </c>
      <c r="CM40" s="604">
        <v>503242411</v>
      </c>
      <c r="CN40" s="604">
        <v>441531400</v>
      </c>
      <c r="CO40" s="879">
        <f t="shared" si="15"/>
        <v>0</v>
      </c>
      <c r="CP40" s="879">
        <f t="shared" si="16"/>
        <v>534946.68289299996</v>
      </c>
      <c r="CQ40" s="879">
        <f t="shared" si="17"/>
        <v>469347.87819999998</v>
      </c>
      <c r="DH40" s="602" t="s">
        <v>665</v>
      </c>
      <c r="DI40" s="602" t="s">
        <v>342</v>
      </c>
      <c r="DJ40" s="602" t="s">
        <v>447</v>
      </c>
      <c r="DK40" s="602" t="s">
        <v>447</v>
      </c>
      <c r="DL40" s="604">
        <v>0</v>
      </c>
      <c r="DM40" s="604">
        <v>555572361</v>
      </c>
      <c r="DN40" s="604">
        <v>493861350</v>
      </c>
      <c r="DO40" s="862">
        <f t="shared" si="21"/>
        <v>0</v>
      </c>
      <c r="DP40" s="862">
        <f t="shared" si="22"/>
        <v>590573.41974299995</v>
      </c>
      <c r="DQ40" s="862">
        <f t="shared" si="23"/>
        <v>524974.61504999991</v>
      </c>
      <c r="EI40" s="602" t="s">
        <v>665</v>
      </c>
      <c r="EJ40" s="602" t="s">
        <v>342</v>
      </c>
      <c r="EK40" s="602" t="s">
        <v>447</v>
      </c>
      <c r="EL40" s="602" t="s">
        <v>447</v>
      </c>
      <c r="EM40" s="602" t="s">
        <v>547</v>
      </c>
      <c r="EN40" s="602">
        <v>1870210431</v>
      </c>
      <c r="EO40" s="602">
        <v>0</v>
      </c>
      <c r="EP40" s="602">
        <v>0</v>
      </c>
      <c r="EQ40" s="884">
        <f t="shared" si="27"/>
        <v>1988033.6881530001</v>
      </c>
      <c r="ER40" s="884">
        <f t="shared" si="28"/>
        <v>0</v>
      </c>
      <c r="ES40" s="884">
        <f t="shared" si="29"/>
        <v>0</v>
      </c>
      <c r="FK40" s="602" t="s">
        <v>664</v>
      </c>
      <c r="FL40" s="602" t="s">
        <v>267</v>
      </c>
      <c r="FM40" s="602" t="s">
        <v>447</v>
      </c>
      <c r="FN40" s="602" t="s">
        <v>447</v>
      </c>
      <c r="FO40" s="602" t="s">
        <v>547</v>
      </c>
      <c r="FP40" s="884">
        <v>0</v>
      </c>
      <c r="FQ40" s="884">
        <v>1545797781</v>
      </c>
      <c r="FR40" s="884">
        <v>1371866781</v>
      </c>
      <c r="FS40" s="862">
        <f t="shared" si="33"/>
        <v>0</v>
      </c>
      <c r="FT40" s="862">
        <f t="shared" si="34"/>
        <v>1643183.0412029999</v>
      </c>
      <c r="FU40" s="862">
        <f t="shared" si="35"/>
        <v>1458294.388203</v>
      </c>
      <c r="GM40" s="885" t="s">
        <v>664</v>
      </c>
      <c r="GN40" s="886" t="s">
        <v>267</v>
      </c>
      <c r="GO40" s="885" t="s">
        <v>447</v>
      </c>
      <c r="GP40" s="885" t="s">
        <v>447</v>
      </c>
      <c r="GQ40" s="886" t="s">
        <v>547</v>
      </c>
      <c r="GR40" s="887">
        <v>0</v>
      </c>
      <c r="GS40" s="887">
        <v>1623510518</v>
      </c>
      <c r="GT40" s="887">
        <v>1449579518</v>
      </c>
      <c r="GU40" s="887">
        <f t="shared" si="39"/>
        <v>0</v>
      </c>
      <c r="GV40" s="887">
        <f t="shared" si="40"/>
        <v>1725791.6806339999</v>
      </c>
      <c r="GW40" s="887">
        <f t="shared" si="41"/>
        <v>1540903.0276339999</v>
      </c>
      <c r="HO40" s="885" t="s">
        <v>664</v>
      </c>
      <c r="HP40" s="885" t="s">
        <v>267</v>
      </c>
      <c r="HQ40" s="885" t="s">
        <v>447</v>
      </c>
      <c r="HR40" s="885" t="s">
        <v>447</v>
      </c>
      <c r="HS40" s="603" t="s">
        <v>547</v>
      </c>
      <c r="HT40" s="604">
        <v>3949163891</v>
      </c>
      <c r="HU40" s="604">
        <v>0</v>
      </c>
      <c r="HV40" s="604">
        <v>0</v>
      </c>
      <c r="HW40" s="862">
        <f t="shared" si="45"/>
        <v>3949163.8909999998</v>
      </c>
      <c r="HX40" s="862">
        <f t="shared" si="46"/>
        <v>0</v>
      </c>
      <c r="HY40" s="862">
        <f t="shared" si="47"/>
        <v>0</v>
      </c>
      <c r="IC40" s="602" t="s">
        <v>667</v>
      </c>
      <c r="ID40" s="602" t="s">
        <v>634</v>
      </c>
      <c r="IE40" s="602" t="s">
        <v>447</v>
      </c>
      <c r="IF40" s="602" t="s">
        <v>447</v>
      </c>
      <c r="IG40" s="603" t="s">
        <v>547</v>
      </c>
      <c r="IH40" s="604">
        <v>0</v>
      </c>
      <c r="II40" s="604">
        <v>2684310553</v>
      </c>
      <c r="IJ40" s="604">
        <v>6668199061</v>
      </c>
      <c r="IK40" s="883">
        <f t="shared" si="48"/>
        <v>0</v>
      </c>
      <c r="IL40" s="883">
        <f t="shared" si="49"/>
        <v>2684310.5529999998</v>
      </c>
      <c r="IM40" s="883">
        <f t="shared" si="50"/>
        <v>6668199.0609999998</v>
      </c>
      <c r="IQ40" s="885" t="s">
        <v>662</v>
      </c>
      <c r="IR40" s="885" t="s">
        <v>308</v>
      </c>
      <c r="IS40" s="885" t="s">
        <v>447</v>
      </c>
      <c r="IT40" s="885" t="s">
        <v>447</v>
      </c>
      <c r="IU40" s="886" t="s">
        <v>547</v>
      </c>
      <c r="IV40" s="887">
        <v>9376381535</v>
      </c>
      <c r="IW40" s="887">
        <v>0</v>
      </c>
      <c r="IX40" s="887">
        <v>0</v>
      </c>
      <c r="IY40" s="888">
        <f t="shared" si="59"/>
        <v>9376381.5350000001</v>
      </c>
      <c r="IZ40" s="888">
        <f t="shared" si="60"/>
        <v>0</v>
      </c>
      <c r="JA40" s="888">
        <f t="shared" si="61"/>
        <v>0</v>
      </c>
      <c r="JE40" s="859"/>
      <c r="JF40" s="859"/>
      <c r="JG40" s="859"/>
      <c r="JH40" s="859"/>
      <c r="JO40" s="884" t="s">
        <v>901</v>
      </c>
      <c r="JP40" s="884" t="s">
        <v>902</v>
      </c>
      <c r="JQ40" s="884" t="s">
        <v>447</v>
      </c>
      <c r="JR40" s="605" t="s">
        <v>447</v>
      </c>
      <c r="JS40" s="605" t="s">
        <v>547</v>
      </c>
      <c r="JT40" s="889">
        <v>0</v>
      </c>
      <c r="JU40" s="889">
        <v>20028902969</v>
      </c>
      <c r="JV40" s="889">
        <v>20028902969</v>
      </c>
      <c r="JW40" s="863">
        <f t="shared" si="55"/>
        <v>0</v>
      </c>
      <c r="JX40" s="863">
        <f t="shared" si="56"/>
        <v>20028902.969000001</v>
      </c>
      <c r="JY40" s="863">
        <f t="shared" si="57"/>
        <v>20028902.969000001</v>
      </c>
    </row>
    <row r="41" spans="1:285" ht="15" customHeight="1" x14ac:dyDescent="0.3">
      <c r="A41" s="872" t="s">
        <v>668</v>
      </c>
      <c r="B41" s="872" t="s">
        <v>669</v>
      </c>
      <c r="C41" s="872" t="s">
        <v>447</v>
      </c>
      <c r="D41" s="872" t="s">
        <v>447</v>
      </c>
      <c r="E41" s="873">
        <v>0</v>
      </c>
      <c r="F41" s="873">
        <f t="shared" si="7"/>
        <v>0</v>
      </c>
      <c r="G41" s="873">
        <v>0</v>
      </c>
      <c r="H41" s="873">
        <f t="shared" si="8"/>
        <v>0</v>
      </c>
      <c r="AM41" s="874" t="s">
        <v>666</v>
      </c>
      <c r="AN41" s="874" t="s">
        <v>529</v>
      </c>
      <c r="AO41" s="874" t="s">
        <v>447</v>
      </c>
      <c r="AP41" s="874" t="s">
        <v>447</v>
      </c>
      <c r="AQ41" s="875">
        <v>9056909000</v>
      </c>
      <c r="AR41" s="875">
        <f t="shared" si="58"/>
        <v>9627494.2669999991</v>
      </c>
      <c r="AS41" s="875">
        <v>0</v>
      </c>
      <c r="AV41" s="862"/>
      <c r="BG41" s="874" t="s">
        <v>666</v>
      </c>
      <c r="BH41" s="874" t="s">
        <v>529</v>
      </c>
      <c r="BI41" s="874" t="s">
        <v>447</v>
      </c>
      <c r="BJ41" s="874" t="s">
        <v>447</v>
      </c>
      <c r="BK41" s="875">
        <v>9056909000</v>
      </c>
      <c r="BL41" s="875">
        <v>0</v>
      </c>
      <c r="BM41" s="875">
        <v>0</v>
      </c>
      <c r="BN41" s="864">
        <f t="shared" si="1"/>
        <v>9627494.2669999991</v>
      </c>
      <c r="BO41" s="864">
        <f t="shared" si="2"/>
        <v>0</v>
      </c>
      <c r="BP41" s="864">
        <f t="shared" si="3"/>
        <v>0</v>
      </c>
      <c r="CH41" s="602" t="s">
        <v>666</v>
      </c>
      <c r="CI41" s="602" t="s">
        <v>529</v>
      </c>
      <c r="CJ41" s="602" t="s">
        <v>447</v>
      </c>
      <c r="CK41" s="602" t="s">
        <v>447</v>
      </c>
      <c r="CL41" s="604">
        <v>9056909000</v>
      </c>
      <c r="CM41" s="604">
        <v>0</v>
      </c>
      <c r="CN41" s="604">
        <v>0</v>
      </c>
      <c r="CO41" s="879">
        <f t="shared" si="15"/>
        <v>9627494.2669999991</v>
      </c>
      <c r="CP41" s="879">
        <f t="shared" si="16"/>
        <v>0</v>
      </c>
      <c r="CQ41" s="879">
        <f t="shared" si="17"/>
        <v>0</v>
      </c>
      <c r="DH41" s="602" t="s">
        <v>666</v>
      </c>
      <c r="DI41" s="602" t="s">
        <v>529</v>
      </c>
      <c r="DJ41" s="602" t="s">
        <v>447</v>
      </c>
      <c r="DK41" s="602" t="s">
        <v>447</v>
      </c>
      <c r="DL41" s="604">
        <v>9056909000</v>
      </c>
      <c r="DM41" s="604">
        <v>0</v>
      </c>
      <c r="DN41" s="604">
        <v>0</v>
      </c>
      <c r="DO41" s="862">
        <f t="shared" si="21"/>
        <v>9627494.2669999991</v>
      </c>
      <c r="DP41" s="862">
        <f t="shared" si="22"/>
        <v>0</v>
      </c>
      <c r="DQ41" s="862">
        <f t="shared" si="23"/>
        <v>0</v>
      </c>
      <c r="EI41" s="602" t="s">
        <v>665</v>
      </c>
      <c r="EJ41" s="602" t="s">
        <v>342</v>
      </c>
      <c r="EK41" s="602" t="s">
        <v>447</v>
      </c>
      <c r="EL41" s="602" t="s">
        <v>447</v>
      </c>
      <c r="EM41" s="602" t="s">
        <v>547</v>
      </c>
      <c r="EN41" s="602">
        <v>0</v>
      </c>
      <c r="EO41" s="602">
        <v>565472361</v>
      </c>
      <c r="EP41" s="602">
        <v>503761350</v>
      </c>
      <c r="EQ41" s="884">
        <f t="shared" si="27"/>
        <v>0</v>
      </c>
      <c r="ER41" s="884">
        <f t="shared" si="28"/>
        <v>601097.11974300002</v>
      </c>
      <c r="ES41" s="884">
        <f t="shared" si="29"/>
        <v>535498.31504999998</v>
      </c>
      <c r="FK41" s="602" t="s">
        <v>665</v>
      </c>
      <c r="FL41" s="602" t="s">
        <v>342</v>
      </c>
      <c r="FM41" s="602" t="s">
        <v>447</v>
      </c>
      <c r="FN41" s="602" t="s">
        <v>447</v>
      </c>
      <c r="FO41" s="602" t="s">
        <v>547</v>
      </c>
      <c r="FP41" s="884">
        <v>1870210431</v>
      </c>
      <c r="FQ41" s="884">
        <v>0</v>
      </c>
      <c r="FR41" s="884">
        <v>0</v>
      </c>
      <c r="FS41" s="862">
        <f t="shared" si="33"/>
        <v>1988033.6881530001</v>
      </c>
      <c r="FT41" s="862">
        <f t="shared" si="34"/>
        <v>0</v>
      </c>
      <c r="FU41" s="862">
        <f t="shared" si="35"/>
        <v>0</v>
      </c>
      <c r="GM41" s="885" t="s">
        <v>665</v>
      </c>
      <c r="GN41" s="886" t="s">
        <v>342</v>
      </c>
      <c r="GO41" s="885" t="s">
        <v>447</v>
      </c>
      <c r="GP41" s="885" t="s">
        <v>447</v>
      </c>
      <c r="GQ41" s="886" t="s">
        <v>547</v>
      </c>
      <c r="GR41" s="887">
        <v>3228646526</v>
      </c>
      <c r="GS41" s="887">
        <v>0</v>
      </c>
      <c r="GT41" s="887">
        <v>0</v>
      </c>
      <c r="GU41" s="887">
        <f t="shared" si="39"/>
        <v>3432051.2571379999</v>
      </c>
      <c r="GV41" s="887">
        <f t="shared" si="40"/>
        <v>0</v>
      </c>
      <c r="GW41" s="887">
        <f t="shared" si="41"/>
        <v>0</v>
      </c>
      <c r="HO41" s="885" t="s">
        <v>664</v>
      </c>
      <c r="HP41" s="885" t="s">
        <v>267</v>
      </c>
      <c r="HQ41" s="885" t="s">
        <v>447</v>
      </c>
      <c r="HR41" s="885" t="s">
        <v>447</v>
      </c>
      <c r="HS41" s="603" t="s">
        <v>547</v>
      </c>
      <c r="HT41" s="604">
        <v>0</v>
      </c>
      <c r="HU41" s="604">
        <v>2804917518</v>
      </c>
      <c r="HV41" s="604">
        <v>1449579518</v>
      </c>
      <c r="HW41" s="862">
        <f t="shared" si="45"/>
        <v>0</v>
      </c>
      <c r="HX41" s="862">
        <f t="shared" si="46"/>
        <v>2804917.5180000002</v>
      </c>
      <c r="HY41" s="862">
        <f t="shared" si="47"/>
        <v>1449579.5179999999</v>
      </c>
      <c r="IC41" s="602" t="s">
        <v>668</v>
      </c>
      <c r="ID41" s="602" t="s">
        <v>669</v>
      </c>
      <c r="IE41" s="602" t="s">
        <v>447</v>
      </c>
      <c r="IF41" s="602" t="s">
        <v>447</v>
      </c>
      <c r="IG41" s="603" t="s">
        <v>547</v>
      </c>
      <c r="IH41" s="604">
        <v>0</v>
      </c>
      <c r="II41" s="604">
        <v>6195273792</v>
      </c>
      <c r="IJ41" s="604">
        <v>2694928047</v>
      </c>
      <c r="IK41" s="883">
        <f t="shared" si="48"/>
        <v>0</v>
      </c>
      <c r="IL41" s="883">
        <f t="shared" si="49"/>
        <v>6195273.7920000004</v>
      </c>
      <c r="IM41" s="883">
        <f t="shared" si="50"/>
        <v>2694928.0469999998</v>
      </c>
      <c r="IQ41" s="885" t="s">
        <v>662</v>
      </c>
      <c r="IR41" s="885" t="s">
        <v>308</v>
      </c>
      <c r="IS41" s="885" t="s">
        <v>447</v>
      </c>
      <c r="IT41" s="885" t="s">
        <v>447</v>
      </c>
      <c r="IU41" s="886" t="s">
        <v>547</v>
      </c>
      <c r="IV41" s="887">
        <v>0</v>
      </c>
      <c r="IW41" s="887">
        <v>7122082090</v>
      </c>
      <c r="IX41" s="887">
        <v>6696383587</v>
      </c>
      <c r="IY41" s="888">
        <f t="shared" si="59"/>
        <v>0</v>
      </c>
      <c r="IZ41" s="888">
        <f t="shared" si="60"/>
        <v>7122082.0899999999</v>
      </c>
      <c r="JA41" s="888">
        <f t="shared" si="61"/>
        <v>6696383.5870000003</v>
      </c>
      <c r="JE41" s="859"/>
      <c r="JF41" s="859"/>
      <c r="JG41" s="859"/>
      <c r="JH41" s="859"/>
      <c r="JO41" s="884" t="s">
        <v>662</v>
      </c>
      <c r="JP41" s="884" t="s">
        <v>308</v>
      </c>
      <c r="JQ41" s="884" t="s">
        <v>447</v>
      </c>
      <c r="JR41" s="605" t="s">
        <v>447</v>
      </c>
      <c r="JS41" s="605" t="s">
        <v>547</v>
      </c>
      <c r="JT41" s="889">
        <v>8754941034</v>
      </c>
      <c r="JU41" s="889">
        <v>0</v>
      </c>
      <c r="JV41" s="889">
        <v>0</v>
      </c>
      <c r="JW41" s="863">
        <f t="shared" si="55"/>
        <v>8754941.034</v>
      </c>
      <c r="JX41" s="863">
        <f t="shared" si="56"/>
        <v>0</v>
      </c>
      <c r="JY41" s="863">
        <f t="shared" si="57"/>
        <v>0</v>
      </c>
    </row>
    <row r="42" spans="1:285" ht="15" customHeight="1" x14ac:dyDescent="0.3">
      <c r="A42" s="872" t="s">
        <v>452</v>
      </c>
      <c r="B42" s="872" t="s">
        <v>128</v>
      </c>
      <c r="C42" s="872" t="s">
        <v>447</v>
      </c>
      <c r="D42" s="872" t="s">
        <v>447</v>
      </c>
      <c r="E42" s="873">
        <v>10000</v>
      </c>
      <c r="F42" s="873">
        <f t="shared" si="7"/>
        <v>10.629999999999999</v>
      </c>
      <c r="G42" s="873">
        <v>0</v>
      </c>
      <c r="H42" s="873">
        <f t="shared" si="8"/>
        <v>0</v>
      </c>
      <c r="AM42" s="874" t="s">
        <v>666</v>
      </c>
      <c r="AN42" s="874" t="s">
        <v>529</v>
      </c>
      <c r="AO42" s="874" t="s">
        <v>447</v>
      </c>
      <c r="AP42" s="874" t="s">
        <v>447</v>
      </c>
      <c r="AQ42" s="875">
        <v>0</v>
      </c>
      <c r="AR42" s="875">
        <f t="shared" si="58"/>
        <v>0</v>
      </c>
      <c r="AS42" s="875">
        <v>1008249464</v>
      </c>
      <c r="AV42" s="862"/>
      <c r="BG42" s="874" t="s">
        <v>666</v>
      </c>
      <c r="BH42" s="874" t="s">
        <v>529</v>
      </c>
      <c r="BI42" s="874" t="s">
        <v>447</v>
      </c>
      <c r="BJ42" s="874" t="s">
        <v>447</v>
      </c>
      <c r="BK42" s="875">
        <v>0</v>
      </c>
      <c r="BL42" s="875">
        <v>1182625184</v>
      </c>
      <c r="BM42" s="875">
        <v>1155790628</v>
      </c>
      <c r="BN42" s="864">
        <f t="shared" si="1"/>
        <v>0</v>
      </c>
      <c r="BO42" s="864">
        <f t="shared" si="2"/>
        <v>1257130.5705919999</v>
      </c>
      <c r="BP42" s="864">
        <f t="shared" si="3"/>
        <v>1228605.437564</v>
      </c>
      <c r="CH42" s="602" t="s">
        <v>666</v>
      </c>
      <c r="CI42" s="602" t="s">
        <v>529</v>
      </c>
      <c r="CJ42" s="602" t="s">
        <v>447</v>
      </c>
      <c r="CK42" s="602" t="s">
        <v>447</v>
      </c>
      <c r="CL42" s="604">
        <v>0</v>
      </c>
      <c r="CM42" s="604">
        <v>2403893496</v>
      </c>
      <c r="CN42" s="604">
        <v>1655076347</v>
      </c>
      <c r="CO42" s="879">
        <f t="shared" si="15"/>
        <v>0</v>
      </c>
      <c r="CP42" s="879">
        <f t="shared" si="16"/>
        <v>2555338.7862479999</v>
      </c>
      <c r="CQ42" s="879">
        <f t="shared" si="17"/>
        <v>1759346.156861</v>
      </c>
      <c r="DH42" s="602" t="s">
        <v>666</v>
      </c>
      <c r="DI42" s="602" t="s">
        <v>529</v>
      </c>
      <c r="DJ42" s="602" t="s">
        <v>447</v>
      </c>
      <c r="DK42" s="602" t="s">
        <v>447</v>
      </c>
      <c r="DL42" s="604">
        <v>0</v>
      </c>
      <c r="DM42" s="604">
        <v>2510117399</v>
      </c>
      <c r="DN42" s="604">
        <v>2449986913</v>
      </c>
      <c r="DO42" s="862">
        <f t="shared" si="21"/>
        <v>0</v>
      </c>
      <c r="DP42" s="862">
        <f t="shared" si="22"/>
        <v>2668254.7951370003</v>
      </c>
      <c r="DQ42" s="862">
        <f t="shared" si="23"/>
        <v>2604336.088519</v>
      </c>
      <c r="EI42" s="602" t="s">
        <v>666</v>
      </c>
      <c r="EJ42" s="602" t="s">
        <v>529</v>
      </c>
      <c r="EK42" s="602" t="s">
        <v>447</v>
      </c>
      <c r="EL42" s="602" t="s">
        <v>447</v>
      </c>
      <c r="EM42" s="602" t="s">
        <v>547</v>
      </c>
      <c r="EN42" s="602">
        <v>9056909000</v>
      </c>
      <c r="EO42" s="602">
        <v>0</v>
      </c>
      <c r="EP42" s="602">
        <v>0</v>
      </c>
      <c r="EQ42" s="884">
        <f t="shared" si="27"/>
        <v>9627494.2669999991</v>
      </c>
      <c r="ER42" s="884">
        <f t="shared" si="28"/>
        <v>0</v>
      </c>
      <c r="ES42" s="884">
        <f t="shared" si="29"/>
        <v>0</v>
      </c>
      <c r="FK42" s="602" t="s">
        <v>665</v>
      </c>
      <c r="FL42" s="602" t="s">
        <v>342</v>
      </c>
      <c r="FM42" s="602" t="s">
        <v>447</v>
      </c>
      <c r="FN42" s="602" t="s">
        <v>447</v>
      </c>
      <c r="FO42" s="602" t="s">
        <v>547</v>
      </c>
      <c r="FP42" s="884">
        <v>0</v>
      </c>
      <c r="FQ42" s="884">
        <v>668173018</v>
      </c>
      <c r="FR42" s="884">
        <v>606462007</v>
      </c>
      <c r="FS42" s="862">
        <f t="shared" si="33"/>
        <v>0</v>
      </c>
      <c r="FT42" s="862">
        <f t="shared" si="34"/>
        <v>710267.91813400004</v>
      </c>
      <c r="FU42" s="862">
        <f t="shared" si="35"/>
        <v>644669.11344099999</v>
      </c>
      <c r="GM42" s="885" t="s">
        <v>665</v>
      </c>
      <c r="GN42" s="886" t="s">
        <v>342</v>
      </c>
      <c r="GO42" s="885" t="s">
        <v>447</v>
      </c>
      <c r="GP42" s="885" t="s">
        <v>447</v>
      </c>
      <c r="GQ42" s="886" t="s">
        <v>547</v>
      </c>
      <c r="GR42" s="887">
        <v>0</v>
      </c>
      <c r="GS42" s="887">
        <v>709827018</v>
      </c>
      <c r="GT42" s="887">
        <v>648116007</v>
      </c>
      <c r="GU42" s="887">
        <f t="shared" si="39"/>
        <v>0</v>
      </c>
      <c r="GV42" s="887">
        <f t="shared" si="40"/>
        <v>754546.12013399997</v>
      </c>
      <c r="GW42" s="887">
        <f t="shared" si="41"/>
        <v>688947.31544099993</v>
      </c>
      <c r="HO42" s="885" t="s">
        <v>665</v>
      </c>
      <c r="HP42" s="885" t="s">
        <v>342</v>
      </c>
      <c r="HQ42" s="885" t="s">
        <v>447</v>
      </c>
      <c r="HR42" s="885" t="s">
        <v>447</v>
      </c>
      <c r="HS42" s="603" t="s">
        <v>547</v>
      </c>
      <c r="HT42" s="604">
        <v>3228646526</v>
      </c>
      <c r="HU42" s="604">
        <v>0</v>
      </c>
      <c r="HV42" s="604">
        <v>0</v>
      </c>
      <c r="HW42" s="862">
        <f t="shared" si="45"/>
        <v>3228646.5260000001</v>
      </c>
      <c r="HX42" s="862">
        <f t="shared" si="46"/>
        <v>0</v>
      </c>
      <c r="HY42" s="862">
        <f t="shared" si="47"/>
        <v>0</v>
      </c>
      <c r="IM42" s="865"/>
      <c r="IQ42" s="885" t="s">
        <v>663</v>
      </c>
      <c r="IR42" s="885" t="s">
        <v>266</v>
      </c>
      <c r="IS42" s="885" t="s">
        <v>447</v>
      </c>
      <c r="IT42" s="885" t="s">
        <v>447</v>
      </c>
      <c r="IU42" s="886" t="s">
        <v>547</v>
      </c>
      <c r="IV42" s="887">
        <v>3908797339</v>
      </c>
      <c r="IW42" s="887">
        <v>0</v>
      </c>
      <c r="IX42" s="887">
        <v>0</v>
      </c>
      <c r="IY42" s="888">
        <f t="shared" si="59"/>
        <v>3908797.3390000002</v>
      </c>
      <c r="IZ42" s="888">
        <f t="shared" si="60"/>
        <v>0</v>
      </c>
      <c r="JA42" s="888">
        <f t="shared" si="61"/>
        <v>0</v>
      </c>
      <c r="JO42" s="884" t="s">
        <v>662</v>
      </c>
      <c r="JP42" s="884" t="s">
        <v>308</v>
      </c>
      <c r="JQ42" s="884" t="s">
        <v>447</v>
      </c>
      <c r="JR42" s="605" t="s">
        <v>447</v>
      </c>
      <c r="JS42" s="605" t="s">
        <v>547</v>
      </c>
      <c r="JT42" s="889">
        <v>0</v>
      </c>
      <c r="JU42" s="889">
        <v>8754941034</v>
      </c>
      <c r="JV42" s="889">
        <v>8754941034</v>
      </c>
      <c r="JW42" s="863">
        <f t="shared" si="55"/>
        <v>0</v>
      </c>
      <c r="JX42" s="863">
        <f t="shared" si="56"/>
        <v>8754941.034</v>
      </c>
      <c r="JY42" s="863">
        <f t="shared" si="57"/>
        <v>8754941.034</v>
      </c>
    </row>
    <row r="43" spans="1:285" ht="15" customHeight="1" x14ac:dyDescent="0.3">
      <c r="A43" s="872" t="s">
        <v>452</v>
      </c>
      <c r="B43" s="872" t="s">
        <v>128</v>
      </c>
      <c r="C43" s="872" t="s">
        <v>447</v>
      </c>
      <c r="D43" s="872" t="s">
        <v>447</v>
      </c>
      <c r="E43" s="873">
        <v>0</v>
      </c>
      <c r="F43" s="873">
        <f t="shared" si="7"/>
        <v>0</v>
      </c>
      <c r="G43" s="873">
        <v>1106524508</v>
      </c>
      <c r="H43" s="873">
        <f t="shared" si="8"/>
        <v>1176235.5520039999</v>
      </c>
      <c r="AM43" s="874" t="s">
        <v>667</v>
      </c>
      <c r="AN43" s="874" t="s">
        <v>634</v>
      </c>
      <c r="AO43" s="874" t="s">
        <v>447</v>
      </c>
      <c r="AP43" s="874" t="s">
        <v>447</v>
      </c>
      <c r="AQ43" s="875">
        <v>11042489029</v>
      </c>
      <c r="AR43" s="875">
        <f t="shared" si="58"/>
        <v>11738165.837826999</v>
      </c>
      <c r="AS43" s="875">
        <v>0</v>
      </c>
      <c r="AV43" s="862"/>
      <c r="BG43" s="874" t="s">
        <v>667</v>
      </c>
      <c r="BH43" s="874" t="s">
        <v>634</v>
      </c>
      <c r="BI43" s="874" t="s">
        <v>447</v>
      </c>
      <c r="BJ43" s="874" t="s">
        <v>447</v>
      </c>
      <c r="BK43" s="875">
        <v>11042489029</v>
      </c>
      <c r="BL43" s="875">
        <v>0</v>
      </c>
      <c r="BM43" s="875">
        <v>0</v>
      </c>
      <c r="BN43" s="864">
        <f t="shared" si="1"/>
        <v>11738165.837826999</v>
      </c>
      <c r="BO43" s="864">
        <f t="shared" si="2"/>
        <v>0</v>
      </c>
      <c r="BP43" s="864">
        <f t="shared" si="3"/>
        <v>0</v>
      </c>
      <c r="CH43" s="602" t="s">
        <v>667</v>
      </c>
      <c r="CI43" s="602" t="s">
        <v>634</v>
      </c>
      <c r="CJ43" s="602" t="s">
        <v>447</v>
      </c>
      <c r="CK43" s="602" t="s">
        <v>447</v>
      </c>
      <c r="CL43" s="604">
        <v>11042489029</v>
      </c>
      <c r="CM43" s="604">
        <v>0</v>
      </c>
      <c r="CN43" s="604">
        <v>0</v>
      </c>
      <c r="CO43" s="879">
        <f t="shared" si="15"/>
        <v>11738165.837826999</v>
      </c>
      <c r="CP43" s="879">
        <f t="shared" si="16"/>
        <v>0</v>
      </c>
      <c r="CQ43" s="879">
        <f t="shared" si="17"/>
        <v>0</v>
      </c>
      <c r="DH43" s="602" t="s">
        <v>667</v>
      </c>
      <c r="DI43" s="602" t="s">
        <v>634</v>
      </c>
      <c r="DJ43" s="602" t="s">
        <v>447</v>
      </c>
      <c r="DK43" s="602" t="s">
        <v>447</v>
      </c>
      <c r="DL43" s="604">
        <v>41899803765</v>
      </c>
      <c r="DM43" s="604">
        <v>0</v>
      </c>
      <c r="DN43" s="604">
        <v>0</v>
      </c>
      <c r="DO43" s="862">
        <f t="shared" si="21"/>
        <v>44539491.402194999</v>
      </c>
      <c r="DP43" s="862">
        <f t="shared" si="22"/>
        <v>0</v>
      </c>
      <c r="DQ43" s="862">
        <f t="shared" si="23"/>
        <v>0</v>
      </c>
      <c r="EI43" s="602" t="s">
        <v>666</v>
      </c>
      <c r="EJ43" s="602" t="s">
        <v>529</v>
      </c>
      <c r="EK43" s="602" t="s">
        <v>447</v>
      </c>
      <c r="EL43" s="602" t="s">
        <v>447</v>
      </c>
      <c r="EM43" s="602" t="s">
        <v>547</v>
      </c>
      <c r="EN43" s="602">
        <v>0</v>
      </c>
      <c r="EO43" s="602">
        <v>2510117399</v>
      </c>
      <c r="EP43" s="602">
        <v>2449986913</v>
      </c>
      <c r="EQ43" s="884">
        <f t="shared" si="27"/>
        <v>0</v>
      </c>
      <c r="ER43" s="884">
        <f t="shared" si="28"/>
        <v>2668254.7951370003</v>
      </c>
      <c r="ES43" s="884">
        <f t="shared" si="29"/>
        <v>2604336.088519</v>
      </c>
      <c r="FK43" s="602" t="s">
        <v>666</v>
      </c>
      <c r="FL43" s="602" t="s">
        <v>529</v>
      </c>
      <c r="FM43" s="602" t="s">
        <v>447</v>
      </c>
      <c r="FN43" s="602" t="s">
        <v>447</v>
      </c>
      <c r="FO43" s="602" t="s">
        <v>547</v>
      </c>
      <c r="FP43" s="884">
        <v>9056909000</v>
      </c>
      <c r="FQ43" s="884">
        <v>0</v>
      </c>
      <c r="FR43" s="884">
        <v>0</v>
      </c>
      <c r="FS43" s="862">
        <f t="shared" si="33"/>
        <v>9627494.2669999991</v>
      </c>
      <c r="FT43" s="862">
        <f t="shared" si="34"/>
        <v>0</v>
      </c>
      <c r="FU43" s="862">
        <f t="shared" si="35"/>
        <v>0</v>
      </c>
      <c r="GM43" s="885" t="s">
        <v>666</v>
      </c>
      <c r="GN43" s="886" t="s">
        <v>529</v>
      </c>
      <c r="GO43" s="885" t="s">
        <v>447</v>
      </c>
      <c r="GP43" s="885" t="s">
        <v>447</v>
      </c>
      <c r="GQ43" s="886" t="s">
        <v>547</v>
      </c>
      <c r="GR43" s="887">
        <v>9056909000</v>
      </c>
      <c r="GS43" s="887">
        <v>0</v>
      </c>
      <c r="GT43" s="887">
        <v>0</v>
      </c>
      <c r="GU43" s="887">
        <f t="shared" si="39"/>
        <v>9627494.2669999991</v>
      </c>
      <c r="GV43" s="887">
        <f t="shared" si="40"/>
        <v>0</v>
      </c>
      <c r="GW43" s="887">
        <f t="shared" si="41"/>
        <v>0</v>
      </c>
      <c r="HO43" s="885" t="s">
        <v>665</v>
      </c>
      <c r="HP43" s="885" t="s">
        <v>342</v>
      </c>
      <c r="HQ43" s="885" t="s">
        <v>447</v>
      </c>
      <c r="HR43" s="885" t="s">
        <v>447</v>
      </c>
      <c r="HS43" s="603" t="s">
        <v>547</v>
      </c>
      <c r="HT43" s="604">
        <v>0</v>
      </c>
      <c r="HU43" s="604">
        <v>1821191385</v>
      </c>
      <c r="HV43" s="604">
        <v>1053665956</v>
      </c>
      <c r="HW43" s="862">
        <f t="shared" si="45"/>
        <v>0</v>
      </c>
      <c r="HX43" s="862">
        <f t="shared" si="46"/>
        <v>1821191.385</v>
      </c>
      <c r="HY43" s="862">
        <f t="shared" si="47"/>
        <v>1053665.956</v>
      </c>
      <c r="IQ43" s="885" t="s">
        <v>663</v>
      </c>
      <c r="IR43" s="885" t="s">
        <v>266</v>
      </c>
      <c r="IS43" s="885" t="s">
        <v>447</v>
      </c>
      <c r="IT43" s="885" t="s">
        <v>447</v>
      </c>
      <c r="IU43" s="886" t="s">
        <v>547</v>
      </c>
      <c r="IV43" s="887">
        <v>0</v>
      </c>
      <c r="IW43" s="887">
        <v>3341097339</v>
      </c>
      <c r="IX43" s="887">
        <v>3341097339</v>
      </c>
      <c r="IY43" s="888">
        <f t="shared" si="59"/>
        <v>0</v>
      </c>
      <c r="IZ43" s="888">
        <f t="shared" si="60"/>
        <v>3341097.3390000002</v>
      </c>
      <c r="JA43" s="888">
        <f t="shared" si="61"/>
        <v>3341097.3390000002</v>
      </c>
      <c r="JO43" s="884" t="s">
        <v>663</v>
      </c>
      <c r="JP43" s="884" t="s">
        <v>266</v>
      </c>
      <c r="JQ43" s="884" t="s">
        <v>447</v>
      </c>
      <c r="JR43" s="605" t="s">
        <v>447</v>
      </c>
      <c r="JS43" s="605" t="s">
        <v>547</v>
      </c>
      <c r="JT43" s="889">
        <v>4582262364</v>
      </c>
      <c r="JU43" s="889">
        <v>0</v>
      </c>
      <c r="JV43" s="889">
        <v>0</v>
      </c>
      <c r="JW43" s="863">
        <f t="shared" si="55"/>
        <v>4582262.3640000001</v>
      </c>
      <c r="JX43" s="863">
        <f t="shared" si="56"/>
        <v>0</v>
      </c>
      <c r="JY43" s="863">
        <f t="shared" si="57"/>
        <v>0</v>
      </c>
    </row>
    <row r="44" spans="1:285" ht="15" customHeight="1" x14ac:dyDescent="0.3">
      <c r="H44" s="873">
        <f>SUBTOTAL(9,H3:H43)</f>
        <v>45245804.607412994</v>
      </c>
      <c r="AM44" s="874" t="s">
        <v>667</v>
      </c>
      <c r="AN44" s="874" t="s">
        <v>634</v>
      </c>
      <c r="AO44" s="874" t="s">
        <v>447</v>
      </c>
      <c r="AP44" s="874" t="s">
        <v>447</v>
      </c>
      <c r="AQ44" s="875">
        <v>0</v>
      </c>
      <c r="AR44" s="875">
        <f t="shared" si="58"/>
        <v>0</v>
      </c>
      <c r="AS44" s="875">
        <v>3038222269</v>
      </c>
      <c r="AV44" s="862"/>
      <c r="BG44" s="874" t="s">
        <v>667</v>
      </c>
      <c r="BH44" s="874" t="s">
        <v>634</v>
      </c>
      <c r="BI44" s="874" t="s">
        <v>447</v>
      </c>
      <c r="BJ44" s="874" t="s">
        <v>447</v>
      </c>
      <c r="BK44" s="875">
        <v>0</v>
      </c>
      <c r="BL44" s="875">
        <v>3520353120</v>
      </c>
      <c r="BM44" s="875">
        <v>3199936700</v>
      </c>
      <c r="BN44" s="864">
        <f t="shared" si="1"/>
        <v>0</v>
      </c>
      <c r="BO44" s="864">
        <f t="shared" si="2"/>
        <v>3742135.36656</v>
      </c>
      <c r="BP44" s="864">
        <f t="shared" si="3"/>
        <v>3401532.7121000001</v>
      </c>
      <c r="CH44" s="602" t="s">
        <v>667</v>
      </c>
      <c r="CI44" s="602" t="s">
        <v>634</v>
      </c>
      <c r="CJ44" s="602" t="s">
        <v>447</v>
      </c>
      <c r="CK44" s="602" t="s">
        <v>447</v>
      </c>
      <c r="CL44" s="604">
        <v>0</v>
      </c>
      <c r="CM44" s="604">
        <v>3875262458</v>
      </c>
      <c r="CN44" s="604">
        <v>3543687403</v>
      </c>
      <c r="CO44" s="879">
        <f t="shared" si="15"/>
        <v>0</v>
      </c>
      <c r="CP44" s="879">
        <f t="shared" si="16"/>
        <v>4119403.9928540001</v>
      </c>
      <c r="CQ44" s="879">
        <f t="shared" si="17"/>
        <v>3766939.7093889997</v>
      </c>
      <c r="DH44" s="602" t="s">
        <v>667</v>
      </c>
      <c r="DI44" s="602" t="s">
        <v>634</v>
      </c>
      <c r="DJ44" s="602" t="s">
        <v>447</v>
      </c>
      <c r="DK44" s="602" t="s">
        <v>447</v>
      </c>
      <c r="DL44" s="604">
        <v>0</v>
      </c>
      <c r="DM44" s="604">
        <v>4030287333</v>
      </c>
      <c r="DN44" s="604">
        <v>3728789709</v>
      </c>
      <c r="DO44" s="862">
        <f t="shared" si="21"/>
        <v>0</v>
      </c>
      <c r="DP44" s="862">
        <f t="shared" si="22"/>
        <v>4284195.4349790001</v>
      </c>
      <c r="DQ44" s="862">
        <f t="shared" si="23"/>
        <v>3963703.4606669997</v>
      </c>
      <c r="EI44" s="602" t="s">
        <v>667</v>
      </c>
      <c r="EJ44" s="602" t="s">
        <v>634</v>
      </c>
      <c r="EK44" s="602" t="s">
        <v>447</v>
      </c>
      <c r="EL44" s="602" t="s">
        <v>447</v>
      </c>
      <c r="EM44" s="602" t="s">
        <v>547</v>
      </c>
      <c r="EN44" s="602">
        <v>41899803765</v>
      </c>
      <c r="EO44" s="602">
        <v>0</v>
      </c>
      <c r="EP44" s="602">
        <v>0</v>
      </c>
      <c r="EQ44" s="884">
        <f t="shared" si="27"/>
        <v>44539491.402194999</v>
      </c>
      <c r="ER44" s="884">
        <f t="shared" si="28"/>
        <v>0</v>
      </c>
      <c r="ES44" s="884">
        <f t="shared" si="29"/>
        <v>0</v>
      </c>
      <c r="FK44" s="602" t="s">
        <v>666</v>
      </c>
      <c r="FL44" s="602" t="s">
        <v>529</v>
      </c>
      <c r="FM44" s="602" t="s">
        <v>447</v>
      </c>
      <c r="FN44" s="602" t="s">
        <v>447</v>
      </c>
      <c r="FO44" s="602" t="s">
        <v>547</v>
      </c>
      <c r="FP44" s="884">
        <v>0</v>
      </c>
      <c r="FQ44" s="884">
        <v>2973776537</v>
      </c>
      <c r="FR44" s="884">
        <v>2710533939</v>
      </c>
      <c r="FS44" s="862">
        <f t="shared" si="33"/>
        <v>0</v>
      </c>
      <c r="FT44" s="862">
        <f t="shared" si="34"/>
        <v>3161124.4588309997</v>
      </c>
      <c r="FU44" s="862">
        <f t="shared" si="35"/>
        <v>2881297.5771569996</v>
      </c>
      <c r="GM44" s="885" t="s">
        <v>666</v>
      </c>
      <c r="GN44" s="886" t="s">
        <v>529</v>
      </c>
      <c r="GO44" s="885" t="s">
        <v>447</v>
      </c>
      <c r="GP44" s="885" t="s">
        <v>447</v>
      </c>
      <c r="GQ44" s="886" t="s">
        <v>547</v>
      </c>
      <c r="GR44" s="887">
        <v>0</v>
      </c>
      <c r="GS44" s="887">
        <v>4686022706</v>
      </c>
      <c r="GT44" s="887">
        <v>3283511321</v>
      </c>
      <c r="GU44" s="887">
        <f t="shared" si="39"/>
        <v>0</v>
      </c>
      <c r="GV44" s="887">
        <f t="shared" si="40"/>
        <v>4981242.1364780003</v>
      </c>
      <c r="GW44" s="887">
        <f t="shared" si="41"/>
        <v>3490372.5342229996</v>
      </c>
      <c r="HO44" s="885" t="s">
        <v>666</v>
      </c>
      <c r="HP44" s="885" t="s">
        <v>529</v>
      </c>
      <c r="HQ44" s="885" t="s">
        <v>447</v>
      </c>
      <c r="HR44" s="885" t="s">
        <v>447</v>
      </c>
      <c r="HS44" s="603" t="s">
        <v>547</v>
      </c>
      <c r="HT44" s="604">
        <v>9056909000</v>
      </c>
      <c r="HU44" s="604">
        <v>0</v>
      </c>
      <c r="HV44" s="604">
        <v>0</v>
      </c>
      <c r="HW44" s="862">
        <f t="shared" si="45"/>
        <v>9056909</v>
      </c>
      <c r="HX44" s="862">
        <f t="shared" si="46"/>
        <v>0</v>
      </c>
      <c r="HY44" s="862">
        <f t="shared" si="47"/>
        <v>0</v>
      </c>
      <c r="IQ44" s="885" t="s">
        <v>664</v>
      </c>
      <c r="IR44" s="885" t="s">
        <v>267</v>
      </c>
      <c r="IS44" s="885" t="s">
        <v>447</v>
      </c>
      <c r="IT44" s="885" t="s">
        <v>447</v>
      </c>
      <c r="IU44" s="886" t="s">
        <v>547</v>
      </c>
      <c r="IV44" s="887">
        <v>4421777912</v>
      </c>
      <c r="IW44" s="887">
        <v>0</v>
      </c>
      <c r="IX44" s="887">
        <v>0</v>
      </c>
      <c r="IY44" s="888">
        <f t="shared" si="59"/>
        <v>4421777.9119999995</v>
      </c>
      <c r="IZ44" s="888">
        <f t="shared" si="60"/>
        <v>0</v>
      </c>
      <c r="JA44" s="888">
        <f t="shared" si="61"/>
        <v>0</v>
      </c>
      <c r="JO44" s="884" t="s">
        <v>663</v>
      </c>
      <c r="JP44" s="884" t="s">
        <v>266</v>
      </c>
      <c r="JQ44" s="884" t="s">
        <v>447</v>
      </c>
      <c r="JR44" s="605" t="s">
        <v>447</v>
      </c>
      <c r="JS44" s="605" t="s">
        <v>547</v>
      </c>
      <c r="JT44" s="889">
        <v>0</v>
      </c>
      <c r="JU44" s="889">
        <v>4582262364</v>
      </c>
      <c r="JV44" s="889">
        <v>4582262364</v>
      </c>
      <c r="JW44" s="863">
        <f t="shared" si="55"/>
        <v>0</v>
      </c>
      <c r="JX44" s="863">
        <f t="shared" si="56"/>
        <v>4582262.3640000001</v>
      </c>
      <c r="JY44" s="863">
        <f t="shared" si="57"/>
        <v>4582262.3640000001</v>
      </c>
    </row>
    <row r="45" spans="1:285" ht="15" customHeight="1" x14ac:dyDescent="0.3">
      <c r="AM45" s="874" t="s">
        <v>668</v>
      </c>
      <c r="AN45" s="874" t="s">
        <v>669</v>
      </c>
      <c r="AO45" s="874" t="s">
        <v>447</v>
      </c>
      <c r="AP45" s="874" t="s">
        <v>447</v>
      </c>
      <c r="AQ45" s="875">
        <v>13787455000</v>
      </c>
      <c r="AR45" s="875">
        <f t="shared" si="58"/>
        <v>14656064.664999999</v>
      </c>
      <c r="AS45" s="875">
        <v>0</v>
      </c>
      <c r="AV45" s="862"/>
      <c r="BG45" s="874" t="s">
        <v>668</v>
      </c>
      <c r="BH45" s="874" t="s">
        <v>669</v>
      </c>
      <c r="BI45" s="874" t="s">
        <v>447</v>
      </c>
      <c r="BJ45" s="874" t="s">
        <v>447</v>
      </c>
      <c r="BK45" s="875">
        <v>13787455000</v>
      </c>
      <c r="BL45" s="875">
        <v>0</v>
      </c>
      <c r="BM45" s="875">
        <v>0</v>
      </c>
      <c r="BN45" s="864">
        <f t="shared" si="1"/>
        <v>14656064.664999999</v>
      </c>
      <c r="BO45" s="864">
        <f t="shared" si="2"/>
        <v>0</v>
      </c>
      <c r="BP45" s="864">
        <f t="shared" si="3"/>
        <v>0</v>
      </c>
      <c r="CH45" s="602" t="s">
        <v>668</v>
      </c>
      <c r="CI45" s="602" t="s">
        <v>669</v>
      </c>
      <c r="CJ45" s="602" t="s">
        <v>447</v>
      </c>
      <c r="CK45" s="602" t="s">
        <v>447</v>
      </c>
      <c r="CL45" s="604">
        <v>13787455000</v>
      </c>
      <c r="CM45" s="604">
        <v>0</v>
      </c>
      <c r="CN45" s="604">
        <v>0</v>
      </c>
      <c r="CO45" s="879">
        <f t="shared" si="15"/>
        <v>14656064.664999999</v>
      </c>
      <c r="CP45" s="879">
        <f t="shared" si="16"/>
        <v>0</v>
      </c>
      <c r="CQ45" s="879">
        <f t="shared" si="17"/>
        <v>0</v>
      </c>
      <c r="DH45" s="602" t="s">
        <v>668</v>
      </c>
      <c r="DI45" s="602" t="s">
        <v>669</v>
      </c>
      <c r="DJ45" s="602" t="s">
        <v>447</v>
      </c>
      <c r="DK45" s="602" t="s">
        <v>447</v>
      </c>
      <c r="DL45" s="604">
        <v>13787455000</v>
      </c>
      <c r="DM45" s="604">
        <v>0</v>
      </c>
      <c r="DN45" s="604">
        <v>0</v>
      </c>
      <c r="DO45" s="862">
        <f t="shared" si="21"/>
        <v>14656064.664999999</v>
      </c>
      <c r="DP45" s="862">
        <f t="shared" si="22"/>
        <v>0</v>
      </c>
      <c r="DQ45" s="862">
        <f t="shared" si="23"/>
        <v>0</v>
      </c>
      <c r="EI45" s="602" t="s">
        <v>667</v>
      </c>
      <c r="EJ45" s="602" t="s">
        <v>634</v>
      </c>
      <c r="EK45" s="602" t="s">
        <v>447</v>
      </c>
      <c r="EL45" s="602" t="s">
        <v>447</v>
      </c>
      <c r="EM45" s="602" t="s">
        <v>547</v>
      </c>
      <c r="EN45" s="602">
        <v>0</v>
      </c>
      <c r="EO45" s="602">
        <v>23905670739</v>
      </c>
      <c r="EP45" s="602">
        <v>5316568207</v>
      </c>
      <c r="EQ45" s="884">
        <f t="shared" si="27"/>
        <v>0</v>
      </c>
      <c r="ER45" s="884">
        <f t="shared" si="28"/>
        <v>25411727.995556999</v>
      </c>
      <c r="ES45" s="884">
        <f t="shared" si="29"/>
        <v>5651512.0040410003</v>
      </c>
      <c r="FK45" s="602" t="s">
        <v>667</v>
      </c>
      <c r="FL45" s="602" t="s">
        <v>634</v>
      </c>
      <c r="FM45" s="602" t="s">
        <v>447</v>
      </c>
      <c r="FN45" s="602" t="s">
        <v>447</v>
      </c>
      <c r="FO45" s="602" t="s">
        <v>547</v>
      </c>
      <c r="FP45" s="884">
        <v>48597277765</v>
      </c>
      <c r="FQ45" s="884">
        <v>0</v>
      </c>
      <c r="FR45" s="884">
        <v>0</v>
      </c>
      <c r="FS45" s="862">
        <f t="shared" si="33"/>
        <v>51658906.264194995</v>
      </c>
      <c r="FT45" s="862">
        <f t="shared" si="34"/>
        <v>0</v>
      </c>
      <c r="FU45" s="862">
        <f t="shared" si="35"/>
        <v>0</v>
      </c>
      <c r="GM45" s="885" t="s">
        <v>667</v>
      </c>
      <c r="GN45" s="886" t="s">
        <v>634</v>
      </c>
      <c r="GO45" s="885" t="s">
        <v>447</v>
      </c>
      <c r="GP45" s="885" t="s">
        <v>447</v>
      </c>
      <c r="GQ45" s="886" t="s">
        <v>547</v>
      </c>
      <c r="GR45" s="887">
        <v>42439308117</v>
      </c>
      <c r="GS45" s="887">
        <v>0</v>
      </c>
      <c r="GT45" s="887">
        <v>0</v>
      </c>
      <c r="GU45" s="887">
        <f t="shared" si="39"/>
        <v>45112984.528370999</v>
      </c>
      <c r="GV45" s="887">
        <f t="shared" si="40"/>
        <v>0</v>
      </c>
      <c r="GW45" s="887">
        <f t="shared" si="41"/>
        <v>0</v>
      </c>
      <c r="HO45" s="885" t="s">
        <v>666</v>
      </c>
      <c r="HP45" s="885" t="s">
        <v>529</v>
      </c>
      <c r="HQ45" s="885" t="s">
        <v>447</v>
      </c>
      <c r="HR45" s="885" t="s">
        <v>447</v>
      </c>
      <c r="HS45" s="603" t="s">
        <v>547</v>
      </c>
      <c r="HT45" s="604">
        <v>0</v>
      </c>
      <c r="HU45" s="604">
        <v>5812628386</v>
      </c>
      <c r="HV45" s="604">
        <v>4992889563</v>
      </c>
      <c r="HW45" s="862">
        <f t="shared" si="45"/>
        <v>0</v>
      </c>
      <c r="HX45" s="862">
        <f t="shared" si="46"/>
        <v>5812628.3859999999</v>
      </c>
      <c r="HY45" s="862">
        <f t="shared" si="47"/>
        <v>4992889.5630000001</v>
      </c>
      <c r="IQ45" s="885" t="s">
        <v>664</v>
      </c>
      <c r="IR45" s="885" t="s">
        <v>267</v>
      </c>
      <c r="IS45" s="885" t="s">
        <v>447</v>
      </c>
      <c r="IT45" s="885" t="s">
        <v>447</v>
      </c>
      <c r="IU45" s="886" t="s">
        <v>547</v>
      </c>
      <c r="IV45" s="887">
        <v>0</v>
      </c>
      <c r="IW45" s="887">
        <v>3298016028</v>
      </c>
      <c r="IX45" s="887">
        <v>3150316028</v>
      </c>
      <c r="IY45" s="888">
        <f t="shared" si="59"/>
        <v>0</v>
      </c>
      <c r="IZ45" s="888">
        <f t="shared" si="60"/>
        <v>3298016.0279999999</v>
      </c>
      <c r="JA45" s="888">
        <f t="shared" si="61"/>
        <v>3150316.0279999999</v>
      </c>
      <c r="JO45" s="884" t="s">
        <v>664</v>
      </c>
      <c r="JP45" s="884" t="s">
        <v>267</v>
      </c>
      <c r="JQ45" s="884" t="s">
        <v>447</v>
      </c>
      <c r="JR45" s="605" t="s">
        <v>447</v>
      </c>
      <c r="JS45" s="605" t="s">
        <v>547</v>
      </c>
      <c r="JT45" s="889">
        <v>4569518240</v>
      </c>
      <c r="JU45" s="889">
        <v>0</v>
      </c>
      <c r="JV45" s="889">
        <v>0</v>
      </c>
      <c r="JW45" s="863">
        <f t="shared" si="55"/>
        <v>4569518.24</v>
      </c>
      <c r="JX45" s="863">
        <f t="shared" si="56"/>
        <v>0</v>
      </c>
      <c r="JY45" s="863">
        <f t="shared" si="57"/>
        <v>0</v>
      </c>
    </row>
    <row r="46" spans="1:285" ht="15" customHeight="1" x14ac:dyDescent="0.3">
      <c r="AM46" s="874" t="s">
        <v>668</v>
      </c>
      <c r="AN46" s="874" t="s">
        <v>669</v>
      </c>
      <c r="AO46" s="874" t="s">
        <v>447</v>
      </c>
      <c r="AP46" s="874" t="s">
        <v>447</v>
      </c>
      <c r="AQ46" s="875">
        <v>0</v>
      </c>
      <c r="AR46" s="875">
        <f t="shared" si="58"/>
        <v>0</v>
      </c>
      <c r="AS46" s="875">
        <v>0</v>
      </c>
      <c r="AV46" s="862"/>
      <c r="BG46" s="874" t="s">
        <v>668</v>
      </c>
      <c r="BH46" s="874" t="s">
        <v>669</v>
      </c>
      <c r="BI46" s="874" t="s">
        <v>447</v>
      </c>
      <c r="BJ46" s="874" t="s">
        <v>447</v>
      </c>
      <c r="BK46" s="875">
        <v>0</v>
      </c>
      <c r="BL46" s="875">
        <v>694928047</v>
      </c>
      <c r="BM46" s="875">
        <v>0</v>
      </c>
      <c r="BN46" s="864">
        <f t="shared" si="1"/>
        <v>0</v>
      </c>
      <c r="BO46" s="864">
        <f t="shared" si="2"/>
        <v>738708.51396100002</v>
      </c>
      <c r="BP46" s="864">
        <f t="shared" si="3"/>
        <v>0</v>
      </c>
      <c r="CH46" s="602" t="s">
        <v>668</v>
      </c>
      <c r="CI46" s="602" t="s">
        <v>669</v>
      </c>
      <c r="CJ46" s="602" t="s">
        <v>447</v>
      </c>
      <c r="CK46" s="602" t="s">
        <v>447</v>
      </c>
      <c r="CL46" s="604">
        <v>0</v>
      </c>
      <c r="CM46" s="604">
        <v>694928047</v>
      </c>
      <c r="CN46" s="604">
        <v>0</v>
      </c>
      <c r="CO46" s="879">
        <f t="shared" si="15"/>
        <v>0</v>
      </c>
      <c r="CP46" s="879">
        <f t="shared" si="16"/>
        <v>738708.51396100002</v>
      </c>
      <c r="CQ46" s="879">
        <f t="shared" si="17"/>
        <v>0</v>
      </c>
      <c r="DH46" s="602" t="s">
        <v>668</v>
      </c>
      <c r="DI46" s="602" t="s">
        <v>669</v>
      </c>
      <c r="DJ46" s="602" t="s">
        <v>447</v>
      </c>
      <c r="DK46" s="602" t="s">
        <v>447</v>
      </c>
      <c r="DL46" s="604">
        <v>0</v>
      </c>
      <c r="DM46" s="604">
        <v>694928047</v>
      </c>
      <c r="DN46" s="604">
        <v>0</v>
      </c>
      <c r="DO46" s="862">
        <f t="shared" si="21"/>
        <v>0</v>
      </c>
      <c r="DP46" s="862">
        <f t="shared" si="22"/>
        <v>738708.51396100002</v>
      </c>
      <c r="DQ46" s="862">
        <f t="shared" si="23"/>
        <v>0</v>
      </c>
      <c r="EI46" s="602" t="s">
        <v>668</v>
      </c>
      <c r="EJ46" s="602" t="s">
        <v>669</v>
      </c>
      <c r="EK46" s="602" t="s">
        <v>447</v>
      </c>
      <c r="EL46" s="602" t="s">
        <v>447</v>
      </c>
      <c r="EM46" s="602" t="s">
        <v>547</v>
      </c>
      <c r="EN46" s="602">
        <v>13787455000</v>
      </c>
      <c r="EO46" s="602">
        <v>0</v>
      </c>
      <c r="EP46" s="602">
        <v>0</v>
      </c>
      <c r="EQ46" s="884">
        <f t="shared" si="27"/>
        <v>14656064.664999999</v>
      </c>
      <c r="ER46" s="884">
        <f t="shared" si="28"/>
        <v>0</v>
      </c>
      <c r="ES46" s="884">
        <f t="shared" si="29"/>
        <v>0</v>
      </c>
      <c r="FK46" s="602" t="s">
        <v>667</v>
      </c>
      <c r="FL46" s="602" t="s">
        <v>634</v>
      </c>
      <c r="FM46" s="602" t="s">
        <v>447</v>
      </c>
      <c r="FN46" s="602" t="s">
        <v>447</v>
      </c>
      <c r="FO46" s="602" t="s">
        <v>547</v>
      </c>
      <c r="FP46" s="884">
        <v>0</v>
      </c>
      <c r="FQ46" s="884">
        <v>34047553688</v>
      </c>
      <c r="FR46" s="884">
        <v>33596081362</v>
      </c>
      <c r="FS46" s="862">
        <f t="shared" si="33"/>
        <v>0</v>
      </c>
      <c r="FT46" s="862">
        <f t="shared" si="34"/>
        <v>36192549.570344001</v>
      </c>
      <c r="FU46" s="862">
        <f t="shared" si="35"/>
        <v>35712634.487806</v>
      </c>
      <c r="GM46" s="885" t="s">
        <v>667</v>
      </c>
      <c r="GN46" s="886" t="s">
        <v>634</v>
      </c>
      <c r="GO46" s="885" t="s">
        <v>447</v>
      </c>
      <c r="GP46" s="885" t="s">
        <v>447</v>
      </c>
      <c r="GQ46" s="886" t="s">
        <v>547</v>
      </c>
      <c r="GR46" s="887">
        <v>0</v>
      </c>
      <c r="GS46" s="887">
        <v>34371233129</v>
      </c>
      <c r="GT46" s="887">
        <v>33919760803</v>
      </c>
      <c r="GU46" s="887">
        <f t="shared" si="39"/>
        <v>0</v>
      </c>
      <c r="GV46" s="887">
        <f t="shared" si="40"/>
        <v>36536620.816127002</v>
      </c>
      <c r="GW46" s="887">
        <f t="shared" si="41"/>
        <v>36056705.733589001</v>
      </c>
      <c r="HO46" s="885" t="s">
        <v>667</v>
      </c>
      <c r="HP46" s="885" t="s">
        <v>634</v>
      </c>
      <c r="HQ46" s="885" t="s">
        <v>447</v>
      </c>
      <c r="HR46" s="885" t="s">
        <v>447</v>
      </c>
      <c r="HS46" s="603" t="s">
        <v>547</v>
      </c>
      <c r="HT46" s="604">
        <v>49940433469</v>
      </c>
      <c r="HU46" s="604">
        <v>0</v>
      </c>
      <c r="HV46" s="604">
        <v>0</v>
      </c>
      <c r="HW46" s="862">
        <f t="shared" si="45"/>
        <v>49940433.468999997</v>
      </c>
      <c r="HX46" s="862">
        <f t="shared" si="46"/>
        <v>0</v>
      </c>
      <c r="HY46" s="862">
        <f t="shared" si="47"/>
        <v>0</v>
      </c>
      <c r="IQ46" s="885" t="s">
        <v>665</v>
      </c>
      <c r="IR46" s="885" t="s">
        <v>342</v>
      </c>
      <c r="IS46" s="885" t="s">
        <v>447</v>
      </c>
      <c r="IT46" s="885" t="s">
        <v>447</v>
      </c>
      <c r="IU46" s="886" t="s">
        <v>547</v>
      </c>
      <c r="IV46" s="887">
        <v>2756032505</v>
      </c>
      <c r="IW46" s="887">
        <v>0</v>
      </c>
      <c r="IX46" s="887">
        <v>0</v>
      </c>
      <c r="IY46" s="888">
        <f t="shared" si="59"/>
        <v>2756032.5049999999</v>
      </c>
      <c r="IZ46" s="888">
        <f t="shared" si="60"/>
        <v>0</v>
      </c>
      <c r="JA46" s="888">
        <f t="shared" si="61"/>
        <v>0</v>
      </c>
      <c r="JO46" s="884" t="s">
        <v>664</v>
      </c>
      <c r="JP46" s="884" t="s">
        <v>267</v>
      </c>
      <c r="JQ46" s="884" t="s">
        <v>447</v>
      </c>
      <c r="JR46" s="605" t="s">
        <v>447</v>
      </c>
      <c r="JS46" s="605" t="s">
        <v>547</v>
      </c>
      <c r="JT46" s="889">
        <v>0</v>
      </c>
      <c r="JU46" s="889">
        <v>4569518240</v>
      </c>
      <c r="JV46" s="889">
        <v>4569518240</v>
      </c>
      <c r="JW46" s="863">
        <f t="shared" si="55"/>
        <v>0</v>
      </c>
      <c r="JX46" s="863">
        <f t="shared" si="56"/>
        <v>4569518.24</v>
      </c>
      <c r="JY46" s="863">
        <f t="shared" si="57"/>
        <v>4569518.24</v>
      </c>
    </row>
    <row r="47" spans="1:285" ht="15" customHeight="1" x14ac:dyDescent="0.3">
      <c r="AM47" s="874" t="s">
        <v>452</v>
      </c>
      <c r="AN47" s="874" t="s">
        <v>128</v>
      </c>
      <c r="AO47" s="874" t="s">
        <v>447</v>
      </c>
      <c r="AP47" s="874" t="s">
        <v>447</v>
      </c>
      <c r="AQ47" s="875">
        <v>10000</v>
      </c>
      <c r="AR47" s="875">
        <f t="shared" si="58"/>
        <v>10.629999999999999</v>
      </c>
      <c r="AS47" s="875">
        <v>0</v>
      </c>
      <c r="AV47" s="862"/>
      <c r="BG47" s="874" t="s">
        <v>452</v>
      </c>
      <c r="BH47" s="874" t="s">
        <v>128</v>
      </c>
      <c r="BI47" s="874" t="s">
        <v>447</v>
      </c>
      <c r="BJ47" s="874" t="s">
        <v>447</v>
      </c>
      <c r="BK47" s="875">
        <v>10000</v>
      </c>
      <c r="BL47" s="875">
        <v>0</v>
      </c>
      <c r="BM47" s="875">
        <v>0</v>
      </c>
      <c r="BN47" s="864">
        <f t="shared" si="1"/>
        <v>10.629999999999999</v>
      </c>
      <c r="BO47" s="864">
        <f t="shared" si="2"/>
        <v>0</v>
      </c>
      <c r="BP47" s="864">
        <f t="shared" si="3"/>
        <v>0</v>
      </c>
      <c r="CH47" s="602" t="s">
        <v>452</v>
      </c>
      <c r="CI47" s="602" t="s">
        <v>128</v>
      </c>
      <c r="CJ47" s="602" t="s">
        <v>447</v>
      </c>
      <c r="CK47" s="602" t="s">
        <v>447</v>
      </c>
      <c r="CL47" s="604">
        <v>10000</v>
      </c>
      <c r="CM47" s="604">
        <v>0</v>
      </c>
      <c r="CN47" s="604">
        <v>0</v>
      </c>
      <c r="CO47" s="879">
        <f t="shared" si="15"/>
        <v>10.629999999999999</v>
      </c>
      <c r="CP47" s="879">
        <f t="shared" si="16"/>
        <v>0</v>
      </c>
      <c r="CQ47" s="879">
        <f t="shared" si="17"/>
        <v>0</v>
      </c>
      <c r="DH47" s="602" t="s">
        <v>452</v>
      </c>
      <c r="DI47" s="602" t="s">
        <v>128</v>
      </c>
      <c r="DJ47" s="602" t="s">
        <v>447</v>
      </c>
      <c r="DK47" s="602" t="s">
        <v>447</v>
      </c>
      <c r="DL47" s="604">
        <v>467091000</v>
      </c>
      <c r="DM47" s="604">
        <v>0</v>
      </c>
      <c r="DN47" s="604">
        <v>0</v>
      </c>
      <c r="DO47" s="862">
        <f t="shared" si="21"/>
        <v>496517.73299999995</v>
      </c>
      <c r="DP47" s="862">
        <f t="shared" si="22"/>
        <v>0</v>
      </c>
      <c r="DQ47" s="862">
        <f t="shared" si="23"/>
        <v>0</v>
      </c>
      <c r="EI47" s="602" t="s">
        <v>668</v>
      </c>
      <c r="EJ47" s="602" t="s">
        <v>669</v>
      </c>
      <c r="EK47" s="602" t="s">
        <v>447</v>
      </c>
      <c r="EL47" s="602" t="s">
        <v>447</v>
      </c>
      <c r="EM47" s="602" t="s">
        <v>547</v>
      </c>
      <c r="EN47" s="602">
        <v>0</v>
      </c>
      <c r="EO47" s="602">
        <v>1385915368</v>
      </c>
      <c r="EP47" s="602">
        <v>690987321</v>
      </c>
      <c r="EQ47" s="884">
        <f t="shared" si="27"/>
        <v>0</v>
      </c>
      <c r="ER47" s="884">
        <f t="shared" si="28"/>
        <v>1473228.0361839999</v>
      </c>
      <c r="ES47" s="884">
        <f t="shared" si="29"/>
        <v>734519.52222299995</v>
      </c>
      <c r="FK47" s="602" t="s">
        <v>668</v>
      </c>
      <c r="FL47" s="602" t="s">
        <v>669</v>
      </c>
      <c r="FM47" s="602" t="s">
        <v>447</v>
      </c>
      <c r="FN47" s="602" t="s">
        <v>447</v>
      </c>
      <c r="FO47" s="602" t="s">
        <v>547</v>
      </c>
      <c r="FP47" s="884">
        <v>13787455000</v>
      </c>
      <c r="FQ47" s="884">
        <v>0</v>
      </c>
      <c r="FR47" s="884">
        <v>0</v>
      </c>
      <c r="FS47" s="862">
        <f t="shared" si="33"/>
        <v>14656064.664999999</v>
      </c>
      <c r="FT47" s="862">
        <f t="shared" si="34"/>
        <v>0</v>
      </c>
      <c r="FU47" s="862">
        <f t="shared" si="35"/>
        <v>0</v>
      </c>
      <c r="GM47" s="885" t="s">
        <v>668</v>
      </c>
      <c r="GN47" s="886" t="s">
        <v>669</v>
      </c>
      <c r="GO47" s="885" t="s">
        <v>447</v>
      </c>
      <c r="GP47" s="885" t="s">
        <v>447</v>
      </c>
      <c r="GQ47" s="886" t="s">
        <v>547</v>
      </c>
      <c r="GR47" s="887">
        <v>13787455000</v>
      </c>
      <c r="GS47" s="887">
        <v>0</v>
      </c>
      <c r="GT47" s="887">
        <v>0</v>
      </c>
      <c r="GU47" s="887">
        <f t="shared" si="39"/>
        <v>14656064.664999999</v>
      </c>
      <c r="GV47" s="887">
        <f t="shared" si="40"/>
        <v>0</v>
      </c>
      <c r="GW47" s="887">
        <f t="shared" si="41"/>
        <v>0</v>
      </c>
      <c r="HO47" s="885" t="s">
        <v>667</v>
      </c>
      <c r="HP47" s="885" t="s">
        <v>634</v>
      </c>
      <c r="HQ47" s="885" t="s">
        <v>447</v>
      </c>
      <c r="HR47" s="885" t="s">
        <v>447</v>
      </c>
      <c r="HS47" s="603" t="s">
        <v>547</v>
      </c>
      <c r="HT47" s="604">
        <v>0</v>
      </c>
      <c r="HU47" s="604">
        <v>40572274861</v>
      </c>
      <c r="HV47" s="604">
        <v>34322834716</v>
      </c>
      <c r="HW47" s="862">
        <f t="shared" si="45"/>
        <v>0</v>
      </c>
      <c r="HX47" s="862">
        <f t="shared" si="46"/>
        <v>40572274.861000001</v>
      </c>
      <c r="HY47" s="862">
        <f t="shared" si="47"/>
        <v>34322834.715999998</v>
      </c>
      <c r="IQ47" s="885" t="s">
        <v>665</v>
      </c>
      <c r="IR47" s="885" t="s">
        <v>342</v>
      </c>
      <c r="IS47" s="885" t="s">
        <v>447</v>
      </c>
      <c r="IT47" s="885" t="s">
        <v>447</v>
      </c>
      <c r="IU47" s="886" t="s">
        <v>547</v>
      </c>
      <c r="IV47" s="887">
        <v>0</v>
      </c>
      <c r="IW47" s="887">
        <v>2247314062</v>
      </c>
      <c r="IX47" s="887">
        <v>1967715476</v>
      </c>
      <c r="IY47" s="888">
        <f t="shared" si="59"/>
        <v>0</v>
      </c>
      <c r="IZ47" s="888">
        <f t="shared" si="60"/>
        <v>2247314.0619999999</v>
      </c>
      <c r="JA47" s="888">
        <f t="shared" si="61"/>
        <v>1967715.476</v>
      </c>
      <c r="JO47" s="884" t="s">
        <v>665</v>
      </c>
      <c r="JP47" s="884" t="s">
        <v>342</v>
      </c>
      <c r="JQ47" s="884" t="s">
        <v>447</v>
      </c>
      <c r="JR47" s="605" t="s">
        <v>447</v>
      </c>
      <c r="JS47" s="605" t="s">
        <v>547</v>
      </c>
      <c r="JT47" s="889">
        <v>2586254159</v>
      </c>
      <c r="JU47" s="889">
        <v>0</v>
      </c>
      <c r="JV47" s="889">
        <v>0</v>
      </c>
      <c r="JW47" s="863">
        <f t="shared" si="55"/>
        <v>2586254.159</v>
      </c>
      <c r="JX47" s="863">
        <f t="shared" si="56"/>
        <v>0</v>
      </c>
      <c r="JY47" s="863">
        <f t="shared" si="57"/>
        <v>0</v>
      </c>
    </row>
    <row r="48" spans="1:285" ht="15" customHeight="1" x14ac:dyDescent="0.3">
      <c r="AM48" s="874" t="s">
        <v>452</v>
      </c>
      <c r="AN48" s="874" t="s">
        <v>128</v>
      </c>
      <c r="AO48" s="874" t="s">
        <v>447</v>
      </c>
      <c r="AP48" s="874" t="s">
        <v>447</v>
      </c>
      <c r="AQ48" s="875">
        <v>0</v>
      </c>
      <c r="AR48" s="875">
        <f t="shared" si="58"/>
        <v>0</v>
      </c>
      <c r="AS48" s="875">
        <v>1103517176</v>
      </c>
      <c r="AV48" s="862"/>
      <c r="BG48" s="874" t="s">
        <v>452</v>
      </c>
      <c r="BH48" s="874" t="s">
        <v>128</v>
      </c>
      <c r="BI48" s="874" t="s">
        <v>447</v>
      </c>
      <c r="BJ48" s="874" t="s">
        <v>447</v>
      </c>
      <c r="BK48" s="875">
        <v>0</v>
      </c>
      <c r="BL48" s="875">
        <v>1103517176</v>
      </c>
      <c r="BM48" s="875">
        <v>1103517176</v>
      </c>
      <c r="BN48" s="864">
        <f t="shared" si="1"/>
        <v>0</v>
      </c>
      <c r="BO48" s="864">
        <f t="shared" si="2"/>
        <v>1173038.7580879999</v>
      </c>
      <c r="BP48" s="864">
        <f t="shared" si="3"/>
        <v>1173038.7580879999</v>
      </c>
      <c r="CH48" s="602" t="s">
        <v>452</v>
      </c>
      <c r="CI48" s="602" t="s">
        <v>128</v>
      </c>
      <c r="CJ48" s="602" t="s">
        <v>447</v>
      </c>
      <c r="CK48" s="602" t="s">
        <v>447</v>
      </c>
      <c r="CL48" s="604">
        <v>0</v>
      </c>
      <c r="CM48" s="604">
        <v>1103517176</v>
      </c>
      <c r="CN48" s="604">
        <v>1103517176</v>
      </c>
      <c r="CO48" s="879">
        <f t="shared" si="15"/>
        <v>0</v>
      </c>
      <c r="CP48" s="879">
        <f t="shared" si="16"/>
        <v>1173038.7580879999</v>
      </c>
      <c r="CQ48" s="879">
        <f t="shared" si="17"/>
        <v>1173038.7580879999</v>
      </c>
      <c r="DH48" s="602" t="s">
        <v>452</v>
      </c>
      <c r="DI48" s="602" t="s">
        <v>128</v>
      </c>
      <c r="DJ48" s="602" t="s">
        <v>447</v>
      </c>
      <c r="DK48" s="602" t="s">
        <v>447</v>
      </c>
      <c r="DL48" s="604">
        <v>0</v>
      </c>
      <c r="DM48" s="604">
        <v>464073296</v>
      </c>
      <c r="DN48" s="604">
        <v>464073296</v>
      </c>
      <c r="DO48" s="862">
        <f t="shared" si="21"/>
        <v>0</v>
      </c>
      <c r="DP48" s="862">
        <f t="shared" si="22"/>
        <v>493309.91364799993</v>
      </c>
      <c r="DQ48" s="862">
        <f t="shared" si="23"/>
        <v>493309.91364799993</v>
      </c>
      <c r="EI48" s="602" t="s">
        <v>452</v>
      </c>
      <c r="EJ48" s="602" t="s">
        <v>128</v>
      </c>
      <c r="EK48" s="602" t="s">
        <v>447</v>
      </c>
      <c r="EL48" s="602" t="s">
        <v>447</v>
      </c>
      <c r="EM48" s="602" t="s">
        <v>547</v>
      </c>
      <c r="EN48" s="602">
        <v>467091000</v>
      </c>
      <c r="EO48" s="602">
        <v>0</v>
      </c>
      <c r="EP48" s="602">
        <v>0</v>
      </c>
      <c r="EQ48" s="884">
        <f t="shared" si="27"/>
        <v>496517.73299999995</v>
      </c>
      <c r="ER48" s="884">
        <f t="shared" si="28"/>
        <v>0</v>
      </c>
      <c r="ES48" s="884">
        <f t="shared" si="29"/>
        <v>0</v>
      </c>
      <c r="FK48" s="602" t="s">
        <v>668</v>
      </c>
      <c r="FL48" s="602" t="s">
        <v>669</v>
      </c>
      <c r="FM48" s="602" t="s">
        <v>447</v>
      </c>
      <c r="FN48" s="602" t="s">
        <v>447</v>
      </c>
      <c r="FO48" s="602" t="s">
        <v>547</v>
      </c>
      <c r="FP48" s="884">
        <v>0</v>
      </c>
      <c r="FQ48" s="884">
        <v>1385915368</v>
      </c>
      <c r="FR48" s="884">
        <v>690987321</v>
      </c>
      <c r="FS48" s="862">
        <f t="shared" si="33"/>
        <v>0</v>
      </c>
      <c r="FT48" s="862">
        <f t="shared" si="34"/>
        <v>1473228.0361839999</v>
      </c>
      <c r="FU48" s="862">
        <f t="shared" si="35"/>
        <v>734519.52222299995</v>
      </c>
      <c r="GM48" s="885" t="s">
        <v>668</v>
      </c>
      <c r="GN48" s="886" t="s">
        <v>669</v>
      </c>
      <c r="GO48" s="885" t="s">
        <v>447</v>
      </c>
      <c r="GP48" s="885" t="s">
        <v>447</v>
      </c>
      <c r="GQ48" s="886" t="s">
        <v>547</v>
      </c>
      <c r="GR48" s="887">
        <v>0</v>
      </c>
      <c r="GS48" s="887">
        <v>1385915368</v>
      </c>
      <c r="GT48" s="887">
        <v>690987321</v>
      </c>
      <c r="GU48" s="887">
        <f t="shared" si="39"/>
        <v>0</v>
      </c>
      <c r="GV48" s="887">
        <f t="shared" si="40"/>
        <v>1473228.0361839999</v>
      </c>
      <c r="GW48" s="887">
        <f t="shared" si="41"/>
        <v>734519.52222299995</v>
      </c>
      <c r="HO48" s="885" t="s">
        <v>668</v>
      </c>
      <c r="HP48" s="885" t="s">
        <v>669</v>
      </c>
      <c r="HQ48" s="885" t="s">
        <v>447</v>
      </c>
      <c r="HR48" s="885" t="s">
        <v>447</v>
      </c>
      <c r="HS48" s="603" t="s">
        <v>547</v>
      </c>
      <c r="HT48" s="604">
        <v>13787455000</v>
      </c>
      <c r="HU48" s="604">
        <v>0</v>
      </c>
      <c r="HV48" s="604">
        <v>0</v>
      </c>
      <c r="HW48" s="862">
        <f t="shared" si="45"/>
        <v>13787455</v>
      </c>
      <c r="HX48" s="862">
        <f t="shared" si="46"/>
        <v>0</v>
      </c>
      <c r="HY48" s="862">
        <f t="shared" si="47"/>
        <v>0</v>
      </c>
      <c r="IQ48" s="885" t="s">
        <v>666</v>
      </c>
      <c r="IR48" s="885" t="s">
        <v>529</v>
      </c>
      <c r="IS48" s="885" t="s">
        <v>447</v>
      </c>
      <c r="IT48" s="885" t="s">
        <v>447</v>
      </c>
      <c r="IU48" s="886" t="s">
        <v>547</v>
      </c>
      <c r="IV48" s="887">
        <v>9056909000</v>
      </c>
      <c r="IW48" s="887">
        <v>0</v>
      </c>
      <c r="IX48" s="887">
        <v>0</v>
      </c>
      <c r="IY48" s="888">
        <f t="shared" si="59"/>
        <v>9056909</v>
      </c>
      <c r="IZ48" s="888">
        <f t="shared" si="60"/>
        <v>0</v>
      </c>
      <c r="JA48" s="888">
        <f t="shared" si="61"/>
        <v>0</v>
      </c>
      <c r="JO48" s="884" t="s">
        <v>665</v>
      </c>
      <c r="JP48" s="884" t="s">
        <v>342</v>
      </c>
      <c r="JQ48" s="884" t="s">
        <v>447</v>
      </c>
      <c r="JR48" s="605" t="s">
        <v>447</v>
      </c>
      <c r="JS48" s="605" t="s">
        <v>547</v>
      </c>
      <c r="JT48" s="889">
        <v>0</v>
      </c>
      <c r="JU48" s="889">
        <v>2586222056</v>
      </c>
      <c r="JV48" s="889">
        <v>2586222056</v>
      </c>
      <c r="JW48" s="863">
        <f t="shared" si="55"/>
        <v>0</v>
      </c>
      <c r="JX48" s="863">
        <f t="shared" si="56"/>
        <v>2586222.0559999999</v>
      </c>
      <c r="JY48" s="863">
        <f t="shared" si="57"/>
        <v>2586222.0559999999</v>
      </c>
    </row>
    <row r="49" spans="93:285" ht="15" customHeight="1" x14ac:dyDescent="0.3">
      <c r="CO49" s="879">
        <f t="shared" si="15"/>
        <v>0</v>
      </c>
      <c r="CP49" s="879">
        <f t="shared" si="16"/>
        <v>0</v>
      </c>
      <c r="CQ49" s="879">
        <f t="shared" si="17"/>
        <v>0</v>
      </c>
      <c r="DH49" s="602"/>
      <c r="DI49" s="602"/>
      <c r="DJ49" s="602"/>
      <c r="DK49" s="602"/>
      <c r="DO49" s="862"/>
      <c r="DP49" s="862"/>
      <c r="DQ49" s="862">
        <f>SUM(DQ3:DQ48)</f>
        <v>107893377.80046701</v>
      </c>
      <c r="EI49" s="602" t="s">
        <v>452</v>
      </c>
      <c r="EJ49" s="602" t="s">
        <v>128</v>
      </c>
      <c r="EK49" s="602" t="s">
        <v>447</v>
      </c>
      <c r="EL49" s="602" t="s">
        <v>447</v>
      </c>
      <c r="EM49" s="602" t="s">
        <v>547</v>
      </c>
      <c r="EN49" s="602">
        <v>0</v>
      </c>
      <c r="EO49" s="602">
        <v>464073296</v>
      </c>
      <c r="EP49" s="602">
        <v>464073296</v>
      </c>
      <c r="EQ49" s="884">
        <f t="shared" si="27"/>
        <v>0</v>
      </c>
      <c r="ER49" s="884">
        <f t="shared" si="28"/>
        <v>493309.91364799993</v>
      </c>
      <c r="ES49" s="884">
        <f t="shared" si="29"/>
        <v>493309.91364799993</v>
      </c>
      <c r="FK49" s="602" t="s">
        <v>452</v>
      </c>
      <c r="FL49" s="602" t="s">
        <v>128</v>
      </c>
      <c r="FM49" s="602" t="s">
        <v>447</v>
      </c>
      <c r="FN49" s="602" t="s">
        <v>447</v>
      </c>
      <c r="FO49" s="602" t="s">
        <v>547</v>
      </c>
      <c r="FP49" s="884">
        <v>467091000</v>
      </c>
      <c r="FQ49" s="884">
        <v>0</v>
      </c>
      <c r="FR49" s="884">
        <v>0</v>
      </c>
      <c r="FS49" s="862">
        <f t="shared" si="33"/>
        <v>496517.73299999995</v>
      </c>
      <c r="FT49" s="862">
        <f t="shared" si="34"/>
        <v>0</v>
      </c>
      <c r="FU49" s="862">
        <f t="shared" si="35"/>
        <v>0</v>
      </c>
      <c r="GM49" s="885" t="s">
        <v>452</v>
      </c>
      <c r="GN49" s="886" t="s">
        <v>128</v>
      </c>
      <c r="GO49" s="885" t="s">
        <v>447</v>
      </c>
      <c r="GP49" s="885" t="s">
        <v>447</v>
      </c>
      <c r="GQ49" s="886" t="s">
        <v>547</v>
      </c>
      <c r="GR49" s="887">
        <v>467091000</v>
      </c>
      <c r="GS49" s="887">
        <v>0</v>
      </c>
      <c r="GT49" s="887">
        <v>0</v>
      </c>
      <c r="GU49" s="887">
        <f t="shared" si="39"/>
        <v>496517.73299999995</v>
      </c>
      <c r="GV49" s="887">
        <f t="shared" si="40"/>
        <v>0</v>
      </c>
      <c r="GW49" s="887">
        <f t="shared" si="41"/>
        <v>0</v>
      </c>
      <c r="HO49" s="885" t="s">
        <v>668</v>
      </c>
      <c r="HP49" s="885" t="s">
        <v>669</v>
      </c>
      <c r="HQ49" s="885" t="s">
        <v>447</v>
      </c>
      <c r="HR49" s="885" t="s">
        <v>447</v>
      </c>
      <c r="HS49" s="603" t="s">
        <v>547</v>
      </c>
      <c r="HT49" s="604">
        <v>0</v>
      </c>
      <c r="HU49" s="604">
        <v>3455915368</v>
      </c>
      <c r="HV49" s="604">
        <v>760987321</v>
      </c>
      <c r="HW49" s="862">
        <f t="shared" si="45"/>
        <v>0</v>
      </c>
      <c r="HX49" s="862">
        <f t="shared" si="46"/>
        <v>3455915.3679999998</v>
      </c>
      <c r="HY49" s="862">
        <f t="shared" si="47"/>
        <v>760987.321</v>
      </c>
      <c r="IQ49" s="885" t="s">
        <v>666</v>
      </c>
      <c r="IR49" s="885" t="s">
        <v>529</v>
      </c>
      <c r="IS49" s="885" t="s">
        <v>447</v>
      </c>
      <c r="IT49" s="885" t="s">
        <v>447</v>
      </c>
      <c r="IU49" s="886" t="s">
        <v>547</v>
      </c>
      <c r="IV49" s="887">
        <v>0</v>
      </c>
      <c r="IW49" s="887">
        <v>7148141651</v>
      </c>
      <c r="IX49" s="887">
        <v>6686564159</v>
      </c>
      <c r="IY49" s="888">
        <f t="shared" si="59"/>
        <v>0</v>
      </c>
      <c r="IZ49" s="888">
        <f t="shared" si="60"/>
        <v>7148141.6509999996</v>
      </c>
      <c r="JA49" s="888">
        <f t="shared" si="61"/>
        <v>6686564.159</v>
      </c>
      <c r="JO49" s="884" t="s">
        <v>666</v>
      </c>
      <c r="JP49" s="884" t="s">
        <v>529</v>
      </c>
      <c r="JQ49" s="884" t="s">
        <v>447</v>
      </c>
      <c r="JR49" s="605" t="s">
        <v>447</v>
      </c>
      <c r="JS49" s="605" t="s">
        <v>547</v>
      </c>
      <c r="JT49" s="889">
        <v>7741541056</v>
      </c>
      <c r="JU49" s="889">
        <v>0</v>
      </c>
      <c r="JV49" s="889">
        <v>0</v>
      </c>
      <c r="JW49" s="863">
        <f t="shared" si="55"/>
        <v>7741541.0559999999</v>
      </c>
      <c r="JX49" s="863">
        <f t="shared" si="56"/>
        <v>0</v>
      </c>
      <c r="JY49" s="863">
        <f t="shared" si="57"/>
        <v>0</v>
      </c>
    </row>
    <row r="50" spans="93:285" ht="15" customHeight="1" x14ac:dyDescent="0.3">
      <c r="FK50" s="602" t="s">
        <v>452</v>
      </c>
      <c r="FL50" s="602" t="s">
        <v>128</v>
      </c>
      <c r="FM50" s="602" t="s">
        <v>447</v>
      </c>
      <c r="FN50" s="602" t="s">
        <v>447</v>
      </c>
      <c r="FO50" s="602" t="s">
        <v>547</v>
      </c>
      <c r="FP50" s="884">
        <v>0</v>
      </c>
      <c r="FQ50" s="884">
        <v>464073296</v>
      </c>
      <c r="FR50" s="884">
        <v>464073296</v>
      </c>
      <c r="FS50" s="862">
        <f t="shared" si="33"/>
        <v>0</v>
      </c>
      <c r="FT50" s="862">
        <f t="shared" si="34"/>
        <v>493309.91364799993</v>
      </c>
      <c r="FU50" s="862">
        <f t="shared" si="35"/>
        <v>493309.91364799993</v>
      </c>
      <c r="GM50" s="885" t="s">
        <v>452</v>
      </c>
      <c r="GN50" s="886" t="s">
        <v>128</v>
      </c>
      <c r="GO50" s="885" t="s">
        <v>447</v>
      </c>
      <c r="GP50" s="885" t="s">
        <v>447</v>
      </c>
      <c r="GQ50" s="886" t="s">
        <v>547</v>
      </c>
      <c r="GR50" s="887">
        <v>0</v>
      </c>
      <c r="GS50" s="887">
        <v>464073296</v>
      </c>
      <c r="GT50" s="887">
        <v>464073296</v>
      </c>
      <c r="GU50" s="887">
        <f t="shared" si="39"/>
        <v>0</v>
      </c>
      <c r="GV50" s="887">
        <f t="shared" si="40"/>
        <v>493309.91364799993</v>
      </c>
      <c r="GW50" s="887">
        <f t="shared" si="41"/>
        <v>493309.91364799993</v>
      </c>
      <c r="HO50" s="885" t="s">
        <v>452</v>
      </c>
      <c r="HP50" s="885" t="s">
        <v>128</v>
      </c>
      <c r="HQ50" s="885" t="s">
        <v>447</v>
      </c>
      <c r="HR50" s="885" t="s">
        <v>447</v>
      </c>
      <c r="HS50" s="603" t="s">
        <v>547</v>
      </c>
      <c r="HT50" s="604">
        <v>467091000</v>
      </c>
      <c r="HU50" s="604">
        <v>0</v>
      </c>
      <c r="HV50" s="604">
        <v>0</v>
      </c>
      <c r="HW50" s="862">
        <f t="shared" si="45"/>
        <v>467091</v>
      </c>
      <c r="HX50" s="862">
        <f t="shared" si="46"/>
        <v>0</v>
      </c>
      <c r="HY50" s="862">
        <f t="shared" si="47"/>
        <v>0</v>
      </c>
      <c r="IQ50" s="885" t="s">
        <v>667</v>
      </c>
      <c r="IR50" s="885" t="s">
        <v>634</v>
      </c>
      <c r="IS50" s="885" t="s">
        <v>447</v>
      </c>
      <c r="IT50" s="885" t="s">
        <v>447</v>
      </c>
      <c r="IU50" s="886" t="s">
        <v>547</v>
      </c>
      <c r="IV50" s="887">
        <v>49940433469</v>
      </c>
      <c r="IW50" s="887">
        <v>0</v>
      </c>
      <c r="IX50" s="887">
        <v>0</v>
      </c>
      <c r="IY50" s="888">
        <f t="shared" si="59"/>
        <v>49940433.468999997</v>
      </c>
      <c r="IZ50" s="888">
        <f t="shared" si="60"/>
        <v>0</v>
      </c>
      <c r="JA50" s="888">
        <f t="shared" si="61"/>
        <v>0</v>
      </c>
      <c r="JO50" s="884" t="s">
        <v>666</v>
      </c>
      <c r="JP50" s="884" t="s">
        <v>529</v>
      </c>
      <c r="JQ50" s="884" t="s">
        <v>447</v>
      </c>
      <c r="JR50" s="605" t="s">
        <v>447</v>
      </c>
      <c r="JS50" s="605" t="s">
        <v>547</v>
      </c>
      <c r="JT50" s="889">
        <v>0</v>
      </c>
      <c r="JU50" s="889">
        <v>7741541056</v>
      </c>
      <c r="JV50" s="889">
        <v>7741541056</v>
      </c>
      <c r="JW50" s="863">
        <f t="shared" si="55"/>
        <v>0</v>
      </c>
      <c r="JX50" s="863">
        <f t="shared" si="56"/>
        <v>7741541.0559999999</v>
      </c>
      <c r="JY50" s="863">
        <f t="shared" si="57"/>
        <v>7741541.0559999999</v>
      </c>
    </row>
    <row r="51" spans="93:285" ht="15" customHeight="1" x14ac:dyDescent="0.3">
      <c r="FK51" s="602"/>
      <c r="FL51" s="602"/>
      <c r="FM51" s="602"/>
      <c r="FN51" s="602"/>
      <c r="FO51" s="602"/>
      <c r="FP51" s="884"/>
      <c r="FQ51" s="884"/>
      <c r="FR51" s="884"/>
      <c r="FS51" s="862">
        <f t="shared" si="33"/>
        <v>0</v>
      </c>
      <c r="FT51" s="862">
        <f t="shared" si="34"/>
        <v>0</v>
      </c>
      <c r="FU51" s="862">
        <f t="shared" si="35"/>
        <v>0</v>
      </c>
      <c r="GU51" s="860">
        <f>SUM(GU3:GU50)</f>
        <v>311956056.67399997</v>
      </c>
      <c r="GV51" s="860">
        <f>SUM(GV3:GV50)</f>
        <v>218399679.611177</v>
      </c>
      <c r="GW51" s="860">
        <f>SUM(GW3:GW50)</f>
        <v>202008714.49826798</v>
      </c>
      <c r="HO51" s="885" t="s">
        <v>452</v>
      </c>
      <c r="HP51" s="885" t="s">
        <v>128</v>
      </c>
      <c r="HQ51" s="885" t="s">
        <v>447</v>
      </c>
      <c r="HR51" s="885" t="s">
        <v>447</v>
      </c>
      <c r="HS51" s="603" t="s">
        <v>547</v>
      </c>
      <c r="HT51" s="604">
        <v>0</v>
      </c>
      <c r="HU51" s="604">
        <v>464073296</v>
      </c>
      <c r="HV51" s="604">
        <v>464073296</v>
      </c>
      <c r="HW51" s="862">
        <f t="shared" si="45"/>
        <v>0</v>
      </c>
      <c r="HX51" s="862">
        <f t="shared" si="46"/>
        <v>464073.29599999997</v>
      </c>
      <c r="HY51" s="862">
        <f t="shared" si="47"/>
        <v>464073.29599999997</v>
      </c>
      <c r="IQ51" s="885" t="s">
        <v>667</v>
      </c>
      <c r="IR51" s="885" t="s">
        <v>634</v>
      </c>
      <c r="IS51" s="885" t="s">
        <v>447</v>
      </c>
      <c r="IT51" s="885" t="s">
        <v>447</v>
      </c>
      <c r="IU51" s="886" t="s">
        <v>547</v>
      </c>
      <c r="IV51" s="887">
        <v>0</v>
      </c>
      <c r="IW51" s="887">
        <v>43256585414</v>
      </c>
      <c r="IX51" s="887">
        <v>40991033777</v>
      </c>
      <c r="IY51" s="888">
        <f t="shared" si="59"/>
        <v>0</v>
      </c>
      <c r="IZ51" s="888">
        <f t="shared" si="60"/>
        <v>43256585.413999997</v>
      </c>
      <c r="JA51" s="888">
        <f t="shared" si="61"/>
        <v>40991033.777000003</v>
      </c>
      <c r="JO51" s="884" t="s">
        <v>667</v>
      </c>
      <c r="JP51" s="884" t="s">
        <v>634</v>
      </c>
      <c r="JQ51" s="884" t="s">
        <v>447</v>
      </c>
      <c r="JR51" s="605" t="s">
        <v>447</v>
      </c>
      <c r="JS51" s="605" t="s">
        <v>547</v>
      </c>
      <c r="JT51" s="889">
        <v>53330945907</v>
      </c>
      <c r="JU51" s="889">
        <v>0</v>
      </c>
      <c r="JV51" s="889">
        <v>0</v>
      </c>
      <c r="JW51" s="863">
        <f t="shared" si="55"/>
        <v>53330945.906999998</v>
      </c>
      <c r="JX51" s="863">
        <f t="shared" si="56"/>
        <v>0</v>
      </c>
      <c r="JY51" s="863">
        <f t="shared" si="57"/>
        <v>0</v>
      </c>
    </row>
    <row r="52" spans="93:285" ht="15" customHeight="1" x14ac:dyDescent="0.3">
      <c r="IQ52" s="885" t="s">
        <v>668</v>
      </c>
      <c r="IR52" s="885" t="s">
        <v>669</v>
      </c>
      <c r="IS52" s="885" t="s">
        <v>447</v>
      </c>
      <c r="IT52" s="885" t="s">
        <v>447</v>
      </c>
      <c r="IU52" s="886" t="s">
        <v>547</v>
      </c>
      <c r="IV52" s="887">
        <v>13787455000</v>
      </c>
      <c r="IW52" s="887">
        <v>0</v>
      </c>
      <c r="IX52" s="887">
        <v>0</v>
      </c>
      <c r="IY52" s="888">
        <f t="shared" si="59"/>
        <v>13787455</v>
      </c>
      <c r="IZ52" s="888">
        <f t="shared" si="60"/>
        <v>0</v>
      </c>
      <c r="JA52" s="888">
        <f t="shared" si="61"/>
        <v>0</v>
      </c>
      <c r="JO52" s="884" t="s">
        <v>667</v>
      </c>
      <c r="JP52" s="884" t="s">
        <v>634</v>
      </c>
      <c r="JQ52" s="884" t="s">
        <v>447</v>
      </c>
      <c r="JR52" s="605" t="s">
        <v>447</v>
      </c>
      <c r="JS52" s="605" t="s">
        <v>547</v>
      </c>
      <c r="JT52" s="889">
        <v>0</v>
      </c>
      <c r="JU52" s="889">
        <v>53267549534</v>
      </c>
      <c r="JV52" s="889">
        <v>53267549534</v>
      </c>
      <c r="JW52" s="863">
        <f t="shared" si="55"/>
        <v>0</v>
      </c>
      <c r="JX52" s="863">
        <f t="shared" si="56"/>
        <v>53267549.534000002</v>
      </c>
      <c r="JY52" s="863">
        <f t="shared" si="57"/>
        <v>53267549.534000002</v>
      </c>
    </row>
    <row r="53" spans="93:285" x14ac:dyDescent="0.3">
      <c r="IQ53" s="885" t="s">
        <v>668</v>
      </c>
      <c r="IR53" s="885" t="s">
        <v>669</v>
      </c>
      <c r="IS53" s="885" t="s">
        <v>447</v>
      </c>
      <c r="IT53" s="885" t="s">
        <v>447</v>
      </c>
      <c r="IU53" s="886" t="s">
        <v>547</v>
      </c>
      <c r="IV53" s="887">
        <v>0</v>
      </c>
      <c r="IW53" s="887">
        <v>9651189160</v>
      </c>
      <c r="IX53" s="887">
        <v>3455915368</v>
      </c>
      <c r="IY53" s="888">
        <f t="shared" si="59"/>
        <v>0</v>
      </c>
      <c r="IZ53" s="888">
        <f t="shared" si="60"/>
        <v>9651189.1600000001</v>
      </c>
      <c r="JA53" s="888">
        <f t="shared" si="61"/>
        <v>3455915.3679999998</v>
      </c>
      <c r="JO53" s="892" t="s">
        <v>668</v>
      </c>
      <c r="JP53" s="892" t="s">
        <v>669</v>
      </c>
      <c r="JQ53" s="892" t="s">
        <v>447</v>
      </c>
      <c r="JR53" s="893" t="s">
        <v>447</v>
      </c>
      <c r="JS53" s="893" t="s">
        <v>547</v>
      </c>
      <c r="JT53" s="894">
        <v>11987455000</v>
      </c>
      <c r="JU53" s="894">
        <v>0</v>
      </c>
      <c r="JV53" s="894">
        <v>0</v>
      </c>
      <c r="JW53" s="869">
        <f t="shared" si="55"/>
        <v>11987455</v>
      </c>
      <c r="JX53" s="869">
        <f t="shared" si="56"/>
        <v>0</v>
      </c>
      <c r="JY53" s="869">
        <f t="shared" si="57"/>
        <v>0</v>
      </c>
    </row>
    <row r="54" spans="93:285" x14ac:dyDescent="0.3">
      <c r="IQ54" s="885" t="s">
        <v>452</v>
      </c>
      <c r="IR54" s="885" t="s">
        <v>128</v>
      </c>
      <c r="IS54" s="885" t="s">
        <v>447</v>
      </c>
      <c r="IT54" s="885" t="s">
        <v>447</v>
      </c>
      <c r="IU54" s="886" t="s">
        <v>547</v>
      </c>
      <c r="IV54" s="887">
        <v>467091000</v>
      </c>
      <c r="IW54" s="887">
        <v>0</v>
      </c>
      <c r="IX54" s="887">
        <v>0</v>
      </c>
      <c r="IY54" s="888">
        <f t="shared" si="59"/>
        <v>467091</v>
      </c>
      <c r="IZ54" s="888">
        <f t="shared" si="60"/>
        <v>0</v>
      </c>
      <c r="JA54" s="888">
        <f t="shared" si="61"/>
        <v>0</v>
      </c>
      <c r="JO54" s="892" t="s">
        <v>668</v>
      </c>
      <c r="JP54" s="892" t="s">
        <v>669</v>
      </c>
      <c r="JQ54" s="892" t="s">
        <v>447</v>
      </c>
      <c r="JR54" s="893" t="s">
        <v>447</v>
      </c>
      <c r="JS54" s="893" t="s">
        <v>547</v>
      </c>
      <c r="JT54" s="894">
        <v>0</v>
      </c>
      <c r="JU54" s="894">
        <v>11987455000</v>
      </c>
      <c r="JV54" s="894">
        <v>11987455000</v>
      </c>
      <c r="JW54" s="869">
        <f t="shared" si="55"/>
        <v>0</v>
      </c>
      <c r="JX54" s="869">
        <f t="shared" si="56"/>
        <v>11987455</v>
      </c>
      <c r="JY54" s="869">
        <f t="shared" si="57"/>
        <v>11987455</v>
      </c>
    </row>
    <row r="55" spans="93:285" x14ac:dyDescent="0.3">
      <c r="IQ55" s="885" t="s">
        <v>452</v>
      </c>
      <c r="IR55" s="885" t="s">
        <v>128</v>
      </c>
      <c r="IS55" s="885" t="s">
        <v>447</v>
      </c>
      <c r="IT55" s="885" t="s">
        <v>447</v>
      </c>
      <c r="IU55" s="886" t="s">
        <v>547</v>
      </c>
      <c r="IV55" s="887">
        <v>0</v>
      </c>
      <c r="IW55" s="887">
        <v>464073296</v>
      </c>
      <c r="IX55" s="887">
        <v>464073296</v>
      </c>
      <c r="IY55" s="888">
        <f t="shared" si="59"/>
        <v>0</v>
      </c>
      <c r="IZ55" s="888">
        <f t="shared" si="60"/>
        <v>464073.29599999997</v>
      </c>
      <c r="JA55" s="888">
        <f t="shared" si="61"/>
        <v>464073.29599999997</v>
      </c>
      <c r="JO55" s="892" t="s">
        <v>452</v>
      </c>
      <c r="JP55" s="892" t="s">
        <v>128</v>
      </c>
      <c r="JQ55" s="892" t="s">
        <v>447</v>
      </c>
      <c r="JR55" s="893" t="s">
        <v>447</v>
      </c>
      <c r="JS55" s="893" t="s">
        <v>547</v>
      </c>
      <c r="JT55" s="894">
        <v>467091000</v>
      </c>
      <c r="JU55" s="894">
        <v>0</v>
      </c>
      <c r="JV55" s="894">
        <v>0</v>
      </c>
      <c r="JW55" s="869">
        <f t="shared" si="55"/>
        <v>467091</v>
      </c>
      <c r="JX55" s="869">
        <f t="shared" si="56"/>
        <v>0</v>
      </c>
      <c r="JY55" s="869">
        <f t="shared" si="57"/>
        <v>0</v>
      </c>
    </row>
    <row r="56" spans="93:285" x14ac:dyDescent="0.3">
      <c r="IY56" s="865"/>
      <c r="IZ56" s="865"/>
      <c r="JA56" s="865"/>
      <c r="JO56" s="892" t="s">
        <v>452</v>
      </c>
      <c r="JP56" s="892" t="s">
        <v>128</v>
      </c>
      <c r="JQ56" s="892" t="s">
        <v>447</v>
      </c>
      <c r="JR56" s="893" t="s">
        <v>447</v>
      </c>
      <c r="JS56" s="893" t="s">
        <v>547</v>
      </c>
      <c r="JT56" s="894">
        <v>0</v>
      </c>
      <c r="JU56" s="894">
        <v>464073296</v>
      </c>
      <c r="JV56" s="894">
        <v>464073296</v>
      </c>
      <c r="JW56" s="869">
        <f t="shared" si="55"/>
        <v>0</v>
      </c>
      <c r="JX56" s="869">
        <f t="shared" si="56"/>
        <v>464073.29599999997</v>
      </c>
      <c r="JY56" s="869">
        <f t="shared" si="57"/>
        <v>464073.29599999997</v>
      </c>
    </row>
    <row r="57" spans="93:285" x14ac:dyDescent="0.3">
      <c r="JW57" s="863">
        <f>SUM(JW3:JW56)</f>
        <v>318917104.00000006</v>
      </c>
      <c r="JX57" s="863">
        <f t="shared" ref="JX57:JY57" si="62">SUM(JX3:JX56)</f>
        <v>318822883.95800006</v>
      </c>
      <c r="JY57" s="863">
        <f t="shared" si="62"/>
        <v>317856916.52800006</v>
      </c>
    </row>
    <row r="60" spans="93:285" x14ac:dyDescent="0.3">
      <c r="JW60" s="863">
        <f>+JW57-'Prog 03'!I11</f>
        <v>-52561121.99999994</v>
      </c>
      <c r="JX60" s="863">
        <f ca="1">+JX57-'Prog 03'!L11</f>
        <v>64903209.807000071</v>
      </c>
      <c r="JY60" s="863">
        <f ca="1">+JY57-'Prog 03'!J11</f>
        <v>92605404.035000056</v>
      </c>
    </row>
  </sheetData>
  <mergeCells count="23">
    <mergeCell ref="JE1:JM1"/>
    <mergeCell ref="JO1:JY1"/>
    <mergeCell ref="A1:I1"/>
    <mergeCell ref="L1:Q1"/>
    <mergeCell ref="U1:Z1"/>
    <mergeCell ref="AD1:AI1"/>
    <mergeCell ref="AM1:AS1"/>
    <mergeCell ref="IC1:IM1"/>
    <mergeCell ref="IQ1:JA1"/>
    <mergeCell ref="AX1:BC1"/>
    <mergeCell ref="BG1:BP1"/>
    <mergeCell ref="DU1:EE1"/>
    <mergeCell ref="EI1:ES1"/>
    <mergeCell ref="CU1:DF1"/>
    <mergeCell ref="DH1:DQ1"/>
    <mergeCell ref="BT1:CD1"/>
    <mergeCell ref="CH1:CQ1"/>
    <mergeCell ref="HA1:HK1"/>
    <mergeCell ref="HO1:IA1"/>
    <mergeCell ref="FY1:GI1"/>
    <mergeCell ref="GM1:GW1"/>
    <mergeCell ref="EW1:FG1"/>
    <mergeCell ref="FL1:FU1"/>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M55"/>
  <sheetViews>
    <sheetView topLeftCell="EX1" zoomScale="80" zoomScaleNormal="80" workbookViewId="0">
      <selection activeCell="FP15" sqref="FP15"/>
    </sheetView>
  </sheetViews>
  <sheetFormatPr baseColWidth="10" defaultRowHeight="16.5" x14ac:dyDescent="0.3"/>
  <cols>
    <col min="1" max="1" width="11.42578125" style="1611"/>
    <col min="2" max="2" width="27.140625" style="1611" customWidth="1"/>
    <col min="3" max="4" width="11.42578125" style="1611"/>
    <col min="5" max="5" width="21.5703125" style="1611" hidden="1" customWidth="1"/>
    <col min="6" max="8" width="0" style="1574" hidden="1" customWidth="1"/>
    <col min="9" max="11" width="12.140625" style="1574" bestFit="1" customWidth="1"/>
    <col min="12" max="17" width="11.42578125" style="1611"/>
    <col min="18" max="20" width="11.42578125" style="1611" hidden="1" customWidth="1"/>
    <col min="21" max="22" width="0" style="1611" hidden="1" customWidth="1"/>
    <col min="23" max="23" width="12.140625" style="1611" bestFit="1" customWidth="1"/>
    <col min="24" max="25" width="11.42578125" style="1611"/>
    <col min="26" max="26" width="28" style="1611" customWidth="1"/>
    <col min="27" max="27" width="12.7109375" style="1611" customWidth="1"/>
    <col min="28" max="28" width="14.140625" style="1611" customWidth="1"/>
    <col min="29" max="31" width="0" style="1611" hidden="1" customWidth="1"/>
    <col min="32" max="34" width="12.140625" style="1611" bestFit="1" customWidth="1"/>
    <col min="35" max="35" width="11.42578125" style="1611"/>
    <col min="36" max="39" width="16.42578125" style="1611" customWidth="1"/>
    <col min="40" max="40" width="16.42578125" style="1611" hidden="1" customWidth="1"/>
    <col min="41" max="41" width="12" style="1611" customWidth="1"/>
    <col min="42" max="42" width="12.140625" style="1611" bestFit="1" customWidth="1"/>
    <col min="43" max="45" width="11.42578125" style="1611"/>
    <col min="46" max="46" width="15.28515625" style="1611" customWidth="1"/>
    <col min="47" max="47" width="11.42578125" style="1682"/>
    <col min="48" max="50" width="0" style="1611" hidden="1" customWidth="1"/>
    <col min="51" max="51" width="12.85546875" style="1611" customWidth="1"/>
    <col min="52" max="54" width="12.140625" style="1611" bestFit="1" customWidth="1"/>
    <col min="55" max="56" width="11.42578125" style="1611"/>
    <col min="57" max="57" width="27.7109375" style="1611" customWidth="1"/>
    <col min="58" max="58" width="11.42578125" style="1611"/>
    <col min="59" max="59" width="18.5703125" style="1611" customWidth="1"/>
    <col min="60" max="60" width="14.5703125" style="1611" bestFit="1" customWidth="1"/>
    <col min="61" max="61" width="12.28515625" style="1611" bestFit="1" customWidth="1"/>
    <col min="62" max="62" width="11.42578125" style="1611"/>
    <col min="63" max="66" width="11.42578125" style="1682"/>
    <col min="67" max="69" width="16.42578125" style="1611" hidden="1" customWidth="1"/>
    <col min="70" max="72" width="14" style="1611" bestFit="1" customWidth="1"/>
    <col min="73" max="77" width="11.42578125" style="1611"/>
    <col min="78" max="78" width="17.140625" style="1611" customWidth="1"/>
    <col min="79" max="79" width="0" style="1611" hidden="1" customWidth="1"/>
    <col min="80" max="81" width="12.140625" style="1611" bestFit="1" customWidth="1"/>
    <col min="82" max="86" width="11.42578125" style="1611"/>
    <col min="87" max="89" width="13.28515625" style="1669" hidden="1" customWidth="1"/>
    <col min="90" max="92" width="12.140625" style="1611" bestFit="1" customWidth="1"/>
    <col min="93" max="95" width="11.42578125" style="1611"/>
    <col min="96" max="96" width="28" style="1611" customWidth="1"/>
    <col min="97" max="97" width="11.42578125" style="1611"/>
    <col min="98" max="98" width="15.42578125" style="1611" customWidth="1"/>
    <col min="99" max="99" width="0" style="1611" hidden="1" customWidth="1"/>
    <col min="100" max="101" width="12.140625" style="1611" bestFit="1" customWidth="1"/>
    <col min="102" max="103" width="11.42578125" style="1611"/>
    <col min="104" max="106" width="23" style="1611" customWidth="1"/>
    <col min="107" max="109" width="13.28515625" style="1669" hidden="1" customWidth="1"/>
    <col min="110" max="112" width="12.140625" style="1611" bestFit="1" customWidth="1"/>
    <col min="113" max="115" width="11.42578125" style="1611"/>
    <col min="116" max="118" width="11.42578125" style="1682"/>
    <col min="119" max="119" width="11.5703125" style="1682" customWidth="1"/>
    <col min="120" max="120" width="13.28515625" style="1611" hidden="1" customWidth="1"/>
    <col min="121" max="122" width="12.140625" style="1611" bestFit="1" customWidth="1"/>
    <col min="123" max="123" width="11.42578125" style="1611"/>
    <col min="124" max="124" width="20.85546875" style="1682" customWidth="1"/>
    <col min="125" max="125" width="14.140625" style="1682" customWidth="1"/>
    <col min="126" max="126" width="30.42578125" style="1682" customWidth="1"/>
    <col min="127" max="129" width="13.7109375" style="1611" hidden="1" customWidth="1"/>
    <col min="130" max="132" width="12.140625" style="1611" bestFit="1" customWidth="1"/>
    <col min="133" max="134" width="11.42578125" style="1611"/>
    <col min="135" max="135" width="21.7109375" style="1611" customWidth="1"/>
    <col min="136" max="137" width="11.42578125" style="1611"/>
    <col min="138" max="138" width="13.140625" style="1611" hidden="1" customWidth="1"/>
    <col min="139" max="139" width="12.42578125" style="1611" bestFit="1" customWidth="1"/>
    <col min="140" max="140" width="11.85546875" style="1611" bestFit="1" customWidth="1"/>
    <col min="141" max="141" width="11.85546875" style="1611" customWidth="1"/>
    <col min="142" max="142" width="20.42578125" style="1611" customWidth="1"/>
    <col min="143" max="144" width="13.5703125" style="1611" customWidth="1"/>
    <col min="145" max="147" width="14.140625" style="1611" hidden="1" customWidth="1"/>
    <col min="148" max="148" width="17.28515625" style="1611" customWidth="1"/>
    <col min="149" max="149" width="13.42578125" style="1611" customWidth="1"/>
    <col min="150" max="150" width="13.5703125" style="1611" customWidth="1"/>
    <col min="151" max="152" width="11.42578125" style="1611"/>
    <col min="153" max="153" width="14.85546875" style="1611" customWidth="1"/>
    <col min="154" max="154" width="28.7109375" style="1682" customWidth="1"/>
    <col min="155" max="155" width="14.85546875" style="1611" customWidth="1"/>
    <col min="156" max="156" width="29.7109375" style="1611" customWidth="1"/>
    <col min="157" max="157" width="11.42578125" style="1611" customWidth="1"/>
    <col min="158" max="159" width="11.42578125" style="1611"/>
    <col min="160" max="160" width="11.42578125" style="859"/>
    <col min="161" max="161" width="55.42578125" style="859" customWidth="1"/>
    <col min="162" max="162" width="17" style="859" customWidth="1"/>
    <col min="163" max="163" width="49.5703125" style="859" customWidth="1"/>
    <col min="164" max="166" width="0" style="1611" hidden="1" customWidth="1"/>
    <col min="167" max="169" width="16.7109375" style="1611" customWidth="1"/>
    <col min="170" max="16384" width="11.42578125" style="1611"/>
  </cols>
  <sheetData>
    <row r="1" spans="1:169" s="1661" customFormat="1" ht="15" x14ac:dyDescent="0.3">
      <c r="A1" s="1949" t="s">
        <v>0</v>
      </c>
      <c r="B1" s="1949"/>
      <c r="C1" s="1949"/>
      <c r="D1" s="1949"/>
      <c r="F1" s="1662"/>
      <c r="G1" s="1662"/>
      <c r="H1" s="1662"/>
      <c r="I1" s="1662"/>
      <c r="J1" s="1662">
        <v>1000</v>
      </c>
      <c r="K1" s="1662">
        <v>1</v>
      </c>
      <c r="N1" s="1949" t="s">
        <v>137</v>
      </c>
      <c r="O1" s="1949"/>
      <c r="P1" s="1949"/>
      <c r="Q1" s="1949"/>
      <c r="R1" s="1949"/>
      <c r="S1" s="1949"/>
      <c r="T1" s="1949"/>
      <c r="U1" s="1661">
        <v>1000</v>
      </c>
      <c r="V1" s="1661">
        <v>1</v>
      </c>
      <c r="Y1" s="1949" t="s">
        <v>1008</v>
      </c>
      <c r="Z1" s="1949"/>
      <c r="AA1" s="1949"/>
      <c r="AB1" s="1949"/>
      <c r="AC1" s="1949"/>
      <c r="AD1" s="1949"/>
      <c r="AE1" s="1949"/>
      <c r="AF1" s="1661">
        <v>1000</v>
      </c>
      <c r="AG1" s="1661">
        <v>1</v>
      </c>
      <c r="AJ1" s="1948" t="s">
        <v>6</v>
      </c>
      <c r="AK1" s="1948"/>
      <c r="AL1" s="1948"/>
      <c r="AM1" s="1948"/>
      <c r="AO1" s="1661">
        <v>1000</v>
      </c>
      <c r="AP1" s="1661">
        <v>1</v>
      </c>
      <c r="AR1" s="1949" t="s">
        <v>1014</v>
      </c>
      <c r="AS1" s="1949"/>
      <c r="AT1" s="1949"/>
      <c r="AU1" s="1949"/>
      <c r="BA1" s="1661">
        <v>1000</v>
      </c>
      <c r="BB1" s="1661">
        <v>1</v>
      </c>
      <c r="BD1" s="1951" t="s">
        <v>7</v>
      </c>
      <c r="BE1" s="1951"/>
      <c r="BF1" s="1951"/>
      <c r="BG1" s="1951"/>
      <c r="BH1" s="1661">
        <v>1000</v>
      </c>
      <c r="BI1" s="1661">
        <v>1</v>
      </c>
      <c r="BK1" s="1949" t="s">
        <v>1020</v>
      </c>
      <c r="BL1" s="1949"/>
      <c r="BM1" s="1949"/>
      <c r="BN1" s="1949"/>
      <c r="BO1" s="1949"/>
      <c r="BP1" s="1949"/>
      <c r="BQ1" s="1949"/>
      <c r="BR1" s="1661">
        <v>1000</v>
      </c>
      <c r="BT1" s="1661">
        <v>1</v>
      </c>
      <c r="BW1" s="1661" t="s">
        <v>8</v>
      </c>
      <c r="CB1" s="1661">
        <v>1000</v>
      </c>
      <c r="CC1" s="1661">
        <v>1</v>
      </c>
      <c r="CE1" s="1661" t="s">
        <v>1026</v>
      </c>
      <c r="CI1" s="1663"/>
      <c r="CJ1" s="1663"/>
      <c r="CK1" s="1663"/>
      <c r="CL1" s="1661">
        <v>1000</v>
      </c>
      <c r="CM1" s="1661">
        <v>1</v>
      </c>
      <c r="CQ1" s="1950" t="s">
        <v>1045</v>
      </c>
      <c r="CR1" s="1948"/>
      <c r="CS1" s="1948"/>
      <c r="CT1" s="1948"/>
      <c r="CU1" s="1948"/>
      <c r="CV1" s="1661">
        <v>1000</v>
      </c>
      <c r="CW1" s="1661">
        <v>1</v>
      </c>
      <c r="CY1" s="1948" t="s">
        <v>1041</v>
      </c>
      <c r="CZ1" s="1948"/>
      <c r="DA1" s="1948"/>
      <c r="DB1" s="1948"/>
      <c r="DC1" s="1948"/>
      <c r="DD1" s="1948"/>
      <c r="DE1" s="1948"/>
      <c r="DG1" s="1661">
        <v>1000</v>
      </c>
      <c r="DH1" s="1661">
        <v>1</v>
      </c>
      <c r="DK1" s="1661" t="s">
        <v>1051</v>
      </c>
      <c r="DL1" s="1664"/>
      <c r="DM1" s="1664"/>
      <c r="DN1" s="1664"/>
      <c r="DO1" s="1664"/>
      <c r="DQ1" s="1661">
        <v>1000</v>
      </c>
      <c r="DR1" s="1661">
        <v>1</v>
      </c>
      <c r="DS1" s="1948" t="s">
        <v>861</v>
      </c>
      <c r="DT1" s="1948"/>
      <c r="DU1" s="1948"/>
      <c r="DV1" s="1948"/>
      <c r="DW1" s="1948"/>
      <c r="DX1" s="1948"/>
      <c r="DY1" s="1948"/>
      <c r="EA1" s="1661">
        <v>1000</v>
      </c>
      <c r="EB1" s="1661">
        <v>1</v>
      </c>
      <c r="ED1" s="1948" t="s">
        <v>10</v>
      </c>
      <c r="EE1" s="1948"/>
      <c r="EF1" s="1948"/>
      <c r="EG1" s="1948"/>
      <c r="EH1" s="1948"/>
      <c r="EI1" s="1661">
        <v>1000</v>
      </c>
      <c r="EJ1" s="1661">
        <v>1</v>
      </c>
      <c r="EK1" s="1949" t="s">
        <v>871</v>
      </c>
      <c r="EL1" s="1949"/>
      <c r="EM1" s="1949"/>
      <c r="EN1" s="1949"/>
      <c r="EO1" s="1949"/>
      <c r="EP1" s="1949"/>
      <c r="EQ1" s="1949"/>
      <c r="ER1" s="1949"/>
      <c r="ES1" s="1661">
        <v>1000</v>
      </c>
      <c r="ET1" s="1661">
        <v>1</v>
      </c>
      <c r="EW1" s="1948" t="s">
        <v>11</v>
      </c>
      <c r="EX1" s="1948"/>
      <c r="EY1" s="1948"/>
      <c r="EZ1" s="1948"/>
      <c r="FA1" s="1661">
        <v>1000</v>
      </c>
      <c r="FB1" s="1661">
        <v>1</v>
      </c>
      <c r="FD1" s="1948" t="s">
        <v>1071</v>
      </c>
      <c r="FE1" s="1948"/>
      <c r="FF1" s="1948"/>
      <c r="FG1" s="1948"/>
      <c r="FH1" s="1948"/>
      <c r="FI1" s="1948"/>
      <c r="FJ1" s="1948"/>
      <c r="FK1" s="1948"/>
      <c r="FL1" s="1661">
        <v>1000</v>
      </c>
      <c r="FM1" s="1661">
        <v>1</v>
      </c>
    </row>
    <row r="2" spans="1:169" ht="45" x14ac:dyDescent="0.3">
      <c r="A2" s="1665" t="s">
        <v>425</v>
      </c>
      <c r="B2" s="1666" t="s">
        <v>453</v>
      </c>
      <c r="C2" s="1666" t="s">
        <v>426</v>
      </c>
      <c r="D2" s="1666" t="s">
        <v>535</v>
      </c>
      <c r="E2" s="1666" t="s">
        <v>427</v>
      </c>
      <c r="F2" s="295" t="s">
        <v>467</v>
      </c>
      <c r="G2" s="295" t="s">
        <v>487</v>
      </c>
      <c r="H2" s="295" t="s">
        <v>429</v>
      </c>
      <c r="I2" s="295" t="s">
        <v>467</v>
      </c>
      <c r="J2" s="295" t="s">
        <v>487</v>
      </c>
      <c r="K2" s="295" t="s">
        <v>429</v>
      </c>
      <c r="N2" s="295" t="s">
        <v>425</v>
      </c>
      <c r="O2" s="295" t="s">
        <v>453</v>
      </c>
      <c r="P2" s="295" t="s">
        <v>426</v>
      </c>
      <c r="Q2" s="295" t="s">
        <v>535</v>
      </c>
      <c r="R2" s="295" t="s">
        <v>467</v>
      </c>
      <c r="S2" s="295" t="s">
        <v>487</v>
      </c>
      <c r="T2" s="295" t="s">
        <v>429</v>
      </c>
      <c r="U2" s="295" t="s">
        <v>467</v>
      </c>
      <c r="V2" s="295" t="s">
        <v>487</v>
      </c>
      <c r="W2" s="295" t="s">
        <v>429</v>
      </c>
      <c r="Y2" s="295" t="s">
        <v>425</v>
      </c>
      <c r="Z2" s="295" t="s">
        <v>453</v>
      </c>
      <c r="AA2" s="295" t="s">
        <v>426</v>
      </c>
      <c r="AB2" s="295" t="s">
        <v>535</v>
      </c>
      <c r="AC2" s="295" t="s">
        <v>467</v>
      </c>
      <c r="AD2" s="295" t="s">
        <v>487</v>
      </c>
      <c r="AE2" s="295" t="s">
        <v>429</v>
      </c>
      <c r="AF2" s="295" t="s">
        <v>467</v>
      </c>
      <c r="AG2" s="295" t="s">
        <v>487</v>
      </c>
      <c r="AH2" s="295" t="s">
        <v>429</v>
      </c>
      <c r="AJ2" s="295" t="s">
        <v>425</v>
      </c>
      <c r="AK2" s="295" t="s">
        <v>453</v>
      </c>
      <c r="AL2" s="295" t="s">
        <v>426</v>
      </c>
      <c r="AM2" s="295" t="s">
        <v>535</v>
      </c>
      <c r="AN2" s="295" t="s">
        <v>429</v>
      </c>
      <c r="AO2" s="295" t="s">
        <v>429</v>
      </c>
      <c r="AR2" s="295" t="s">
        <v>425</v>
      </c>
      <c r="AS2" s="295" t="s">
        <v>453</v>
      </c>
      <c r="AT2" s="295" t="s">
        <v>426</v>
      </c>
      <c r="AU2" s="295" t="s">
        <v>535</v>
      </c>
      <c r="AV2" s="295" t="s">
        <v>467</v>
      </c>
      <c r="AW2" s="295" t="s">
        <v>487</v>
      </c>
      <c r="AX2" s="295" t="s">
        <v>429</v>
      </c>
      <c r="AY2" s="295" t="s">
        <v>467</v>
      </c>
      <c r="AZ2" s="295" t="s">
        <v>487</v>
      </c>
      <c r="BA2" s="295" t="s">
        <v>429</v>
      </c>
      <c r="BD2" s="295" t="s">
        <v>425</v>
      </c>
      <c r="BE2" s="295" t="s">
        <v>453</v>
      </c>
      <c r="BF2" s="295" t="s">
        <v>426</v>
      </c>
      <c r="BG2" s="295" t="s">
        <v>535</v>
      </c>
      <c r="BH2" s="295" t="s">
        <v>429</v>
      </c>
      <c r="BI2" s="295" t="s">
        <v>429</v>
      </c>
      <c r="BK2" s="1666" t="s">
        <v>425</v>
      </c>
      <c r="BL2" s="1666" t="s">
        <v>453</v>
      </c>
      <c r="BM2" s="1666" t="s">
        <v>426</v>
      </c>
      <c r="BN2" s="1666" t="s">
        <v>535</v>
      </c>
      <c r="BO2" s="295" t="s">
        <v>467</v>
      </c>
      <c r="BP2" s="295" t="s">
        <v>487</v>
      </c>
      <c r="BQ2" s="295" t="s">
        <v>429</v>
      </c>
      <c r="BR2" s="295" t="s">
        <v>467</v>
      </c>
      <c r="BS2" s="295" t="s">
        <v>487</v>
      </c>
      <c r="BT2" s="295" t="s">
        <v>429</v>
      </c>
      <c r="BW2" s="295" t="s">
        <v>425</v>
      </c>
      <c r="BX2" s="295" t="s">
        <v>453</v>
      </c>
      <c r="BY2" s="295" t="s">
        <v>426</v>
      </c>
      <c r="BZ2" s="295" t="s">
        <v>535</v>
      </c>
      <c r="CA2" s="295" t="s">
        <v>429</v>
      </c>
      <c r="CB2" s="295" t="s">
        <v>429</v>
      </c>
      <c r="CE2" s="295" t="s">
        <v>425</v>
      </c>
      <c r="CF2" s="295" t="s">
        <v>453</v>
      </c>
      <c r="CG2" s="295" t="s">
        <v>426</v>
      </c>
      <c r="CH2" s="295" t="s">
        <v>535</v>
      </c>
      <c r="CI2" s="295" t="s">
        <v>467</v>
      </c>
      <c r="CJ2" s="295" t="s">
        <v>487</v>
      </c>
      <c r="CK2" s="295" t="s">
        <v>429</v>
      </c>
      <c r="CL2" s="295" t="s">
        <v>1034</v>
      </c>
      <c r="CM2" s="295" t="s">
        <v>1035</v>
      </c>
      <c r="CN2" s="295" t="s">
        <v>1036</v>
      </c>
      <c r="CQ2" s="295" t="s">
        <v>425</v>
      </c>
      <c r="CR2" s="295" t="s">
        <v>453</v>
      </c>
      <c r="CS2" s="295" t="s">
        <v>426</v>
      </c>
      <c r="CT2" s="295" t="s">
        <v>535</v>
      </c>
      <c r="CU2" s="295" t="s">
        <v>429</v>
      </c>
      <c r="CV2" s="295" t="s">
        <v>429</v>
      </c>
      <c r="CY2" s="295" t="s">
        <v>425</v>
      </c>
      <c r="CZ2" s="295" t="s">
        <v>453</v>
      </c>
      <c r="DA2" s="295" t="s">
        <v>426</v>
      </c>
      <c r="DB2" s="295" t="s">
        <v>535</v>
      </c>
      <c r="DC2" s="295" t="s">
        <v>467</v>
      </c>
      <c r="DD2" s="295" t="s">
        <v>487</v>
      </c>
      <c r="DE2" s="295" t="s">
        <v>429</v>
      </c>
      <c r="DF2" s="295" t="s">
        <v>467</v>
      </c>
      <c r="DG2" s="295" t="s">
        <v>487</v>
      </c>
      <c r="DH2" s="295" t="s">
        <v>429</v>
      </c>
      <c r="DK2" s="295" t="s">
        <v>425</v>
      </c>
      <c r="DL2" s="295" t="s">
        <v>453</v>
      </c>
      <c r="DM2" s="295" t="s">
        <v>426</v>
      </c>
      <c r="DN2" s="295" t="s">
        <v>535</v>
      </c>
      <c r="DO2" s="295" t="s">
        <v>427</v>
      </c>
      <c r="DP2" s="295" t="s">
        <v>429</v>
      </c>
      <c r="DQ2" s="295" t="s">
        <v>429</v>
      </c>
      <c r="DS2" s="295" t="s">
        <v>425</v>
      </c>
      <c r="DT2" s="295" t="s">
        <v>453</v>
      </c>
      <c r="DU2" s="295" t="s">
        <v>426</v>
      </c>
      <c r="DV2" s="295" t="s">
        <v>535</v>
      </c>
      <c r="DW2" s="295" t="s">
        <v>467</v>
      </c>
      <c r="DX2" s="295" t="s">
        <v>487</v>
      </c>
      <c r="DY2" s="295" t="s">
        <v>429</v>
      </c>
      <c r="DZ2" s="295" t="s">
        <v>467</v>
      </c>
      <c r="EA2" s="295" t="s">
        <v>487</v>
      </c>
      <c r="EB2" s="295" t="s">
        <v>429</v>
      </c>
      <c r="ED2" s="295" t="s">
        <v>425</v>
      </c>
      <c r="EE2" s="295" t="s">
        <v>453</v>
      </c>
      <c r="EF2" s="295" t="s">
        <v>426</v>
      </c>
      <c r="EG2" s="295" t="s">
        <v>535</v>
      </c>
      <c r="EH2" s="295" t="s">
        <v>429</v>
      </c>
      <c r="EI2" s="295" t="s">
        <v>429</v>
      </c>
      <c r="EK2" s="295" t="s">
        <v>425</v>
      </c>
      <c r="EL2" s="295" t="s">
        <v>453</v>
      </c>
      <c r="EM2" s="295" t="s">
        <v>426</v>
      </c>
      <c r="EN2" s="295" t="s">
        <v>535</v>
      </c>
      <c r="EO2" s="295" t="s">
        <v>467</v>
      </c>
      <c r="EP2" s="295" t="s">
        <v>487</v>
      </c>
      <c r="EQ2" s="295" t="s">
        <v>429</v>
      </c>
      <c r="ER2" s="295" t="s">
        <v>467</v>
      </c>
      <c r="ES2" s="295" t="s">
        <v>487</v>
      </c>
      <c r="ET2" s="295" t="s">
        <v>429</v>
      </c>
      <c r="EW2" s="1667" t="s">
        <v>425</v>
      </c>
      <c r="EX2" s="1782" t="s">
        <v>453</v>
      </c>
      <c r="EY2" s="1667" t="s">
        <v>426</v>
      </c>
      <c r="EZ2" s="1667" t="s">
        <v>535</v>
      </c>
      <c r="FA2" s="1667" t="s">
        <v>429</v>
      </c>
      <c r="FB2" s="1667" t="str">
        <f>+FA2</f>
        <v>Monto Devengo</v>
      </c>
      <c r="FD2" s="1783" t="s">
        <v>425</v>
      </c>
      <c r="FE2" s="1783" t="s">
        <v>453</v>
      </c>
      <c r="FF2" s="1783" t="s">
        <v>426</v>
      </c>
      <c r="FG2" s="1783" t="s">
        <v>535</v>
      </c>
      <c r="FH2" s="1667" t="s">
        <v>467</v>
      </c>
      <c r="FI2" s="1667" t="s">
        <v>487</v>
      </c>
      <c r="FJ2" s="1667" t="s">
        <v>429</v>
      </c>
      <c r="FK2" s="1667" t="s">
        <v>467</v>
      </c>
      <c r="FL2" s="1667" t="s">
        <v>487</v>
      </c>
      <c r="FM2" s="1667" t="s">
        <v>429</v>
      </c>
    </row>
    <row r="3" spans="1:169" ht="15" x14ac:dyDescent="0.3">
      <c r="A3" s="1316" t="s">
        <v>442</v>
      </c>
      <c r="B3" s="1316" t="s">
        <v>220</v>
      </c>
      <c r="C3" s="1316" t="s">
        <v>497</v>
      </c>
      <c r="D3" s="1316" t="s">
        <v>297</v>
      </c>
      <c r="E3" s="1316" t="s">
        <v>547</v>
      </c>
      <c r="F3" s="1668">
        <v>54954324000</v>
      </c>
      <c r="G3" s="1668">
        <v>0</v>
      </c>
      <c r="H3" s="1668">
        <v>0</v>
      </c>
      <c r="I3" s="1668">
        <f t="shared" ref="I3:I35" si="0">+F3/$J$1*$K$1</f>
        <v>54954324</v>
      </c>
      <c r="J3" s="1668">
        <f t="shared" ref="J3:J35" si="1">+G3/$J$1*$K$1</f>
        <v>0</v>
      </c>
      <c r="K3" s="1668">
        <f t="shared" ref="K3:K35" si="2">+H3/$J$1*$K$1</f>
        <v>0</v>
      </c>
      <c r="N3" s="1314" t="s">
        <v>442</v>
      </c>
      <c r="O3" s="1314" t="s">
        <v>220</v>
      </c>
      <c r="P3" s="1314" t="s">
        <v>447</v>
      </c>
      <c r="Q3" s="1314" t="s">
        <v>447</v>
      </c>
      <c r="R3" s="1353">
        <v>0</v>
      </c>
      <c r="S3" s="1353">
        <v>0</v>
      </c>
      <c r="T3" s="1353">
        <v>0</v>
      </c>
      <c r="U3" s="1669">
        <f t="shared" ref="U3:U19" si="3">+R3/$U$1*$V$1</f>
        <v>0</v>
      </c>
      <c r="V3" s="1669">
        <f t="shared" ref="V3:V19" si="4">+S3/$U$1*$V$1</f>
        <v>0</v>
      </c>
      <c r="W3" s="1669">
        <f t="shared" ref="W3:W19" si="5">+T3/$U$1*$V$1</f>
        <v>0</v>
      </c>
      <c r="Y3" s="1314" t="s">
        <v>442</v>
      </c>
      <c r="Z3" s="1316" t="s">
        <v>220</v>
      </c>
      <c r="AA3" s="1316" t="s">
        <v>497</v>
      </c>
      <c r="AB3" s="1316" t="s">
        <v>297</v>
      </c>
      <c r="AC3" s="1353">
        <v>54954324000</v>
      </c>
      <c r="AD3" s="1353">
        <v>0</v>
      </c>
      <c r="AE3" s="1353">
        <v>0</v>
      </c>
      <c r="AF3" s="1353">
        <f t="shared" ref="AF3:AF44" si="6">+AC3/$AF$1*$AG$1</f>
        <v>54954324</v>
      </c>
      <c r="AG3" s="1353">
        <f t="shared" ref="AG3:AG44" si="7">+AD3/$AF$1*$AG$1</f>
        <v>0</v>
      </c>
      <c r="AH3" s="1353">
        <f t="shared" ref="AH3:AH44" si="8">+AE3/$AF$1*$AG$1</f>
        <v>0</v>
      </c>
      <c r="AJ3" s="1670" t="s">
        <v>442</v>
      </c>
      <c r="AK3" s="1671" t="s">
        <v>220</v>
      </c>
      <c r="AL3" s="1671" t="s">
        <v>447</v>
      </c>
      <c r="AM3" s="1671" t="s">
        <v>447</v>
      </c>
      <c r="AN3" s="1672">
        <v>0</v>
      </c>
      <c r="AO3" s="1353">
        <f t="shared" ref="AO3:AO18" si="9">+AN3/$AO$1*$AP$1</f>
        <v>0</v>
      </c>
      <c r="AR3" s="1673" t="s">
        <v>442</v>
      </c>
      <c r="AS3" s="1673" t="s">
        <v>220</v>
      </c>
      <c r="AT3" s="1673" t="s">
        <v>497</v>
      </c>
      <c r="AU3" s="1674" t="s">
        <v>297</v>
      </c>
      <c r="AV3" s="1675">
        <v>54954324000</v>
      </c>
      <c r="AW3" s="1675">
        <v>0</v>
      </c>
      <c r="AX3" s="1675">
        <v>0</v>
      </c>
      <c r="AY3" s="1669">
        <f t="shared" ref="AY3:AY46" si="10">+AV3/$BA$1*$BB$1</f>
        <v>54954324</v>
      </c>
      <c r="AZ3" s="1669">
        <f t="shared" ref="AZ3:AZ46" si="11">+AW3/$BA$1*$BB$1</f>
        <v>0</v>
      </c>
      <c r="BA3" s="1669">
        <f t="shared" ref="BA3:BA46" si="12">+AX3/$BA$1*$BB$1</f>
        <v>0</v>
      </c>
      <c r="BD3" s="1314" t="s">
        <v>442</v>
      </c>
      <c r="BE3" s="1316" t="s">
        <v>220</v>
      </c>
      <c r="BF3" s="1316" t="s">
        <v>443</v>
      </c>
      <c r="BG3" s="1316" t="s">
        <v>321</v>
      </c>
      <c r="BH3" s="1353">
        <v>19920681333</v>
      </c>
      <c r="BI3" s="1669">
        <f t="shared" ref="BI3:BI15" si="13">+BH3/$BH$1*$BI$1</f>
        <v>19920681.333000001</v>
      </c>
      <c r="BK3" s="1316" t="s">
        <v>442</v>
      </c>
      <c r="BL3" s="1316" t="s">
        <v>220</v>
      </c>
      <c r="BM3" s="1316" t="s">
        <v>497</v>
      </c>
      <c r="BN3" s="1316" t="s">
        <v>297</v>
      </c>
      <c r="BO3" s="1353">
        <v>54954324000</v>
      </c>
      <c r="BP3" s="1353">
        <v>0</v>
      </c>
      <c r="BQ3" s="1353">
        <v>0</v>
      </c>
      <c r="BR3" s="1676">
        <f t="shared" ref="BR3:BR48" si="14">+BO3/$BR$1*$BT$1</f>
        <v>54954324</v>
      </c>
      <c r="BS3" s="1676">
        <f t="shared" ref="BS3:BS48" si="15">+BP3/$BR$1*$BT$1</f>
        <v>0</v>
      </c>
      <c r="BT3" s="1676">
        <f t="shared" ref="BT3:BT48" si="16">+BQ3/$BR$1*$BT$1</f>
        <v>0</v>
      </c>
      <c r="BW3" s="1316" t="s">
        <v>442</v>
      </c>
      <c r="BX3" s="1316" t="s">
        <v>220</v>
      </c>
      <c r="BY3" s="1316" t="s">
        <v>447</v>
      </c>
      <c r="BZ3" s="1316" t="s">
        <v>447</v>
      </c>
      <c r="CA3" s="1676">
        <v>0</v>
      </c>
      <c r="CB3" s="1669">
        <f t="shared" ref="CB3:CB26" si="17">+CA3/$CB$1*$CC$1</f>
        <v>0</v>
      </c>
      <c r="CE3" s="1316" t="s">
        <v>442</v>
      </c>
      <c r="CF3" s="1316" t="s">
        <v>220</v>
      </c>
      <c r="CG3" s="1316" t="s">
        <v>497</v>
      </c>
      <c r="CH3" s="1316" t="s">
        <v>297</v>
      </c>
      <c r="CI3" s="1677">
        <v>54954324000</v>
      </c>
      <c r="CJ3" s="1677">
        <v>0</v>
      </c>
      <c r="CK3" s="1677">
        <v>0</v>
      </c>
      <c r="CL3" s="1676">
        <f t="shared" ref="CL3:CL34" si="18">+CI3/$CL$1*$CM$1</f>
        <v>54954324</v>
      </c>
      <c r="CM3" s="1676">
        <f t="shared" ref="CM3:CM34" si="19">+CJ3/$CL$1*$CM$1</f>
        <v>0</v>
      </c>
      <c r="CN3" s="1676">
        <f t="shared" ref="CN3:CN34" si="20">+CK3/$CL$1*$CM$1</f>
        <v>0</v>
      </c>
      <c r="CQ3" s="1316" t="s">
        <v>444</v>
      </c>
      <c r="CR3" s="1316" t="s">
        <v>468</v>
      </c>
      <c r="CS3" s="1316" t="s">
        <v>445</v>
      </c>
      <c r="CT3" s="1316" t="s">
        <v>277</v>
      </c>
      <c r="CU3" s="1672">
        <v>15884821</v>
      </c>
      <c r="CV3" s="1669">
        <f t="shared" ref="CV3:CV15" si="21">+CU3/$CV$1*$CW$1</f>
        <v>15884.821</v>
      </c>
      <c r="CY3" s="1316" t="s">
        <v>442</v>
      </c>
      <c r="CZ3" s="1316" t="s">
        <v>220</v>
      </c>
      <c r="DA3" s="1316" t="s">
        <v>497</v>
      </c>
      <c r="DB3" s="1316" t="s">
        <v>297</v>
      </c>
      <c r="DC3" s="1677">
        <v>54954324000</v>
      </c>
      <c r="DD3" s="1677">
        <v>0</v>
      </c>
      <c r="DE3" s="1677">
        <v>0</v>
      </c>
      <c r="DF3" s="1669">
        <f t="shared" ref="DF3:DF34" si="22">+DC3/$DG$1*$DH$1</f>
        <v>54954324</v>
      </c>
      <c r="DG3" s="1669">
        <f t="shared" ref="DG3:DG34" si="23">+DD3/$DG$1*$DH$1</f>
        <v>0</v>
      </c>
      <c r="DH3" s="1669">
        <f t="shared" ref="DH3:DH34" si="24">+DE3/$DG$1*$DH$1</f>
        <v>0</v>
      </c>
      <c r="DK3" s="1314" t="s">
        <v>442</v>
      </c>
      <c r="DL3" s="1316" t="s">
        <v>220</v>
      </c>
      <c r="DM3" s="1316" t="s">
        <v>443</v>
      </c>
      <c r="DN3" s="1316" t="s">
        <v>321</v>
      </c>
      <c r="DO3" s="1316" t="s">
        <v>547</v>
      </c>
      <c r="DP3" s="1353">
        <v>30992892</v>
      </c>
      <c r="DQ3" s="1669">
        <f t="shared" ref="DQ3:DQ17" si="25">+DP3/$DQ$1*$DR$1</f>
        <v>30992.892</v>
      </c>
      <c r="DS3" s="1678" t="s">
        <v>442</v>
      </c>
      <c r="DT3" s="1679" t="s">
        <v>220</v>
      </c>
      <c r="DU3" s="1679" t="s">
        <v>497</v>
      </c>
      <c r="DV3" s="1679" t="s">
        <v>297</v>
      </c>
      <c r="DW3" s="1680">
        <v>54954324000</v>
      </c>
      <c r="DX3" s="1680">
        <v>0</v>
      </c>
      <c r="DY3" s="1680">
        <v>0</v>
      </c>
      <c r="DZ3" s="1669">
        <f t="shared" ref="DZ3:DZ34" si="26">+DW3/$EA$1*$EB$1</f>
        <v>54954324</v>
      </c>
      <c r="EA3" s="1669">
        <f t="shared" ref="EA3:EA34" si="27">+DX3/$EA$1*$EB$1</f>
        <v>0</v>
      </c>
      <c r="EB3" s="1669">
        <f t="shared" ref="EB3:EB34" si="28">+DY3/$EA$1*$EB$1</f>
        <v>0</v>
      </c>
      <c r="ED3" s="1316" t="s">
        <v>444</v>
      </c>
      <c r="EE3" s="1316" t="s">
        <v>1052</v>
      </c>
      <c r="EF3" s="1316" t="s">
        <v>474</v>
      </c>
      <c r="EG3" s="1316" t="s">
        <v>276</v>
      </c>
      <c r="EH3" s="1353">
        <v>249347258</v>
      </c>
      <c r="EI3" s="1669">
        <f>+EH3/$EI$1*$EJ$1</f>
        <v>249347.258</v>
      </c>
      <c r="EK3" s="1316" t="s">
        <v>442</v>
      </c>
      <c r="EL3" s="1316" t="s">
        <v>220</v>
      </c>
      <c r="EM3" s="1316" t="s">
        <v>497</v>
      </c>
      <c r="EN3" s="1316" t="s">
        <v>297</v>
      </c>
      <c r="EO3" s="1353">
        <v>54954324000</v>
      </c>
      <c r="EP3" s="1353">
        <v>0</v>
      </c>
      <c r="EQ3" s="1353">
        <v>0</v>
      </c>
      <c r="ER3" s="1669">
        <f>+EO3/$ES$1*$ET$1</f>
        <v>54954324</v>
      </c>
      <c r="ES3" s="1669">
        <f t="shared" ref="ES3:ET3" si="29">+EP3/$ES$1*$ET$1</f>
        <v>0</v>
      </c>
      <c r="ET3" s="1669">
        <f t="shared" si="29"/>
        <v>0</v>
      </c>
      <c r="EW3" s="1266" t="s">
        <v>444</v>
      </c>
      <c r="EX3" s="1262" t="s">
        <v>1052</v>
      </c>
      <c r="EY3" s="1266" t="s">
        <v>474</v>
      </c>
      <c r="EZ3" s="1266" t="s">
        <v>276</v>
      </c>
      <c r="FA3" s="244">
        <v>6500000</v>
      </c>
      <c r="FB3" s="1669">
        <f>+FA3/$FA$1*$FB$1</f>
        <v>6500</v>
      </c>
      <c r="FD3" s="1314" t="s">
        <v>442</v>
      </c>
      <c r="FE3" s="1314" t="s">
        <v>220</v>
      </c>
      <c r="FF3" s="1314" t="s">
        <v>497</v>
      </c>
      <c r="FG3" s="1314" t="s">
        <v>297</v>
      </c>
      <c r="FH3" s="244">
        <v>54954324000</v>
      </c>
      <c r="FI3" s="244">
        <v>0</v>
      </c>
      <c r="FJ3" s="244">
        <v>0</v>
      </c>
      <c r="FK3" s="1676">
        <f>+FH3/$FL$1*$FM$1</f>
        <v>54954324</v>
      </c>
      <c r="FL3" s="1676">
        <f t="shared" ref="FL3:FM3" si="30">+FI3/$FL$1*$FM$1</f>
        <v>0</v>
      </c>
      <c r="FM3" s="1676">
        <f t="shared" si="30"/>
        <v>0</v>
      </c>
    </row>
    <row r="4" spans="1:169" ht="15" x14ac:dyDescent="0.3">
      <c r="A4" s="1316" t="s">
        <v>442</v>
      </c>
      <c r="B4" s="1316" t="s">
        <v>220</v>
      </c>
      <c r="C4" s="1316" t="s">
        <v>443</v>
      </c>
      <c r="D4" s="1316" t="s">
        <v>321</v>
      </c>
      <c r="E4" s="1316" t="s">
        <v>547</v>
      </c>
      <c r="F4" s="1668">
        <v>19920692000</v>
      </c>
      <c r="G4" s="1668">
        <v>0</v>
      </c>
      <c r="H4" s="1668">
        <v>0</v>
      </c>
      <c r="I4" s="1668">
        <f t="shared" si="0"/>
        <v>19920692</v>
      </c>
      <c r="J4" s="1668">
        <f t="shared" si="1"/>
        <v>0</v>
      </c>
      <c r="K4" s="1668">
        <f t="shared" si="2"/>
        <v>0</v>
      </c>
      <c r="N4" s="1314" t="s">
        <v>442</v>
      </c>
      <c r="O4" s="1314" t="s">
        <v>220</v>
      </c>
      <c r="P4" s="1314" t="s">
        <v>497</v>
      </c>
      <c r="Q4" s="1314" t="s">
        <v>297</v>
      </c>
      <c r="R4" s="1353">
        <v>0</v>
      </c>
      <c r="S4" s="1353">
        <v>54954324000</v>
      </c>
      <c r="T4" s="1353">
        <v>54954324000</v>
      </c>
      <c r="U4" s="1669">
        <f t="shared" si="3"/>
        <v>0</v>
      </c>
      <c r="V4" s="1669">
        <f t="shared" si="4"/>
        <v>54954324</v>
      </c>
      <c r="W4" s="1669">
        <f t="shared" si="5"/>
        <v>54954324</v>
      </c>
      <c r="Y4" s="1314" t="s">
        <v>442</v>
      </c>
      <c r="Z4" s="1316" t="s">
        <v>220</v>
      </c>
      <c r="AA4" s="1316" t="s">
        <v>443</v>
      </c>
      <c r="AB4" s="1316" t="s">
        <v>321</v>
      </c>
      <c r="AC4" s="1353">
        <v>19920692000</v>
      </c>
      <c r="AD4" s="1353">
        <v>0</v>
      </c>
      <c r="AE4" s="1353">
        <v>0</v>
      </c>
      <c r="AF4" s="1353">
        <f t="shared" si="6"/>
        <v>19920692</v>
      </c>
      <c r="AG4" s="1353">
        <f t="shared" si="7"/>
        <v>0</v>
      </c>
      <c r="AH4" s="1353">
        <f t="shared" si="8"/>
        <v>0</v>
      </c>
      <c r="AJ4" s="1670" t="s">
        <v>444</v>
      </c>
      <c r="AK4" s="1671" t="s">
        <v>468</v>
      </c>
      <c r="AL4" s="1671" t="s">
        <v>471</v>
      </c>
      <c r="AM4" s="1671" t="s">
        <v>279</v>
      </c>
      <c r="AN4" s="1672">
        <v>0</v>
      </c>
      <c r="AO4" s="1353">
        <f t="shared" si="9"/>
        <v>0</v>
      </c>
      <c r="AR4" s="1673" t="s">
        <v>442</v>
      </c>
      <c r="AS4" s="1673" t="s">
        <v>220</v>
      </c>
      <c r="AT4" s="1673" t="s">
        <v>443</v>
      </c>
      <c r="AU4" s="1674" t="s">
        <v>321</v>
      </c>
      <c r="AV4" s="1675">
        <v>19920692000</v>
      </c>
      <c r="AW4" s="1675">
        <v>0</v>
      </c>
      <c r="AX4" s="1675">
        <v>0</v>
      </c>
      <c r="AY4" s="1669">
        <f t="shared" si="10"/>
        <v>19920692</v>
      </c>
      <c r="AZ4" s="1669">
        <f t="shared" si="11"/>
        <v>0</v>
      </c>
      <c r="BA4" s="1669">
        <f t="shared" si="12"/>
        <v>0</v>
      </c>
      <c r="BD4" s="1314" t="s">
        <v>444</v>
      </c>
      <c r="BE4" s="1316" t="s">
        <v>468</v>
      </c>
      <c r="BF4" s="1316" t="s">
        <v>445</v>
      </c>
      <c r="BG4" s="1316" t="s">
        <v>277</v>
      </c>
      <c r="BH4" s="1353">
        <v>18326220</v>
      </c>
      <c r="BI4" s="1669">
        <f t="shared" si="13"/>
        <v>18326.22</v>
      </c>
      <c r="BK4" s="1316" t="s">
        <v>442</v>
      </c>
      <c r="BL4" s="1316" t="s">
        <v>220</v>
      </c>
      <c r="BM4" s="1316" t="s">
        <v>443</v>
      </c>
      <c r="BN4" s="1316" t="s">
        <v>321</v>
      </c>
      <c r="BO4" s="1353">
        <v>19920692000</v>
      </c>
      <c r="BP4" s="1353">
        <v>0</v>
      </c>
      <c r="BQ4" s="1353">
        <v>0</v>
      </c>
      <c r="BR4" s="1676">
        <f t="shared" si="14"/>
        <v>19920692</v>
      </c>
      <c r="BS4" s="1676">
        <f t="shared" si="15"/>
        <v>0</v>
      </c>
      <c r="BT4" s="1676">
        <f t="shared" si="16"/>
        <v>0</v>
      </c>
      <c r="BW4" s="1316" t="s">
        <v>444</v>
      </c>
      <c r="BX4" s="1316" t="s">
        <v>468</v>
      </c>
      <c r="BY4" s="1316" t="s">
        <v>445</v>
      </c>
      <c r="BZ4" s="1316" t="s">
        <v>277</v>
      </c>
      <c r="CA4" s="1676">
        <v>16155814</v>
      </c>
      <c r="CB4" s="1669">
        <f t="shared" si="17"/>
        <v>16155.814</v>
      </c>
      <c r="CE4" s="1316" t="s">
        <v>442</v>
      </c>
      <c r="CF4" s="1316" t="s">
        <v>220</v>
      </c>
      <c r="CG4" s="1316" t="s">
        <v>443</v>
      </c>
      <c r="CH4" s="1316" t="s">
        <v>321</v>
      </c>
      <c r="CI4" s="1677">
        <v>19920692000</v>
      </c>
      <c r="CJ4" s="1677">
        <v>0</v>
      </c>
      <c r="CK4" s="1677">
        <v>0</v>
      </c>
      <c r="CL4" s="1676">
        <f t="shared" si="18"/>
        <v>19920692</v>
      </c>
      <c r="CM4" s="1676">
        <f t="shared" si="19"/>
        <v>0</v>
      </c>
      <c r="CN4" s="1676">
        <f t="shared" si="20"/>
        <v>0</v>
      </c>
      <c r="CQ4" s="1316" t="s">
        <v>444</v>
      </c>
      <c r="CR4" s="1316" t="s">
        <v>468</v>
      </c>
      <c r="CS4" s="1316" t="s">
        <v>446</v>
      </c>
      <c r="CT4" s="1316" t="s">
        <v>322</v>
      </c>
      <c r="CU4" s="1672">
        <v>165186</v>
      </c>
      <c r="CV4" s="1669">
        <f t="shared" si="21"/>
        <v>165.18600000000001</v>
      </c>
      <c r="CY4" s="1316" t="s">
        <v>442</v>
      </c>
      <c r="CZ4" s="1316" t="s">
        <v>220</v>
      </c>
      <c r="DA4" s="1316" t="s">
        <v>443</v>
      </c>
      <c r="DB4" s="1316" t="s">
        <v>321</v>
      </c>
      <c r="DC4" s="1677">
        <v>19951675000</v>
      </c>
      <c r="DD4" s="1677">
        <v>0</v>
      </c>
      <c r="DE4" s="1677">
        <v>0</v>
      </c>
      <c r="DF4" s="1669">
        <f t="shared" si="22"/>
        <v>19951675</v>
      </c>
      <c r="DG4" s="1669">
        <f t="shared" si="23"/>
        <v>0</v>
      </c>
      <c r="DH4" s="1669">
        <f t="shared" si="24"/>
        <v>0</v>
      </c>
      <c r="DK4" s="1314" t="s">
        <v>444</v>
      </c>
      <c r="DL4" s="1316" t="s">
        <v>1052</v>
      </c>
      <c r="DM4" s="1316" t="s">
        <v>445</v>
      </c>
      <c r="DN4" s="1316" t="s">
        <v>277</v>
      </c>
      <c r="DO4" s="1316" t="s">
        <v>547</v>
      </c>
      <c r="DP4" s="1353">
        <v>15884821</v>
      </c>
      <c r="DQ4" s="1669">
        <f t="shared" si="25"/>
        <v>15884.821</v>
      </c>
      <c r="DS4" s="1678" t="s">
        <v>442</v>
      </c>
      <c r="DT4" s="1679" t="s">
        <v>220</v>
      </c>
      <c r="DU4" s="1679" t="s">
        <v>443</v>
      </c>
      <c r="DV4" s="1679" t="s">
        <v>321</v>
      </c>
      <c r="DW4" s="1680">
        <v>19951675000</v>
      </c>
      <c r="DX4" s="1680">
        <v>0</v>
      </c>
      <c r="DY4" s="1680">
        <v>0</v>
      </c>
      <c r="DZ4" s="1669">
        <f t="shared" si="26"/>
        <v>19951675</v>
      </c>
      <c r="EA4" s="1669">
        <f t="shared" si="27"/>
        <v>0</v>
      </c>
      <c r="EB4" s="1669">
        <f t="shared" si="28"/>
        <v>0</v>
      </c>
      <c r="ED4" s="1316" t="s">
        <v>444</v>
      </c>
      <c r="EE4" s="1316" t="s">
        <v>1052</v>
      </c>
      <c r="EF4" s="1316" t="s">
        <v>446</v>
      </c>
      <c r="EG4" s="1316" t="s">
        <v>322</v>
      </c>
      <c r="EH4" s="1353">
        <v>28928</v>
      </c>
      <c r="EI4" s="1669">
        <f t="shared" ref="EI4:EI18" si="31">+EH4/$EI$1*$EJ$1</f>
        <v>28.928000000000001</v>
      </c>
      <c r="EK4" s="1316" t="s">
        <v>442</v>
      </c>
      <c r="EL4" s="1316" t="s">
        <v>220</v>
      </c>
      <c r="EM4" s="1316" t="s">
        <v>443</v>
      </c>
      <c r="EN4" s="1316" t="s">
        <v>321</v>
      </c>
      <c r="EO4" s="1353">
        <v>19951675000</v>
      </c>
      <c r="EP4" s="1353">
        <v>0</v>
      </c>
      <c r="EQ4" s="1353">
        <v>0</v>
      </c>
      <c r="ER4" s="1669">
        <f t="shared" ref="ER4:ER52" si="32">+EO4/$ES$1*$ET$1</f>
        <v>19951675</v>
      </c>
      <c r="ES4" s="1669">
        <f t="shared" ref="ES4:ES52" si="33">+EP4/$ES$1*$ET$1</f>
        <v>0</v>
      </c>
      <c r="ET4" s="1669">
        <f t="shared" ref="ET4:ET52" si="34">+EQ4/$ES$1*$ET$1</f>
        <v>0</v>
      </c>
      <c r="EW4" s="1266" t="s">
        <v>444</v>
      </c>
      <c r="EX4" s="1262" t="s">
        <v>1052</v>
      </c>
      <c r="EY4" s="1266" t="s">
        <v>446</v>
      </c>
      <c r="EZ4" s="1266" t="s">
        <v>322</v>
      </c>
      <c r="FA4" s="244">
        <v>57856</v>
      </c>
      <c r="FB4" s="1669">
        <f t="shared" ref="FB4:FB15" si="35">+FA4/$FA$1*$FB$1</f>
        <v>57.856000000000002</v>
      </c>
      <c r="FD4" s="1314" t="s">
        <v>442</v>
      </c>
      <c r="FE4" s="1314" t="s">
        <v>220</v>
      </c>
      <c r="FF4" s="1314" t="s">
        <v>443</v>
      </c>
      <c r="FG4" s="1314" t="s">
        <v>321</v>
      </c>
      <c r="FH4" s="244">
        <v>19951675000</v>
      </c>
      <c r="FI4" s="244">
        <v>0</v>
      </c>
      <c r="FJ4" s="244">
        <v>0</v>
      </c>
      <c r="FK4" s="1676">
        <f t="shared" ref="FK4:FK53" si="36">+FH4/$FL$1*$FM$1</f>
        <v>19951675</v>
      </c>
      <c r="FL4" s="1676">
        <f t="shared" ref="FL4:FL53" si="37">+FI4/$FL$1*$FM$1</f>
        <v>0</v>
      </c>
      <c r="FM4" s="1676">
        <f t="shared" ref="FM4:FM53" si="38">+FJ4/$FL$1*$FM$1</f>
        <v>0</v>
      </c>
    </row>
    <row r="5" spans="1:169" ht="15" x14ac:dyDescent="0.3">
      <c r="A5" s="1316" t="s">
        <v>444</v>
      </c>
      <c r="B5" s="1316" t="s">
        <v>468</v>
      </c>
      <c r="C5" s="1316" t="s">
        <v>474</v>
      </c>
      <c r="D5" s="1316" t="s">
        <v>276</v>
      </c>
      <c r="E5" s="1316" t="s">
        <v>547</v>
      </c>
      <c r="F5" s="1668">
        <v>2653409000</v>
      </c>
      <c r="G5" s="1668">
        <v>0</v>
      </c>
      <c r="H5" s="1668">
        <v>0</v>
      </c>
      <c r="I5" s="1668">
        <f t="shared" si="0"/>
        <v>2653409</v>
      </c>
      <c r="J5" s="1668">
        <f t="shared" si="1"/>
        <v>0</v>
      </c>
      <c r="K5" s="1668">
        <f t="shared" si="2"/>
        <v>0</v>
      </c>
      <c r="N5" s="1314" t="s">
        <v>444</v>
      </c>
      <c r="O5" s="1314" t="s">
        <v>468</v>
      </c>
      <c r="P5" s="1314" t="s">
        <v>474</v>
      </c>
      <c r="Q5" s="1314" t="s">
        <v>276</v>
      </c>
      <c r="R5" s="1353">
        <v>0</v>
      </c>
      <c r="S5" s="1353">
        <v>564586391</v>
      </c>
      <c r="T5" s="1353">
        <v>452855083</v>
      </c>
      <c r="U5" s="1669">
        <f t="shared" si="3"/>
        <v>0</v>
      </c>
      <c r="V5" s="1669">
        <f t="shared" si="4"/>
        <v>564586.39099999995</v>
      </c>
      <c r="W5" s="1669">
        <f t="shared" si="5"/>
        <v>452855.08299999998</v>
      </c>
      <c r="Y5" s="1314" t="s">
        <v>442</v>
      </c>
      <c r="Z5" s="1316" t="s">
        <v>220</v>
      </c>
      <c r="AA5" s="1316" t="s">
        <v>447</v>
      </c>
      <c r="AB5" s="1316" t="s">
        <v>447</v>
      </c>
      <c r="AC5" s="1353">
        <v>0</v>
      </c>
      <c r="AD5" s="1353">
        <v>0</v>
      </c>
      <c r="AE5" s="1353">
        <v>0</v>
      </c>
      <c r="AF5" s="1353">
        <f t="shared" si="6"/>
        <v>0</v>
      </c>
      <c r="AG5" s="1353">
        <f t="shared" si="7"/>
        <v>0</v>
      </c>
      <c r="AH5" s="1353">
        <f t="shared" si="8"/>
        <v>0</v>
      </c>
      <c r="AJ5" s="1670" t="s">
        <v>444</v>
      </c>
      <c r="AK5" s="1671" t="s">
        <v>468</v>
      </c>
      <c r="AL5" s="1671" t="s">
        <v>445</v>
      </c>
      <c r="AM5" s="1671" t="s">
        <v>277</v>
      </c>
      <c r="AN5" s="1672">
        <v>15162027</v>
      </c>
      <c r="AO5" s="1353">
        <f t="shared" si="9"/>
        <v>15162.027</v>
      </c>
      <c r="AR5" s="1673" t="s">
        <v>442</v>
      </c>
      <c r="AS5" s="1673" t="s">
        <v>220</v>
      </c>
      <c r="AT5" s="1673" t="s">
        <v>497</v>
      </c>
      <c r="AU5" s="1674" t="s">
        <v>297</v>
      </c>
      <c r="AV5" s="1675">
        <v>0</v>
      </c>
      <c r="AW5" s="1675">
        <v>54954324000</v>
      </c>
      <c r="AX5" s="1675">
        <v>54954324000</v>
      </c>
      <c r="AY5" s="1669">
        <f t="shared" si="10"/>
        <v>0</v>
      </c>
      <c r="AZ5" s="1669">
        <f t="shared" si="11"/>
        <v>54954324</v>
      </c>
      <c r="BA5" s="1669">
        <f t="shared" si="12"/>
        <v>54954324</v>
      </c>
      <c r="BD5" s="1314" t="s">
        <v>444</v>
      </c>
      <c r="BE5" s="1316" t="s">
        <v>468</v>
      </c>
      <c r="BF5" s="1316" t="s">
        <v>471</v>
      </c>
      <c r="BG5" s="1316" t="s">
        <v>279</v>
      </c>
      <c r="BH5" s="1353">
        <v>499999</v>
      </c>
      <c r="BI5" s="1669">
        <f t="shared" si="13"/>
        <v>499.99900000000002</v>
      </c>
      <c r="BK5" s="1316" t="s">
        <v>442</v>
      </c>
      <c r="BL5" s="1316" t="s">
        <v>220</v>
      </c>
      <c r="BM5" s="1316" t="s">
        <v>443</v>
      </c>
      <c r="BN5" s="1316" t="s">
        <v>321</v>
      </c>
      <c r="BO5" s="1353">
        <v>0</v>
      </c>
      <c r="BP5" s="1353">
        <v>19920681333</v>
      </c>
      <c r="BQ5" s="1353">
        <v>19920681333</v>
      </c>
      <c r="BR5" s="1676">
        <f t="shared" si="14"/>
        <v>0</v>
      </c>
      <c r="BS5" s="1676">
        <f t="shared" si="15"/>
        <v>19920681.333000001</v>
      </c>
      <c r="BT5" s="1676">
        <f t="shared" si="16"/>
        <v>19920681.333000001</v>
      </c>
      <c r="BW5" s="1316" t="s">
        <v>444</v>
      </c>
      <c r="BX5" s="1316" t="s">
        <v>468</v>
      </c>
      <c r="BY5" s="1316" t="s">
        <v>447</v>
      </c>
      <c r="BZ5" s="1316" t="s">
        <v>447</v>
      </c>
      <c r="CA5" s="1676">
        <v>0</v>
      </c>
      <c r="CB5" s="1669">
        <f t="shared" si="17"/>
        <v>0</v>
      </c>
      <c r="CE5" s="1316" t="s">
        <v>442</v>
      </c>
      <c r="CF5" s="1316" t="s">
        <v>220</v>
      </c>
      <c r="CG5" s="1316" t="s">
        <v>443</v>
      </c>
      <c r="CH5" s="1316" t="s">
        <v>321</v>
      </c>
      <c r="CI5" s="1677">
        <v>0</v>
      </c>
      <c r="CJ5" s="1677">
        <v>19920681333</v>
      </c>
      <c r="CK5" s="1677">
        <v>19920681333</v>
      </c>
      <c r="CL5" s="1676">
        <f t="shared" si="18"/>
        <v>0</v>
      </c>
      <c r="CM5" s="1676">
        <f t="shared" si="19"/>
        <v>19920681.333000001</v>
      </c>
      <c r="CN5" s="1676">
        <f t="shared" si="20"/>
        <v>19920681.333000001</v>
      </c>
      <c r="CQ5" s="1316" t="s">
        <v>444</v>
      </c>
      <c r="CR5" s="1316" t="s">
        <v>468</v>
      </c>
      <c r="CS5" s="1316" t="s">
        <v>474</v>
      </c>
      <c r="CT5" s="1316" t="s">
        <v>276</v>
      </c>
      <c r="CU5" s="1672">
        <v>62100000</v>
      </c>
      <c r="CV5" s="1669">
        <f t="shared" si="21"/>
        <v>62100</v>
      </c>
      <c r="CY5" s="1316" t="s">
        <v>442</v>
      </c>
      <c r="CZ5" s="1316" t="s">
        <v>220</v>
      </c>
      <c r="DA5" s="1316" t="s">
        <v>497</v>
      </c>
      <c r="DB5" s="1316" t="s">
        <v>297</v>
      </c>
      <c r="DC5" s="1677">
        <v>0</v>
      </c>
      <c r="DD5" s="1677">
        <v>54954324000</v>
      </c>
      <c r="DE5" s="1677">
        <v>54954324000</v>
      </c>
      <c r="DF5" s="1669">
        <f t="shared" si="22"/>
        <v>0</v>
      </c>
      <c r="DG5" s="1669">
        <f t="shared" si="23"/>
        <v>54954324</v>
      </c>
      <c r="DH5" s="1669">
        <f t="shared" si="24"/>
        <v>54954324</v>
      </c>
      <c r="DK5" s="1314" t="s">
        <v>444</v>
      </c>
      <c r="DL5" s="1316" t="s">
        <v>1052</v>
      </c>
      <c r="DM5" s="1316" t="s">
        <v>446</v>
      </c>
      <c r="DN5" s="1316" t="s">
        <v>322</v>
      </c>
      <c r="DO5" s="1316" t="s">
        <v>547</v>
      </c>
      <c r="DP5" s="1353">
        <v>28928</v>
      </c>
      <c r="DQ5" s="1669">
        <f t="shared" si="25"/>
        <v>28.928000000000001</v>
      </c>
      <c r="DS5" s="1678" t="s">
        <v>442</v>
      </c>
      <c r="DT5" s="1679" t="s">
        <v>220</v>
      </c>
      <c r="DU5" s="1679" t="s">
        <v>447</v>
      </c>
      <c r="DV5" s="1679" t="s">
        <v>447</v>
      </c>
      <c r="DW5" s="1680">
        <v>0</v>
      </c>
      <c r="DX5" s="1680">
        <v>0</v>
      </c>
      <c r="DY5" s="1680">
        <v>0</v>
      </c>
      <c r="DZ5" s="1669">
        <f t="shared" si="26"/>
        <v>0</v>
      </c>
      <c r="EA5" s="1669">
        <f t="shared" si="27"/>
        <v>0</v>
      </c>
      <c r="EB5" s="1669">
        <f t="shared" si="28"/>
        <v>0</v>
      </c>
      <c r="ED5" s="1316" t="s">
        <v>444</v>
      </c>
      <c r="EE5" s="1316" t="s">
        <v>1052</v>
      </c>
      <c r="EF5" s="1316" t="s">
        <v>445</v>
      </c>
      <c r="EG5" s="1316" t="s">
        <v>277</v>
      </c>
      <c r="EH5" s="1353">
        <v>15884821</v>
      </c>
      <c r="EI5" s="1669">
        <f t="shared" si="31"/>
        <v>15884.821</v>
      </c>
      <c r="EK5" s="1316" t="s">
        <v>442</v>
      </c>
      <c r="EL5" s="1316" t="s">
        <v>220</v>
      </c>
      <c r="EM5" s="1316" t="s">
        <v>447</v>
      </c>
      <c r="EN5" s="1316" t="s">
        <v>447</v>
      </c>
      <c r="EO5" s="1353">
        <v>0</v>
      </c>
      <c r="EP5" s="1353">
        <v>0</v>
      </c>
      <c r="EQ5" s="1353">
        <v>0</v>
      </c>
      <c r="ER5" s="1669">
        <f t="shared" si="32"/>
        <v>0</v>
      </c>
      <c r="ES5" s="1669">
        <f t="shared" si="33"/>
        <v>0</v>
      </c>
      <c r="ET5" s="1669">
        <f t="shared" si="34"/>
        <v>0</v>
      </c>
      <c r="EW5" s="1266" t="s">
        <v>444</v>
      </c>
      <c r="EX5" s="1262" t="s">
        <v>1052</v>
      </c>
      <c r="EY5" s="1266" t="s">
        <v>445</v>
      </c>
      <c r="EZ5" s="1266" t="s">
        <v>277</v>
      </c>
      <c r="FA5" s="244">
        <v>15941186</v>
      </c>
      <c r="FB5" s="1669">
        <f t="shared" si="35"/>
        <v>15941.186</v>
      </c>
      <c r="FD5" s="1314" t="s">
        <v>442</v>
      </c>
      <c r="FE5" s="1314" t="s">
        <v>220</v>
      </c>
      <c r="FF5" s="1314" t="s">
        <v>447</v>
      </c>
      <c r="FG5" s="1314" t="s">
        <v>447</v>
      </c>
      <c r="FH5" s="244">
        <v>0</v>
      </c>
      <c r="FI5" s="244">
        <v>0</v>
      </c>
      <c r="FJ5" s="244">
        <v>0</v>
      </c>
      <c r="FK5" s="1676">
        <f t="shared" si="36"/>
        <v>0</v>
      </c>
      <c r="FL5" s="1676">
        <f t="shared" si="37"/>
        <v>0</v>
      </c>
      <c r="FM5" s="1676">
        <f t="shared" si="38"/>
        <v>0</v>
      </c>
    </row>
    <row r="6" spans="1:169" ht="15" x14ac:dyDescent="0.3">
      <c r="A6" s="1316" t="s">
        <v>444</v>
      </c>
      <c r="B6" s="1316" t="s">
        <v>468</v>
      </c>
      <c r="C6" s="1316" t="s">
        <v>498</v>
      </c>
      <c r="D6" s="1316" t="s">
        <v>343</v>
      </c>
      <c r="E6" s="1316" t="s">
        <v>547</v>
      </c>
      <c r="F6" s="1668">
        <v>567371000</v>
      </c>
      <c r="G6" s="1668">
        <v>0</v>
      </c>
      <c r="H6" s="1668">
        <v>0</v>
      </c>
      <c r="I6" s="1668">
        <f t="shared" si="0"/>
        <v>567371</v>
      </c>
      <c r="J6" s="1668">
        <f t="shared" si="1"/>
        <v>0</v>
      </c>
      <c r="K6" s="1668">
        <f t="shared" si="2"/>
        <v>0</v>
      </c>
      <c r="N6" s="1314" t="s">
        <v>444</v>
      </c>
      <c r="O6" s="1314" t="s">
        <v>468</v>
      </c>
      <c r="P6" s="1314" t="s">
        <v>445</v>
      </c>
      <c r="Q6" s="1314" t="s">
        <v>277</v>
      </c>
      <c r="R6" s="1353">
        <v>0</v>
      </c>
      <c r="S6" s="1353">
        <v>0</v>
      </c>
      <c r="T6" s="1353">
        <v>15923798</v>
      </c>
      <c r="U6" s="1669">
        <f t="shared" si="3"/>
        <v>0</v>
      </c>
      <c r="V6" s="1669">
        <f t="shared" si="4"/>
        <v>0</v>
      </c>
      <c r="W6" s="1669">
        <f t="shared" si="5"/>
        <v>15923.798000000001</v>
      </c>
      <c r="Y6" s="1314" t="s">
        <v>442</v>
      </c>
      <c r="Z6" s="1316" t="s">
        <v>220</v>
      </c>
      <c r="AA6" s="1316" t="s">
        <v>497</v>
      </c>
      <c r="AB6" s="1316" t="s">
        <v>297</v>
      </c>
      <c r="AC6" s="1353">
        <v>0</v>
      </c>
      <c r="AD6" s="1353">
        <v>54954324000</v>
      </c>
      <c r="AE6" s="1353">
        <v>54954324000</v>
      </c>
      <c r="AF6" s="1353">
        <f t="shared" si="6"/>
        <v>0</v>
      </c>
      <c r="AG6" s="1353">
        <f t="shared" si="7"/>
        <v>54954324</v>
      </c>
      <c r="AH6" s="1353">
        <f t="shared" si="8"/>
        <v>54954324</v>
      </c>
      <c r="AJ6" s="1670" t="s">
        <v>444</v>
      </c>
      <c r="AK6" s="1671" t="s">
        <v>468</v>
      </c>
      <c r="AL6" s="1671" t="s">
        <v>447</v>
      </c>
      <c r="AM6" s="1671" t="s">
        <v>447</v>
      </c>
      <c r="AN6" s="1672">
        <v>0</v>
      </c>
      <c r="AO6" s="1353">
        <f t="shared" si="9"/>
        <v>0</v>
      </c>
      <c r="AR6" s="1673" t="s">
        <v>442</v>
      </c>
      <c r="AS6" s="1673" t="s">
        <v>220</v>
      </c>
      <c r="AT6" s="1673" t="s">
        <v>447</v>
      </c>
      <c r="AU6" s="1674" t="s">
        <v>447</v>
      </c>
      <c r="AV6" s="1675">
        <v>0</v>
      </c>
      <c r="AW6" s="1675">
        <v>0</v>
      </c>
      <c r="AX6" s="1675">
        <v>0</v>
      </c>
      <c r="AY6" s="1669">
        <f t="shared" si="10"/>
        <v>0</v>
      </c>
      <c r="AZ6" s="1669">
        <f t="shared" si="11"/>
        <v>0</v>
      </c>
      <c r="BA6" s="1669">
        <f t="shared" si="12"/>
        <v>0</v>
      </c>
      <c r="BD6" s="1314" t="s">
        <v>444</v>
      </c>
      <c r="BE6" s="1316" t="s">
        <v>468</v>
      </c>
      <c r="BF6" s="1316" t="s">
        <v>474</v>
      </c>
      <c r="BG6" s="1316" t="s">
        <v>276</v>
      </c>
      <c r="BH6" s="1353">
        <v>131599999</v>
      </c>
      <c r="BI6" s="1669">
        <f t="shared" si="13"/>
        <v>131599.99900000001</v>
      </c>
      <c r="BK6" s="1316" t="s">
        <v>442</v>
      </c>
      <c r="BL6" s="1316" t="s">
        <v>220</v>
      </c>
      <c r="BM6" s="1316" t="s">
        <v>447</v>
      </c>
      <c r="BN6" s="1316" t="s">
        <v>447</v>
      </c>
      <c r="BO6" s="1353">
        <v>0</v>
      </c>
      <c r="BP6" s="1353">
        <v>0</v>
      </c>
      <c r="BQ6" s="1353">
        <v>0</v>
      </c>
      <c r="BR6" s="1676">
        <f t="shared" si="14"/>
        <v>0</v>
      </c>
      <c r="BS6" s="1676">
        <f t="shared" si="15"/>
        <v>0</v>
      </c>
      <c r="BT6" s="1676">
        <f t="shared" si="16"/>
        <v>0</v>
      </c>
      <c r="BW6" s="1316" t="s">
        <v>444</v>
      </c>
      <c r="BX6" s="1316" t="s">
        <v>468</v>
      </c>
      <c r="BY6" s="1316" t="s">
        <v>472</v>
      </c>
      <c r="BZ6" s="1316" t="s">
        <v>473</v>
      </c>
      <c r="CA6" s="1676">
        <v>13404591</v>
      </c>
      <c r="CB6" s="1669">
        <f t="shared" si="17"/>
        <v>13404.591</v>
      </c>
      <c r="CE6" s="1316" t="s">
        <v>442</v>
      </c>
      <c r="CF6" s="1316" t="s">
        <v>220</v>
      </c>
      <c r="CG6" s="1316" t="s">
        <v>447</v>
      </c>
      <c r="CH6" s="1316" t="s">
        <v>447</v>
      </c>
      <c r="CI6" s="1677">
        <v>0</v>
      </c>
      <c r="CJ6" s="1677">
        <v>0</v>
      </c>
      <c r="CK6" s="1677">
        <v>0</v>
      </c>
      <c r="CL6" s="1676">
        <f t="shared" si="18"/>
        <v>0</v>
      </c>
      <c r="CM6" s="1676">
        <f t="shared" si="19"/>
        <v>0</v>
      </c>
      <c r="CN6" s="1676">
        <f t="shared" si="20"/>
        <v>0</v>
      </c>
      <c r="CQ6" s="1316" t="s">
        <v>945</v>
      </c>
      <c r="CR6" s="1316" t="s">
        <v>946</v>
      </c>
      <c r="CS6" s="1316" t="s">
        <v>447</v>
      </c>
      <c r="CT6" s="1316" t="s">
        <v>447</v>
      </c>
      <c r="CU6" s="1672">
        <v>456587887</v>
      </c>
      <c r="CV6" s="1669">
        <f t="shared" si="21"/>
        <v>456587.88699999999</v>
      </c>
      <c r="CY6" s="1316" t="s">
        <v>442</v>
      </c>
      <c r="CZ6" s="1316" t="s">
        <v>220</v>
      </c>
      <c r="DA6" s="1316" t="s">
        <v>447</v>
      </c>
      <c r="DB6" s="1316" t="s">
        <v>447</v>
      </c>
      <c r="DC6" s="1677">
        <v>0</v>
      </c>
      <c r="DD6" s="1677">
        <v>0</v>
      </c>
      <c r="DE6" s="1677">
        <v>0</v>
      </c>
      <c r="DF6" s="1669">
        <f t="shared" si="22"/>
        <v>0</v>
      </c>
      <c r="DG6" s="1669">
        <f t="shared" si="23"/>
        <v>0</v>
      </c>
      <c r="DH6" s="1669">
        <f t="shared" si="24"/>
        <v>0</v>
      </c>
      <c r="DK6" s="1314" t="s">
        <v>444</v>
      </c>
      <c r="DL6" s="1316" t="s">
        <v>1052</v>
      </c>
      <c r="DM6" s="1316" t="s">
        <v>474</v>
      </c>
      <c r="DN6" s="1316" t="s">
        <v>276</v>
      </c>
      <c r="DO6" s="1316" t="s">
        <v>547</v>
      </c>
      <c r="DP6" s="1353">
        <v>236557755</v>
      </c>
      <c r="DQ6" s="1669">
        <f t="shared" si="25"/>
        <v>236557.755</v>
      </c>
      <c r="DS6" s="1678" t="s">
        <v>442</v>
      </c>
      <c r="DT6" s="1679" t="s">
        <v>220</v>
      </c>
      <c r="DU6" s="1679" t="s">
        <v>443</v>
      </c>
      <c r="DV6" s="1679" t="s">
        <v>321</v>
      </c>
      <c r="DW6" s="1680">
        <v>0</v>
      </c>
      <c r="DX6" s="1680">
        <v>19951674225</v>
      </c>
      <c r="DY6" s="1680">
        <v>19951674225</v>
      </c>
      <c r="DZ6" s="1669">
        <f t="shared" si="26"/>
        <v>0</v>
      </c>
      <c r="EA6" s="1669">
        <f t="shared" si="27"/>
        <v>19951674.225000001</v>
      </c>
      <c r="EB6" s="1669">
        <f t="shared" si="28"/>
        <v>19951674.225000001</v>
      </c>
      <c r="ED6" s="1316" t="s">
        <v>450</v>
      </c>
      <c r="EE6" s="1316" t="s">
        <v>142</v>
      </c>
      <c r="EF6" s="1316" t="s">
        <v>447</v>
      </c>
      <c r="EG6" s="1316" t="s">
        <v>447</v>
      </c>
      <c r="EH6" s="1353">
        <v>2113574087</v>
      </c>
      <c r="EI6" s="1669">
        <f t="shared" si="31"/>
        <v>2113574.0869999998</v>
      </c>
      <c r="EK6" s="1316" t="s">
        <v>442</v>
      </c>
      <c r="EL6" s="1316" t="s">
        <v>220</v>
      </c>
      <c r="EM6" s="1316" t="s">
        <v>443</v>
      </c>
      <c r="EN6" s="1316" t="s">
        <v>321</v>
      </c>
      <c r="EO6" s="1353">
        <v>0</v>
      </c>
      <c r="EP6" s="1353">
        <v>19951674225</v>
      </c>
      <c r="EQ6" s="1353">
        <v>19951674225</v>
      </c>
      <c r="ER6" s="1669">
        <f t="shared" si="32"/>
        <v>0</v>
      </c>
      <c r="ES6" s="1669">
        <f t="shared" si="33"/>
        <v>19951674.225000001</v>
      </c>
      <c r="ET6" s="1669">
        <f t="shared" si="34"/>
        <v>19951674.225000001</v>
      </c>
      <c r="EW6" s="1266" t="s">
        <v>450</v>
      </c>
      <c r="EX6" s="1262" t="s">
        <v>142</v>
      </c>
      <c r="EY6" s="1266" t="s">
        <v>447</v>
      </c>
      <c r="EZ6" s="1266" t="s">
        <v>447</v>
      </c>
      <c r="FA6" s="244">
        <v>91715053</v>
      </c>
      <c r="FB6" s="1669">
        <f t="shared" si="35"/>
        <v>91715.053</v>
      </c>
      <c r="FD6" s="1314" t="s">
        <v>442</v>
      </c>
      <c r="FE6" s="1314" t="s">
        <v>220</v>
      </c>
      <c r="FF6" s="1314" t="s">
        <v>497</v>
      </c>
      <c r="FG6" s="1314" t="s">
        <v>297</v>
      </c>
      <c r="FH6" s="244">
        <v>0</v>
      </c>
      <c r="FI6" s="244">
        <v>54954324000</v>
      </c>
      <c r="FJ6" s="244">
        <v>54954324000</v>
      </c>
      <c r="FK6" s="1676">
        <f t="shared" si="36"/>
        <v>0</v>
      </c>
      <c r="FL6" s="1676">
        <f t="shared" si="37"/>
        <v>54954324</v>
      </c>
      <c r="FM6" s="1676">
        <f t="shared" si="38"/>
        <v>54954324</v>
      </c>
    </row>
    <row r="7" spans="1:169" ht="15" x14ac:dyDescent="0.3">
      <c r="A7" s="1316" t="s">
        <v>444</v>
      </c>
      <c r="B7" s="1316" t="s">
        <v>468</v>
      </c>
      <c r="C7" s="1316" t="s">
        <v>472</v>
      </c>
      <c r="D7" s="1316" t="s">
        <v>473</v>
      </c>
      <c r="E7" s="1316" t="s">
        <v>547</v>
      </c>
      <c r="F7" s="1668">
        <v>300000000</v>
      </c>
      <c r="G7" s="1668">
        <v>0</v>
      </c>
      <c r="H7" s="1668">
        <v>0</v>
      </c>
      <c r="I7" s="1668">
        <f t="shared" si="0"/>
        <v>300000</v>
      </c>
      <c r="J7" s="1668">
        <f t="shared" si="1"/>
        <v>0</v>
      </c>
      <c r="K7" s="1668">
        <f t="shared" si="2"/>
        <v>0</v>
      </c>
      <c r="N7" s="1314" t="s">
        <v>444</v>
      </c>
      <c r="O7" s="1314" t="s">
        <v>468</v>
      </c>
      <c r="P7" s="1314" t="s">
        <v>472</v>
      </c>
      <c r="Q7" s="1314" t="s">
        <v>473</v>
      </c>
      <c r="R7" s="1353">
        <v>0</v>
      </c>
      <c r="S7" s="1353">
        <v>0</v>
      </c>
      <c r="T7" s="1353">
        <v>838747</v>
      </c>
      <c r="U7" s="1669">
        <f t="shared" si="3"/>
        <v>0</v>
      </c>
      <c r="V7" s="1669">
        <f t="shared" si="4"/>
        <v>0</v>
      </c>
      <c r="W7" s="1669">
        <f t="shared" si="5"/>
        <v>838.74699999999996</v>
      </c>
      <c r="Y7" s="1314" t="s">
        <v>444</v>
      </c>
      <c r="Z7" s="1316" t="s">
        <v>468</v>
      </c>
      <c r="AA7" s="1316" t="s">
        <v>474</v>
      </c>
      <c r="AB7" s="1316" t="s">
        <v>276</v>
      </c>
      <c r="AC7" s="1353">
        <v>2653409000</v>
      </c>
      <c r="AD7" s="1353">
        <v>0</v>
      </c>
      <c r="AE7" s="1353">
        <v>0</v>
      </c>
      <c r="AF7" s="1353">
        <f t="shared" si="6"/>
        <v>2653409</v>
      </c>
      <c r="AG7" s="1353">
        <f t="shared" si="7"/>
        <v>0</v>
      </c>
      <c r="AH7" s="1353">
        <f t="shared" si="8"/>
        <v>0</v>
      </c>
      <c r="AJ7" s="1670" t="s">
        <v>444</v>
      </c>
      <c r="AK7" s="1671" t="s">
        <v>468</v>
      </c>
      <c r="AL7" s="1671" t="s">
        <v>446</v>
      </c>
      <c r="AM7" s="1671" t="s">
        <v>322</v>
      </c>
      <c r="AN7" s="1672">
        <v>162474</v>
      </c>
      <c r="AO7" s="1353">
        <f t="shared" si="9"/>
        <v>162.47399999999999</v>
      </c>
      <c r="AR7" s="1673" t="s">
        <v>444</v>
      </c>
      <c r="AS7" s="1673" t="s">
        <v>468</v>
      </c>
      <c r="AT7" s="1673" t="s">
        <v>474</v>
      </c>
      <c r="AU7" s="1674" t="s">
        <v>276</v>
      </c>
      <c r="AV7" s="1675">
        <v>2653409000</v>
      </c>
      <c r="AW7" s="1675">
        <v>0</v>
      </c>
      <c r="AX7" s="1675">
        <v>0</v>
      </c>
      <c r="AY7" s="1669">
        <f t="shared" si="10"/>
        <v>2653409</v>
      </c>
      <c r="AZ7" s="1669">
        <f t="shared" si="11"/>
        <v>0</v>
      </c>
      <c r="BA7" s="1669">
        <f t="shared" si="12"/>
        <v>0</v>
      </c>
      <c r="BD7" s="1314" t="s">
        <v>444</v>
      </c>
      <c r="BE7" s="1316" t="s">
        <v>468</v>
      </c>
      <c r="BF7" s="1316" t="s">
        <v>446</v>
      </c>
      <c r="BG7" s="1316" t="s">
        <v>322</v>
      </c>
      <c r="BH7" s="1353">
        <v>162666</v>
      </c>
      <c r="BI7" s="1669">
        <f t="shared" si="13"/>
        <v>162.666</v>
      </c>
      <c r="BK7" s="1316" t="s">
        <v>442</v>
      </c>
      <c r="BL7" s="1316" t="s">
        <v>220</v>
      </c>
      <c r="BM7" s="1316" t="s">
        <v>497</v>
      </c>
      <c r="BN7" s="1316" t="s">
        <v>297</v>
      </c>
      <c r="BO7" s="1353">
        <v>0</v>
      </c>
      <c r="BP7" s="1353">
        <v>54954324000</v>
      </c>
      <c r="BQ7" s="1353">
        <v>54954324000</v>
      </c>
      <c r="BR7" s="1676">
        <f t="shared" si="14"/>
        <v>0</v>
      </c>
      <c r="BS7" s="1676">
        <f t="shared" si="15"/>
        <v>54954324</v>
      </c>
      <c r="BT7" s="1676">
        <f t="shared" si="16"/>
        <v>54954324</v>
      </c>
      <c r="BW7" s="1316" t="s">
        <v>444</v>
      </c>
      <c r="BX7" s="1316" t="s">
        <v>468</v>
      </c>
      <c r="BY7" s="1316" t="s">
        <v>471</v>
      </c>
      <c r="BZ7" s="1316" t="s">
        <v>279</v>
      </c>
      <c r="CA7" s="1676">
        <v>1450015</v>
      </c>
      <c r="CB7" s="1669">
        <f t="shared" si="17"/>
        <v>1450.0150000000001</v>
      </c>
      <c r="CE7" s="1316" t="s">
        <v>442</v>
      </c>
      <c r="CF7" s="1316" t="s">
        <v>220</v>
      </c>
      <c r="CG7" s="1316" t="s">
        <v>497</v>
      </c>
      <c r="CH7" s="1316" t="s">
        <v>297</v>
      </c>
      <c r="CI7" s="1677">
        <v>0</v>
      </c>
      <c r="CJ7" s="1677">
        <v>54954324000</v>
      </c>
      <c r="CK7" s="1677">
        <v>54954324000</v>
      </c>
      <c r="CL7" s="1676">
        <f t="shared" si="18"/>
        <v>0</v>
      </c>
      <c r="CM7" s="1676">
        <f t="shared" si="19"/>
        <v>54954324</v>
      </c>
      <c r="CN7" s="1676">
        <f t="shared" si="20"/>
        <v>54954324</v>
      </c>
      <c r="CQ7" s="1316" t="s">
        <v>947</v>
      </c>
      <c r="CR7" s="1316" t="s">
        <v>948</v>
      </c>
      <c r="CS7" s="1316" t="s">
        <v>447</v>
      </c>
      <c r="CT7" s="1316" t="s">
        <v>447</v>
      </c>
      <c r="CU7" s="1672">
        <v>4418712158</v>
      </c>
      <c r="CV7" s="1669">
        <f t="shared" si="21"/>
        <v>4418712.1579999998</v>
      </c>
      <c r="CY7" s="1316" t="s">
        <v>442</v>
      </c>
      <c r="CZ7" s="1316" t="s">
        <v>220</v>
      </c>
      <c r="DA7" s="1316" t="s">
        <v>443</v>
      </c>
      <c r="DB7" s="1316" t="s">
        <v>321</v>
      </c>
      <c r="DC7" s="1677">
        <v>0</v>
      </c>
      <c r="DD7" s="1677">
        <v>19920681333</v>
      </c>
      <c r="DE7" s="1677">
        <v>19920681333</v>
      </c>
      <c r="DF7" s="1669">
        <f t="shared" si="22"/>
        <v>0</v>
      </c>
      <c r="DG7" s="1669">
        <f t="shared" si="23"/>
        <v>19920681.333000001</v>
      </c>
      <c r="DH7" s="1669">
        <f t="shared" si="24"/>
        <v>19920681.333000001</v>
      </c>
      <c r="DK7" s="1314" t="s">
        <v>945</v>
      </c>
      <c r="DL7" s="1316" t="s">
        <v>946</v>
      </c>
      <c r="DM7" s="1316" t="s">
        <v>447</v>
      </c>
      <c r="DN7" s="1316" t="s">
        <v>447</v>
      </c>
      <c r="DO7" s="1316" t="s">
        <v>547</v>
      </c>
      <c r="DP7" s="1353">
        <v>1137339855</v>
      </c>
      <c r="DQ7" s="1669">
        <f t="shared" si="25"/>
        <v>1137339.855</v>
      </c>
      <c r="DS7" s="1678" t="s">
        <v>442</v>
      </c>
      <c r="DT7" s="1679" t="s">
        <v>220</v>
      </c>
      <c r="DU7" s="1679" t="s">
        <v>497</v>
      </c>
      <c r="DV7" s="1679" t="s">
        <v>297</v>
      </c>
      <c r="DW7" s="1680">
        <v>0</v>
      </c>
      <c r="DX7" s="1680">
        <v>54954324000</v>
      </c>
      <c r="DY7" s="1680">
        <v>54954324000</v>
      </c>
      <c r="DZ7" s="1669">
        <f t="shared" si="26"/>
        <v>0</v>
      </c>
      <c r="EA7" s="1669">
        <f t="shared" si="27"/>
        <v>54954324</v>
      </c>
      <c r="EB7" s="1669">
        <f t="shared" si="28"/>
        <v>54954324</v>
      </c>
      <c r="ED7" s="1316" t="s">
        <v>945</v>
      </c>
      <c r="EE7" s="1316" t="s">
        <v>946</v>
      </c>
      <c r="EF7" s="1316" t="s">
        <v>447</v>
      </c>
      <c r="EG7" s="1316" t="s">
        <v>447</v>
      </c>
      <c r="EH7" s="1353">
        <v>4984719799</v>
      </c>
      <c r="EI7" s="1669">
        <f t="shared" si="31"/>
        <v>4984719.7989999996</v>
      </c>
      <c r="EK7" s="1316" t="s">
        <v>442</v>
      </c>
      <c r="EL7" s="1316" t="s">
        <v>220</v>
      </c>
      <c r="EM7" s="1316" t="s">
        <v>497</v>
      </c>
      <c r="EN7" s="1316" t="s">
        <v>297</v>
      </c>
      <c r="EO7" s="1353">
        <v>0</v>
      </c>
      <c r="EP7" s="1353">
        <v>54954324000</v>
      </c>
      <c r="EQ7" s="1353">
        <v>54954324000</v>
      </c>
      <c r="ER7" s="1669">
        <f t="shared" si="32"/>
        <v>0</v>
      </c>
      <c r="ES7" s="1669">
        <f t="shared" si="33"/>
        <v>54954324</v>
      </c>
      <c r="ET7" s="1669">
        <f t="shared" si="34"/>
        <v>54954324</v>
      </c>
      <c r="EW7" s="1266" t="s">
        <v>945</v>
      </c>
      <c r="EX7" s="1262" t="s">
        <v>946</v>
      </c>
      <c r="EY7" s="1266" t="s">
        <v>447</v>
      </c>
      <c r="EZ7" s="1266" t="s">
        <v>447</v>
      </c>
      <c r="FA7" s="244">
        <v>1010726339</v>
      </c>
      <c r="FB7" s="1669">
        <f t="shared" si="35"/>
        <v>1010726.339</v>
      </c>
      <c r="FD7" s="1314" t="s">
        <v>442</v>
      </c>
      <c r="FE7" s="1314" t="s">
        <v>220</v>
      </c>
      <c r="FF7" s="1314" t="s">
        <v>443</v>
      </c>
      <c r="FG7" s="1314" t="s">
        <v>321</v>
      </c>
      <c r="FH7" s="244">
        <v>0</v>
      </c>
      <c r="FI7" s="244">
        <v>19951674225</v>
      </c>
      <c r="FJ7" s="244">
        <v>19951674225</v>
      </c>
      <c r="FK7" s="1676">
        <f t="shared" si="36"/>
        <v>0</v>
      </c>
      <c r="FL7" s="1676">
        <f t="shared" si="37"/>
        <v>19951674.225000001</v>
      </c>
      <c r="FM7" s="1676">
        <f t="shared" si="38"/>
        <v>19951674.225000001</v>
      </c>
    </row>
    <row r="8" spans="1:169" ht="15" x14ac:dyDescent="0.3">
      <c r="A8" s="1316" t="s">
        <v>444</v>
      </c>
      <c r="B8" s="1316" t="s">
        <v>468</v>
      </c>
      <c r="C8" s="1316" t="s">
        <v>445</v>
      </c>
      <c r="D8" s="1316" t="s">
        <v>277</v>
      </c>
      <c r="E8" s="1316" t="s">
        <v>547</v>
      </c>
      <c r="F8" s="1668">
        <v>285477000</v>
      </c>
      <c r="G8" s="1668">
        <v>0</v>
      </c>
      <c r="H8" s="1668">
        <v>0</v>
      </c>
      <c r="I8" s="1668">
        <f t="shared" si="0"/>
        <v>285477</v>
      </c>
      <c r="J8" s="1668">
        <f t="shared" si="1"/>
        <v>0</v>
      </c>
      <c r="K8" s="1668">
        <f t="shared" si="2"/>
        <v>0</v>
      </c>
      <c r="N8" s="1314" t="s">
        <v>444</v>
      </c>
      <c r="O8" s="1314" t="s">
        <v>468</v>
      </c>
      <c r="P8" s="1314" t="s">
        <v>447</v>
      </c>
      <c r="Q8" s="1314" t="s">
        <v>447</v>
      </c>
      <c r="R8" s="1353">
        <v>0</v>
      </c>
      <c r="S8" s="1353">
        <v>0</v>
      </c>
      <c r="T8" s="1353">
        <v>0</v>
      </c>
      <c r="U8" s="1669">
        <f t="shared" si="3"/>
        <v>0</v>
      </c>
      <c r="V8" s="1669">
        <f t="shared" si="4"/>
        <v>0</v>
      </c>
      <c r="W8" s="1669">
        <f t="shared" si="5"/>
        <v>0</v>
      </c>
      <c r="Y8" s="1314" t="s">
        <v>444</v>
      </c>
      <c r="Z8" s="1316" t="s">
        <v>468</v>
      </c>
      <c r="AA8" s="1316" t="s">
        <v>498</v>
      </c>
      <c r="AB8" s="1316" t="s">
        <v>343</v>
      </c>
      <c r="AC8" s="1353">
        <v>567371000</v>
      </c>
      <c r="AD8" s="1353">
        <v>0</v>
      </c>
      <c r="AE8" s="1353">
        <v>0</v>
      </c>
      <c r="AF8" s="1353">
        <f t="shared" si="6"/>
        <v>567371</v>
      </c>
      <c r="AG8" s="1353">
        <f t="shared" si="7"/>
        <v>0</v>
      </c>
      <c r="AH8" s="1353">
        <f t="shared" si="8"/>
        <v>0</v>
      </c>
      <c r="AJ8" s="1670" t="s">
        <v>444</v>
      </c>
      <c r="AK8" s="1671" t="s">
        <v>468</v>
      </c>
      <c r="AL8" s="1671" t="s">
        <v>474</v>
      </c>
      <c r="AM8" s="1671" t="s">
        <v>276</v>
      </c>
      <c r="AN8" s="1672">
        <v>128681308</v>
      </c>
      <c r="AO8" s="1353">
        <f t="shared" si="9"/>
        <v>128681.308</v>
      </c>
      <c r="AR8" s="1673" t="s">
        <v>444</v>
      </c>
      <c r="AS8" s="1673" t="s">
        <v>468</v>
      </c>
      <c r="AT8" s="1673" t="s">
        <v>498</v>
      </c>
      <c r="AU8" s="1674" t="s">
        <v>343</v>
      </c>
      <c r="AV8" s="1675">
        <v>567371000</v>
      </c>
      <c r="AW8" s="1675">
        <v>0</v>
      </c>
      <c r="AX8" s="1675">
        <v>0</v>
      </c>
      <c r="AY8" s="1669">
        <f t="shared" si="10"/>
        <v>567371</v>
      </c>
      <c r="AZ8" s="1669">
        <f t="shared" si="11"/>
        <v>0</v>
      </c>
      <c r="BA8" s="1669">
        <f t="shared" si="12"/>
        <v>0</v>
      </c>
      <c r="BD8" s="1314" t="s">
        <v>947</v>
      </c>
      <c r="BE8" s="1316" t="s">
        <v>948</v>
      </c>
      <c r="BF8" s="1316" t="s">
        <v>447</v>
      </c>
      <c r="BG8" s="1316" t="s">
        <v>447</v>
      </c>
      <c r="BH8" s="1353">
        <v>2046857769</v>
      </c>
      <c r="BI8" s="1669">
        <f t="shared" si="13"/>
        <v>2046857.7690000001</v>
      </c>
      <c r="BK8" s="1316" t="s">
        <v>444</v>
      </c>
      <c r="BL8" s="1316" t="s">
        <v>468</v>
      </c>
      <c r="BM8" s="1316" t="s">
        <v>474</v>
      </c>
      <c r="BN8" s="1316" t="s">
        <v>276</v>
      </c>
      <c r="BO8" s="1353">
        <v>2653409000</v>
      </c>
      <c r="BP8" s="1353">
        <v>0</v>
      </c>
      <c r="BQ8" s="1353">
        <v>0</v>
      </c>
      <c r="BR8" s="1676">
        <f t="shared" si="14"/>
        <v>2653409</v>
      </c>
      <c r="BS8" s="1676">
        <f t="shared" si="15"/>
        <v>0</v>
      </c>
      <c r="BT8" s="1676">
        <f t="shared" si="16"/>
        <v>0</v>
      </c>
      <c r="BW8" s="1316" t="s">
        <v>444</v>
      </c>
      <c r="BX8" s="1316" t="s">
        <v>468</v>
      </c>
      <c r="BY8" s="1316" t="s">
        <v>474</v>
      </c>
      <c r="BZ8" s="1316" t="s">
        <v>276</v>
      </c>
      <c r="CA8" s="1676">
        <v>172441073</v>
      </c>
      <c r="CB8" s="1669">
        <f t="shared" si="17"/>
        <v>172441.073</v>
      </c>
      <c r="CE8" s="1316" t="s">
        <v>444</v>
      </c>
      <c r="CF8" s="1316" t="s">
        <v>468</v>
      </c>
      <c r="CG8" s="1316" t="s">
        <v>474</v>
      </c>
      <c r="CH8" s="1316" t="s">
        <v>276</v>
      </c>
      <c r="CI8" s="1677">
        <v>2653409000</v>
      </c>
      <c r="CJ8" s="1677">
        <v>0</v>
      </c>
      <c r="CK8" s="1677">
        <v>0</v>
      </c>
      <c r="CL8" s="1676">
        <f t="shared" si="18"/>
        <v>2653409</v>
      </c>
      <c r="CM8" s="1676">
        <f t="shared" si="19"/>
        <v>0</v>
      </c>
      <c r="CN8" s="1676">
        <f t="shared" si="20"/>
        <v>0</v>
      </c>
      <c r="CQ8" s="1316" t="s">
        <v>949</v>
      </c>
      <c r="CR8" s="1316" t="s">
        <v>950</v>
      </c>
      <c r="CS8" s="1316" t="s">
        <v>447</v>
      </c>
      <c r="CT8" s="1316" t="s">
        <v>447</v>
      </c>
      <c r="CU8" s="1672">
        <v>1905624256</v>
      </c>
      <c r="CV8" s="1669">
        <f t="shared" si="21"/>
        <v>1905624.2560000001</v>
      </c>
      <c r="CY8" s="1316" t="s">
        <v>444</v>
      </c>
      <c r="CZ8" s="1316" t="s">
        <v>468</v>
      </c>
      <c r="DA8" s="1316" t="s">
        <v>474</v>
      </c>
      <c r="DB8" s="1316" t="s">
        <v>276</v>
      </c>
      <c r="DC8" s="1677">
        <v>2653409000</v>
      </c>
      <c r="DD8" s="1677">
        <v>0</v>
      </c>
      <c r="DE8" s="1677">
        <v>0</v>
      </c>
      <c r="DF8" s="1669">
        <f t="shared" si="22"/>
        <v>2653409</v>
      </c>
      <c r="DG8" s="1669">
        <f t="shared" si="23"/>
        <v>0</v>
      </c>
      <c r="DH8" s="1669">
        <f t="shared" si="24"/>
        <v>0</v>
      </c>
      <c r="DK8" s="1314" t="s">
        <v>947</v>
      </c>
      <c r="DL8" s="1316" t="s">
        <v>948</v>
      </c>
      <c r="DM8" s="1316" t="s">
        <v>447</v>
      </c>
      <c r="DN8" s="1316" t="s">
        <v>447</v>
      </c>
      <c r="DO8" s="1316" t="s">
        <v>547</v>
      </c>
      <c r="DP8" s="1353">
        <v>18656841786</v>
      </c>
      <c r="DQ8" s="1669">
        <f t="shared" si="25"/>
        <v>18656841.785999998</v>
      </c>
      <c r="DS8" s="1678" t="s">
        <v>444</v>
      </c>
      <c r="DT8" s="1679" t="s">
        <v>1052</v>
      </c>
      <c r="DU8" s="1679" t="s">
        <v>474</v>
      </c>
      <c r="DV8" s="1679" t="s">
        <v>276</v>
      </c>
      <c r="DW8" s="1680">
        <v>2653409000</v>
      </c>
      <c r="DX8" s="1680">
        <v>0</v>
      </c>
      <c r="DY8" s="1680">
        <v>0</v>
      </c>
      <c r="DZ8" s="1669">
        <f t="shared" si="26"/>
        <v>2653409</v>
      </c>
      <c r="EA8" s="1669">
        <f t="shared" si="27"/>
        <v>0</v>
      </c>
      <c r="EB8" s="1669">
        <f t="shared" si="28"/>
        <v>0</v>
      </c>
      <c r="ED8" s="1316" t="s">
        <v>947</v>
      </c>
      <c r="EE8" s="1316" t="s">
        <v>948</v>
      </c>
      <c r="EF8" s="1316" t="s">
        <v>447</v>
      </c>
      <c r="EG8" s="1316" t="s">
        <v>447</v>
      </c>
      <c r="EH8" s="1353">
        <v>7247107640</v>
      </c>
      <c r="EI8" s="1669">
        <f t="shared" si="31"/>
        <v>7247107.6399999997</v>
      </c>
      <c r="EK8" s="1316" t="s">
        <v>444</v>
      </c>
      <c r="EL8" s="1316" t="s">
        <v>1052</v>
      </c>
      <c r="EM8" s="1316" t="s">
        <v>474</v>
      </c>
      <c r="EN8" s="1316" t="s">
        <v>276</v>
      </c>
      <c r="EO8" s="1353">
        <v>2653409000</v>
      </c>
      <c r="EP8" s="1353">
        <v>0</v>
      </c>
      <c r="EQ8" s="1353">
        <v>0</v>
      </c>
      <c r="ER8" s="1669">
        <f t="shared" si="32"/>
        <v>2653409</v>
      </c>
      <c r="ES8" s="1669">
        <f t="shared" si="33"/>
        <v>0</v>
      </c>
      <c r="ET8" s="1669">
        <f t="shared" si="34"/>
        <v>0</v>
      </c>
      <c r="EW8" s="1266" t="s">
        <v>947</v>
      </c>
      <c r="EX8" s="1262" t="s">
        <v>948</v>
      </c>
      <c r="EY8" s="1266" t="s">
        <v>447</v>
      </c>
      <c r="EZ8" s="1266" t="s">
        <v>447</v>
      </c>
      <c r="FA8" s="244">
        <v>6275751689</v>
      </c>
      <c r="FB8" s="1669">
        <f t="shared" si="35"/>
        <v>6275751.6890000002</v>
      </c>
      <c r="FD8" s="1314" t="s">
        <v>444</v>
      </c>
      <c r="FE8" s="1314" t="s">
        <v>1052</v>
      </c>
      <c r="FF8" s="1314" t="s">
        <v>474</v>
      </c>
      <c r="FG8" s="1314" t="s">
        <v>276</v>
      </c>
      <c r="FH8" s="244">
        <v>2653409000</v>
      </c>
      <c r="FI8" s="244">
        <v>0</v>
      </c>
      <c r="FJ8" s="244">
        <v>0</v>
      </c>
      <c r="FK8" s="1676">
        <f t="shared" si="36"/>
        <v>2653409</v>
      </c>
      <c r="FL8" s="1676">
        <f t="shared" si="37"/>
        <v>0</v>
      </c>
      <c r="FM8" s="1676">
        <f t="shared" si="38"/>
        <v>0</v>
      </c>
    </row>
    <row r="9" spans="1:169" ht="15" x14ac:dyDescent="0.3">
      <c r="A9" s="1316" t="s">
        <v>444</v>
      </c>
      <c r="B9" s="1316" t="s">
        <v>468</v>
      </c>
      <c r="C9" s="1316" t="s">
        <v>446</v>
      </c>
      <c r="D9" s="1316" t="s">
        <v>322</v>
      </c>
      <c r="E9" s="1316" t="s">
        <v>547</v>
      </c>
      <c r="F9" s="1668">
        <v>3000000</v>
      </c>
      <c r="G9" s="1668">
        <v>0</v>
      </c>
      <c r="H9" s="1668">
        <v>0</v>
      </c>
      <c r="I9" s="1668">
        <f t="shared" si="0"/>
        <v>3000</v>
      </c>
      <c r="J9" s="1668">
        <f t="shared" si="1"/>
        <v>0</v>
      </c>
      <c r="K9" s="1668">
        <f t="shared" si="2"/>
        <v>0</v>
      </c>
      <c r="N9" s="1314" t="s">
        <v>444</v>
      </c>
      <c r="O9" s="1314" t="s">
        <v>468</v>
      </c>
      <c r="P9" s="1314" t="s">
        <v>446</v>
      </c>
      <c r="Q9" s="1314" t="s">
        <v>322</v>
      </c>
      <c r="R9" s="1353">
        <v>0</v>
      </c>
      <c r="S9" s="1353">
        <v>0</v>
      </c>
      <c r="T9" s="1353">
        <v>93908</v>
      </c>
      <c r="U9" s="1669">
        <f t="shared" si="3"/>
        <v>0</v>
      </c>
      <c r="V9" s="1669">
        <f t="shared" si="4"/>
        <v>0</v>
      </c>
      <c r="W9" s="1669">
        <f t="shared" si="5"/>
        <v>93.908000000000001</v>
      </c>
      <c r="Y9" s="1314" t="s">
        <v>444</v>
      </c>
      <c r="Z9" s="1316" t="s">
        <v>468</v>
      </c>
      <c r="AA9" s="1316" t="s">
        <v>472</v>
      </c>
      <c r="AB9" s="1316" t="s">
        <v>473</v>
      </c>
      <c r="AC9" s="1353">
        <v>300000000</v>
      </c>
      <c r="AD9" s="1353">
        <v>0</v>
      </c>
      <c r="AE9" s="1353">
        <v>0</v>
      </c>
      <c r="AF9" s="1353">
        <f t="shared" si="6"/>
        <v>300000</v>
      </c>
      <c r="AG9" s="1353">
        <f t="shared" si="7"/>
        <v>0</v>
      </c>
      <c r="AH9" s="1353">
        <f t="shared" si="8"/>
        <v>0</v>
      </c>
      <c r="AJ9" s="1670" t="s">
        <v>947</v>
      </c>
      <c r="AK9" s="1671" t="s">
        <v>948</v>
      </c>
      <c r="AL9" s="1671" t="s">
        <v>447</v>
      </c>
      <c r="AM9" s="1671" t="s">
        <v>447</v>
      </c>
      <c r="AN9" s="1672">
        <v>2591537160</v>
      </c>
      <c r="AO9" s="1353">
        <f t="shared" si="9"/>
        <v>2591537.16</v>
      </c>
      <c r="AR9" s="1673" t="s">
        <v>444</v>
      </c>
      <c r="AS9" s="1673" t="s">
        <v>468</v>
      </c>
      <c r="AT9" s="1673" t="s">
        <v>472</v>
      </c>
      <c r="AU9" s="1674" t="s">
        <v>473</v>
      </c>
      <c r="AV9" s="1675">
        <v>300000000</v>
      </c>
      <c r="AW9" s="1675">
        <v>0</v>
      </c>
      <c r="AX9" s="1675">
        <v>0</v>
      </c>
      <c r="AY9" s="1669">
        <f t="shared" si="10"/>
        <v>300000</v>
      </c>
      <c r="AZ9" s="1669">
        <f t="shared" si="11"/>
        <v>0</v>
      </c>
      <c r="BA9" s="1669">
        <f t="shared" si="12"/>
        <v>0</v>
      </c>
      <c r="BD9" s="1314" t="s">
        <v>949</v>
      </c>
      <c r="BE9" s="1316" t="s">
        <v>950</v>
      </c>
      <c r="BF9" s="1316" t="s">
        <v>447</v>
      </c>
      <c r="BG9" s="1316" t="s">
        <v>447</v>
      </c>
      <c r="BH9" s="1353">
        <v>2259828649</v>
      </c>
      <c r="BI9" s="1669">
        <f t="shared" si="13"/>
        <v>2259828.6490000002</v>
      </c>
      <c r="BK9" s="1316" t="s">
        <v>444</v>
      </c>
      <c r="BL9" s="1316" t="s">
        <v>468</v>
      </c>
      <c r="BM9" s="1316" t="s">
        <v>498</v>
      </c>
      <c r="BN9" s="1316" t="s">
        <v>343</v>
      </c>
      <c r="BO9" s="1353">
        <v>567371000</v>
      </c>
      <c r="BP9" s="1353">
        <v>0</v>
      </c>
      <c r="BQ9" s="1353">
        <v>0</v>
      </c>
      <c r="BR9" s="1676">
        <f t="shared" si="14"/>
        <v>567371</v>
      </c>
      <c r="BS9" s="1676">
        <f t="shared" si="15"/>
        <v>0</v>
      </c>
      <c r="BT9" s="1676">
        <f t="shared" si="16"/>
        <v>0</v>
      </c>
      <c r="BW9" s="1316" t="s">
        <v>444</v>
      </c>
      <c r="BX9" s="1316" t="s">
        <v>468</v>
      </c>
      <c r="BY9" s="1316" t="s">
        <v>446</v>
      </c>
      <c r="BZ9" s="1316" t="s">
        <v>322</v>
      </c>
      <c r="CA9" s="1676">
        <v>362220</v>
      </c>
      <c r="CB9" s="1669">
        <f t="shared" si="17"/>
        <v>362.22</v>
      </c>
      <c r="CE9" s="1316" t="s">
        <v>444</v>
      </c>
      <c r="CF9" s="1316" t="s">
        <v>468</v>
      </c>
      <c r="CG9" s="1316" t="s">
        <v>498</v>
      </c>
      <c r="CH9" s="1316" t="s">
        <v>343</v>
      </c>
      <c r="CI9" s="1677">
        <v>567371000</v>
      </c>
      <c r="CJ9" s="1677">
        <v>0</v>
      </c>
      <c r="CK9" s="1677">
        <v>0</v>
      </c>
      <c r="CL9" s="1676">
        <f t="shared" si="18"/>
        <v>567371</v>
      </c>
      <c r="CM9" s="1676">
        <f t="shared" si="19"/>
        <v>0</v>
      </c>
      <c r="CN9" s="1676">
        <f t="shared" si="20"/>
        <v>0</v>
      </c>
      <c r="CQ9" s="1316" t="s">
        <v>951</v>
      </c>
      <c r="CR9" s="1316" t="s">
        <v>952</v>
      </c>
      <c r="CS9" s="1316" t="s">
        <v>447</v>
      </c>
      <c r="CT9" s="1316" t="s">
        <v>447</v>
      </c>
      <c r="CU9" s="1672">
        <v>3321452693</v>
      </c>
      <c r="CV9" s="1669">
        <f t="shared" si="21"/>
        <v>3321452.693</v>
      </c>
      <c r="CY9" s="1316" t="s">
        <v>444</v>
      </c>
      <c r="CZ9" s="1316" t="s">
        <v>468</v>
      </c>
      <c r="DA9" s="1316" t="s">
        <v>498</v>
      </c>
      <c r="DB9" s="1316" t="s">
        <v>343</v>
      </c>
      <c r="DC9" s="1677">
        <v>567371000</v>
      </c>
      <c r="DD9" s="1677">
        <v>0</v>
      </c>
      <c r="DE9" s="1677">
        <v>0</v>
      </c>
      <c r="DF9" s="1669">
        <f t="shared" si="22"/>
        <v>567371</v>
      </c>
      <c r="DG9" s="1669">
        <f t="shared" si="23"/>
        <v>0</v>
      </c>
      <c r="DH9" s="1669">
        <f t="shared" si="24"/>
        <v>0</v>
      </c>
      <c r="DK9" s="1314" t="s">
        <v>949</v>
      </c>
      <c r="DL9" s="1316" t="s">
        <v>950</v>
      </c>
      <c r="DM9" s="1316" t="s">
        <v>447</v>
      </c>
      <c r="DN9" s="1316" t="s">
        <v>447</v>
      </c>
      <c r="DO9" s="1316" t="s">
        <v>547</v>
      </c>
      <c r="DP9" s="1353">
        <v>1026747791</v>
      </c>
      <c r="DQ9" s="1669">
        <f t="shared" si="25"/>
        <v>1026747.791</v>
      </c>
      <c r="DS9" s="1678" t="s">
        <v>444</v>
      </c>
      <c r="DT9" s="1679" t="s">
        <v>1052</v>
      </c>
      <c r="DU9" s="1679" t="s">
        <v>498</v>
      </c>
      <c r="DV9" s="1679" t="s">
        <v>343</v>
      </c>
      <c r="DW9" s="1680">
        <v>567371000</v>
      </c>
      <c r="DX9" s="1680">
        <v>0</v>
      </c>
      <c r="DY9" s="1680">
        <v>0</v>
      </c>
      <c r="DZ9" s="1669">
        <f t="shared" si="26"/>
        <v>567371</v>
      </c>
      <c r="EA9" s="1669">
        <f t="shared" si="27"/>
        <v>0</v>
      </c>
      <c r="EB9" s="1669">
        <f t="shared" si="28"/>
        <v>0</v>
      </c>
      <c r="ED9" s="1316" t="s">
        <v>949</v>
      </c>
      <c r="EE9" s="1316" t="s">
        <v>950</v>
      </c>
      <c r="EF9" s="1316" t="s">
        <v>447</v>
      </c>
      <c r="EG9" s="1316" t="s">
        <v>447</v>
      </c>
      <c r="EH9" s="1353">
        <v>2864335619</v>
      </c>
      <c r="EI9" s="1669">
        <f t="shared" si="31"/>
        <v>2864335.6189999999</v>
      </c>
      <c r="EK9" s="1316" t="s">
        <v>444</v>
      </c>
      <c r="EL9" s="1316" t="s">
        <v>1052</v>
      </c>
      <c r="EM9" s="1316" t="s">
        <v>498</v>
      </c>
      <c r="EN9" s="1316" t="s">
        <v>343</v>
      </c>
      <c r="EO9" s="1353">
        <v>567371000</v>
      </c>
      <c r="EP9" s="1353">
        <v>0</v>
      </c>
      <c r="EQ9" s="1353">
        <v>0</v>
      </c>
      <c r="ER9" s="1669">
        <f t="shared" si="32"/>
        <v>567371</v>
      </c>
      <c r="ES9" s="1669">
        <f t="shared" si="33"/>
        <v>0</v>
      </c>
      <c r="ET9" s="1669">
        <f t="shared" si="34"/>
        <v>0</v>
      </c>
      <c r="EW9" s="1266" t="s">
        <v>951</v>
      </c>
      <c r="EX9" s="1262" t="s">
        <v>952</v>
      </c>
      <c r="EY9" s="1266" t="s">
        <v>447</v>
      </c>
      <c r="EZ9" s="1266" t="s">
        <v>447</v>
      </c>
      <c r="FA9" s="244">
        <v>1080862331</v>
      </c>
      <c r="FB9" s="1669">
        <f t="shared" si="35"/>
        <v>1080862.331</v>
      </c>
      <c r="FD9" s="1314" t="s">
        <v>444</v>
      </c>
      <c r="FE9" s="1314" t="s">
        <v>1052</v>
      </c>
      <c r="FF9" s="1314" t="s">
        <v>498</v>
      </c>
      <c r="FG9" s="1314" t="s">
        <v>343</v>
      </c>
      <c r="FH9" s="244">
        <v>567371000</v>
      </c>
      <c r="FI9" s="244">
        <v>0</v>
      </c>
      <c r="FJ9" s="244">
        <v>0</v>
      </c>
      <c r="FK9" s="1676">
        <f t="shared" si="36"/>
        <v>567371</v>
      </c>
      <c r="FL9" s="1676">
        <f t="shared" si="37"/>
        <v>0</v>
      </c>
      <c r="FM9" s="1676">
        <f t="shared" si="38"/>
        <v>0</v>
      </c>
    </row>
    <row r="10" spans="1:169" ht="15" x14ac:dyDescent="0.3">
      <c r="A10" s="1316" t="s">
        <v>444</v>
      </c>
      <c r="B10" s="1316" t="s">
        <v>468</v>
      </c>
      <c r="C10" s="1316" t="s">
        <v>471</v>
      </c>
      <c r="D10" s="1316" t="s">
        <v>279</v>
      </c>
      <c r="E10" s="1316" t="s">
        <v>547</v>
      </c>
      <c r="F10" s="1668">
        <v>1500000</v>
      </c>
      <c r="G10" s="1668">
        <v>0</v>
      </c>
      <c r="H10" s="1668">
        <v>0</v>
      </c>
      <c r="I10" s="1668">
        <f t="shared" si="0"/>
        <v>1500</v>
      </c>
      <c r="J10" s="1668">
        <f t="shared" si="1"/>
        <v>0</v>
      </c>
      <c r="K10" s="1668">
        <f t="shared" si="2"/>
        <v>0</v>
      </c>
      <c r="N10" s="1314" t="s">
        <v>450</v>
      </c>
      <c r="O10" s="1314" t="s">
        <v>142</v>
      </c>
      <c r="P10" s="1314" t="s">
        <v>447</v>
      </c>
      <c r="Q10" s="1314" t="s">
        <v>447</v>
      </c>
      <c r="R10" s="1353">
        <v>0</v>
      </c>
      <c r="S10" s="1353">
        <v>322320961</v>
      </c>
      <c r="T10" s="1353">
        <v>322320961</v>
      </c>
      <c r="U10" s="1669">
        <f t="shared" si="3"/>
        <v>0</v>
      </c>
      <c r="V10" s="1669">
        <f t="shared" si="4"/>
        <v>322320.96100000001</v>
      </c>
      <c r="W10" s="1669">
        <f t="shared" si="5"/>
        <v>322320.96100000001</v>
      </c>
      <c r="Y10" s="1314" t="s">
        <v>444</v>
      </c>
      <c r="Z10" s="1316" t="s">
        <v>468</v>
      </c>
      <c r="AA10" s="1316" t="s">
        <v>445</v>
      </c>
      <c r="AB10" s="1316" t="s">
        <v>277</v>
      </c>
      <c r="AC10" s="1353">
        <v>285477000</v>
      </c>
      <c r="AD10" s="1353">
        <v>0</v>
      </c>
      <c r="AE10" s="1353">
        <v>0</v>
      </c>
      <c r="AF10" s="1353">
        <f t="shared" si="6"/>
        <v>285477</v>
      </c>
      <c r="AG10" s="1353">
        <f t="shared" si="7"/>
        <v>0</v>
      </c>
      <c r="AH10" s="1353">
        <f t="shared" si="8"/>
        <v>0</v>
      </c>
      <c r="AJ10" s="1670" t="s">
        <v>951</v>
      </c>
      <c r="AK10" s="1671" t="s">
        <v>952</v>
      </c>
      <c r="AL10" s="1671" t="s">
        <v>447</v>
      </c>
      <c r="AM10" s="1671" t="s">
        <v>447</v>
      </c>
      <c r="AN10" s="1672">
        <v>857335276</v>
      </c>
      <c r="AO10" s="1353">
        <f t="shared" si="9"/>
        <v>857335.27599999995</v>
      </c>
      <c r="AR10" s="1673" t="s">
        <v>444</v>
      </c>
      <c r="AS10" s="1673" t="s">
        <v>468</v>
      </c>
      <c r="AT10" s="1673" t="s">
        <v>445</v>
      </c>
      <c r="AU10" s="1674" t="s">
        <v>277</v>
      </c>
      <c r="AV10" s="1675">
        <v>285477000</v>
      </c>
      <c r="AW10" s="1675">
        <v>0</v>
      </c>
      <c r="AX10" s="1675">
        <v>0</v>
      </c>
      <c r="AY10" s="1669">
        <f t="shared" si="10"/>
        <v>285477</v>
      </c>
      <c r="AZ10" s="1669">
        <f t="shared" si="11"/>
        <v>0</v>
      </c>
      <c r="BA10" s="1669">
        <f t="shared" si="12"/>
        <v>0</v>
      </c>
      <c r="BD10" s="1314" t="s">
        <v>951</v>
      </c>
      <c r="BE10" s="1316" t="s">
        <v>952</v>
      </c>
      <c r="BF10" s="1316" t="s">
        <v>447</v>
      </c>
      <c r="BG10" s="1316" t="s">
        <v>447</v>
      </c>
      <c r="BH10" s="1353">
        <v>224359525</v>
      </c>
      <c r="BI10" s="1669">
        <f t="shared" si="13"/>
        <v>224359.52499999999</v>
      </c>
      <c r="BK10" s="1316" t="s">
        <v>444</v>
      </c>
      <c r="BL10" s="1316" t="s">
        <v>468</v>
      </c>
      <c r="BM10" s="1316" t="s">
        <v>472</v>
      </c>
      <c r="BN10" s="1316" t="s">
        <v>473</v>
      </c>
      <c r="BO10" s="1353">
        <v>300000000</v>
      </c>
      <c r="BP10" s="1353">
        <v>0</v>
      </c>
      <c r="BQ10" s="1353">
        <v>0</v>
      </c>
      <c r="BR10" s="1676">
        <f t="shared" si="14"/>
        <v>300000</v>
      </c>
      <c r="BS10" s="1676">
        <f t="shared" si="15"/>
        <v>0</v>
      </c>
      <c r="BT10" s="1676">
        <f t="shared" si="16"/>
        <v>0</v>
      </c>
      <c r="BW10" s="1316" t="s">
        <v>544</v>
      </c>
      <c r="BX10" s="1316" t="s">
        <v>545</v>
      </c>
      <c r="BY10" s="1316" t="s">
        <v>447</v>
      </c>
      <c r="BZ10" s="1316" t="s">
        <v>447</v>
      </c>
      <c r="CA10" s="1676">
        <v>2977919825</v>
      </c>
      <c r="CB10" s="1669">
        <f t="shared" si="17"/>
        <v>2977919.8250000002</v>
      </c>
      <c r="CE10" s="1316" t="s">
        <v>444</v>
      </c>
      <c r="CF10" s="1316" t="s">
        <v>468</v>
      </c>
      <c r="CG10" s="1316" t="s">
        <v>472</v>
      </c>
      <c r="CH10" s="1316" t="s">
        <v>473</v>
      </c>
      <c r="CI10" s="1677">
        <v>300000000</v>
      </c>
      <c r="CJ10" s="1677">
        <v>0</v>
      </c>
      <c r="CK10" s="1677">
        <v>0</v>
      </c>
      <c r="CL10" s="1676">
        <f t="shared" si="18"/>
        <v>300000</v>
      </c>
      <c r="CM10" s="1676">
        <f t="shared" si="19"/>
        <v>0</v>
      </c>
      <c r="CN10" s="1676">
        <f t="shared" si="20"/>
        <v>0</v>
      </c>
      <c r="CQ10" s="1316" t="s">
        <v>953</v>
      </c>
      <c r="CR10" s="1316" t="s">
        <v>954</v>
      </c>
      <c r="CS10" s="1316" t="s">
        <v>447</v>
      </c>
      <c r="CT10" s="1316" t="s">
        <v>447</v>
      </c>
      <c r="CU10" s="1672">
        <v>801413286</v>
      </c>
      <c r="CV10" s="1669">
        <f t="shared" si="21"/>
        <v>801413.28599999996</v>
      </c>
      <c r="CY10" s="1316" t="s">
        <v>444</v>
      </c>
      <c r="CZ10" s="1316" t="s">
        <v>468</v>
      </c>
      <c r="DA10" s="1316" t="s">
        <v>472</v>
      </c>
      <c r="DB10" s="1316" t="s">
        <v>473</v>
      </c>
      <c r="DC10" s="1677">
        <v>300000000</v>
      </c>
      <c r="DD10" s="1677">
        <v>0</v>
      </c>
      <c r="DE10" s="1677">
        <v>0</v>
      </c>
      <c r="DF10" s="1669">
        <f t="shared" si="22"/>
        <v>300000</v>
      </c>
      <c r="DG10" s="1669">
        <f t="shared" si="23"/>
        <v>0</v>
      </c>
      <c r="DH10" s="1669">
        <f t="shared" si="24"/>
        <v>0</v>
      </c>
      <c r="DK10" s="1314" t="s">
        <v>951</v>
      </c>
      <c r="DL10" s="1316" t="s">
        <v>952</v>
      </c>
      <c r="DM10" s="1316" t="s">
        <v>447</v>
      </c>
      <c r="DN10" s="1316" t="s">
        <v>447</v>
      </c>
      <c r="DO10" s="1316" t="s">
        <v>547</v>
      </c>
      <c r="DP10" s="1353">
        <v>353154052</v>
      </c>
      <c r="DQ10" s="1669">
        <f t="shared" si="25"/>
        <v>353154.05200000003</v>
      </c>
      <c r="DS10" s="1678" t="s">
        <v>444</v>
      </c>
      <c r="DT10" s="1679" t="s">
        <v>1052</v>
      </c>
      <c r="DU10" s="1679" t="s">
        <v>472</v>
      </c>
      <c r="DV10" s="1679" t="s">
        <v>473</v>
      </c>
      <c r="DW10" s="1680">
        <v>300000000</v>
      </c>
      <c r="DX10" s="1680">
        <v>0</v>
      </c>
      <c r="DY10" s="1680">
        <v>0</v>
      </c>
      <c r="DZ10" s="1669">
        <f t="shared" si="26"/>
        <v>300000</v>
      </c>
      <c r="EA10" s="1669">
        <f t="shared" si="27"/>
        <v>0</v>
      </c>
      <c r="EB10" s="1669">
        <f t="shared" si="28"/>
        <v>0</v>
      </c>
      <c r="ED10" s="1316" t="s">
        <v>951</v>
      </c>
      <c r="EE10" s="1316" t="s">
        <v>952</v>
      </c>
      <c r="EF10" s="1316" t="s">
        <v>447</v>
      </c>
      <c r="EG10" s="1316" t="s">
        <v>447</v>
      </c>
      <c r="EH10" s="1353">
        <v>373317247</v>
      </c>
      <c r="EI10" s="1669">
        <f t="shared" si="31"/>
        <v>373317.24699999997</v>
      </c>
      <c r="EK10" s="1316" t="s">
        <v>444</v>
      </c>
      <c r="EL10" s="1316" t="s">
        <v>1052</v>
      </c>
      <c r="EM10" s="1316" t="s">
        <v>472</v>
      </c>
      <c r="EN10" s="1316" t="s">
        <v>473</v>
      </c>
      <c r="EO10" s="1353">
        <v>300000000</v>
      </c>
      <c r="EP10" s="1353">
        <v>0</v>
      </c>
      <c r="EQ10" s="1353">
        <v>0</v>
      </c>
      <c r="ER10" s="1669">
        <f t="shared" si="32"/>
        <v>300000</v>
      </c>
      <c r="ES10" s="1669">
        <f t="shared" si="33"/>
        <v>0</v>
      </c>
      <c r="ET10" s="1669">
        <f t="shared" si="34"/>
        <v>0</v>
      </c>
      <c r="EW10" s="1266" t="s">
        <v>953</v>
      </c>
      <c r="EX10" s="1262" t="s">
        <v>954</v>
      </c>
      <c r="EY10" s="1266" t="s">
        <v>447</v>
      </c>
      <c r="EZ10" s="1266" t="s">
        <v>447</v>
      </c>
      <c r="FA10" s="244">
        <v>588708000</v>
      </c>
      <c r="FB10" s="1669">
        <f t="shared" si="35"/>
        <v>588708</v>
      </c>
      <c r="FD10" s="1314" t="s">
        <v>444</v>
      </c>
      <c r="FE10" s="1314" t="s">
        <v>1052</v>
      </c>
      <c r="FF10" s="1314" t="s">
        <v>472</v>
      </c>
      <c r="FG10" s="1314" t="s">
        <v>473</v>
      </c>
      <c r="FH10" s="244">
        <v>300000000</v>
      </c>
      <c r="FI10" s="244">
        <v>0</v>
      </c>
      <c r="FJ10" s="244">
        <v>0</v>
      </c>
      <c r="FK10" s="1676">
        <f t="shared" si="36"/>
        <v>300000</v>
      </c>
      <c r="FL10" s="1676">
        <f t="shared" si="37"/>
        <v>0</v>
      </c>
      <c r="FM10" s="1676">
        <f t="shared" si="38"/>
        <v>0</v>
      </c>
    </row>
    <row r="11" spans="1:169" ht="15" x14ac:dyDescent="0.3">
      <c r="A11" s="1316" t="s">
        <v>444</v>
      </c>
      <c r="B11" s="1316" t="s">
        <v>468</v>
      </c>
      <c r="C11" s="1316" t="s">
        <v>447</v>
      </c>
      <c r="D11" s="1316" t="s">
        <v>447</v>
      </c>
      <c r="E11" s="1316" t="s">
        <v>547</v>
      </c>
      <c r="F11" s="1668">
        <v>0</v>
      </c>
      <c r="G11" s="1668">
        <v>0</v>
      </c>
      <c r="H11" s="1668">
        <v>0</v>
      </c>
      <c r="I11" s="1668">
        <f t="shared" si="0"/>
        <v>0</v>
      </c>
      <c r="J11" s="1668">
        <f t="shared" si="1"/>
        <v>0</v>
      </c>
      <c r="K11" s="1668">
        <f t="shared" si="2"/>
        <v>0</v>
      </c>
      <c r="N11" s="1314" t="s">
        <v>947</v>
      </c>
      <c r="O11" s="1314" t="s">
        <v>948</v>
      </c>
      <c r="P11" s="1314" t="s">
        <v>447</v>
      </c>
      <c r="Q11" s="1314" t="s">
        <v>447</v>
      </c>
      <c r="R11" s="1353">
        <v>0</v>
      </c>
      <c r="S11" s="1353">
        <v>4021444182</v>
      </c>
      <c r="T11" s="1353">
        <v>3167207999</v>
      </c>
      <c r="U11" s="1669">
        <f t="shared" si="3"/>
        <v>0</v>
      </c>
      <c r="V11" s="1669">
        <f t="shared" si="4"/>
        <v>4021444.182</v>
      </c>
      <c r="W11" s="1669">
        <f t="shared" si="5"/>
        <v>3167207.9989999998</v>
      </c>
      <c r="Y11" s="1314" t="s">
        <v>444</v>
      </c>
      <c r="Z11" s="1316" t="s">
        <v>468</v>
      </c>
      <c r="AA11" s="1316" t="s">
        <v>446</v>
      </c>
      <c r="AB11" s="1316" t="s">
        <v>322</v>
      </c>
      <c r="AC11" s="1353">
        <v>3000000</v>
      </c>
      <c r="AD11" s="1353">
        <v>0</v>
      </c>
      <c r="AE11" s="1353">
        <v>0</v>
      </c>
      <c r="AF11" s="1353">
        <f t="shared" si="6"/>
        <v>3000</v>
      </c>
      <c r="AG11" s="1353">
        <f t="shared" si="7"/>
        <v>0</v>
      </c>
      <c r="AH11" s="1353">
        <f t="shared" si="8"/>
        <v>0</v>
      </c>
      <c r="AJ11" s="1670" t="s">
        <v>953</v>
      </c>
      <c r="AK11" s="1671" t="s">
        <v>954</v>
      </c>
      <c r="AL11" s="1671" t="s">
        <v>447</v>
      </c>
      <c r="AM11" s="1671" t="s">
        <v>447</v>
      </c>
      <c r="AN11" s="1672">
        <v>471722272</v>
      </c>
      <c r="AO11" s="1353">
        <f t="shared" si="9"/>
        <v>471722.272</v>
      </c>
      <c r="AR11" s="1673" t="s">
        <v>444</v>
      </c>
      <c r="AS11" s="1673" t="s">
        <v>468</v>
      </c>
      <c r="AT11" s="1673" t="s">
        <v>446</v>
      </c>
      <c r="AU11" s="1674" t="s">
        <v>322</v>
      </c>
      <c r="AV11" s="1675">
        <v>3000000</v>
      </c>
      <c r="AW11" s="1675">
        <v>0</v>
      </c>
      <c r="AX11" s="1675">
        <v>0</v>
      </c>
      <c r="AY11" s="1669">
        <f t="shared" si="10"/>
        <v>3000</v>
      </c>
      <c r="AZ11" s="1669">
        <f t="shared" si="11"/>
        <v>0</v>
      </c>
      <c r="BA11" s="1669">
        <f t="shared" si="12"/>
        <v>0</v>
      </c>
      <c r="BD11" s="1314" t="s">
        <v>953</v>
      </c>
      <c r="BE11" s="1316" t="s">
        <v>954</v>
      </c>
      <c r="BF11" s="1316" t="s">
        <v>447</v>
      </c>
      <c r="BG11" s="1316" t="s">
        <v>447</v>
      </c>
      <c r="BH11" s="1353">
        <v>1100255241</v>
      </c>
      <c r="BI11" s="1669">
        <f t="shared" si="13"/>
        <v>1100255.2409999999</v>
      </c>
      <c r="BK11" s="1316" t="s">
        <v>444</v>
      </c>
      <c r="BL11" s="1316" t="s">
        <v>468</v>
      </c>
      <c r="BM11" s="1316" t="s">
        <v>445</v>
      </c>
      <c r="BN11" s="1316" t="s">
        <v>277</v>
      </c>
      <c r="BO11" s="1353">
        <v>282477000</v>
      </c>
      <c r="BP11" s="1353">
        <v>0</v>
      </c>
      <c r="BQ11" s="1353">
        <v>0</v>
      </c>
      <c r="BR11" s="1676">
        <f t="shared" si="14"/>
        <v>282477</v>
      </c>
      <c r="BS11" s="1676">
        <f t="shared" si="15"/>
        <v>0</v>
      </c>
      <c r="BT11" s="1676">
        <f t="shared" si="16"/>
        <v>0</v>
      </c>
      <c r="BW11" s="1316" t="s">
        <v>945</v>
      </c>
      <c r="BX11" s="1316" t="s">
        <v>946</v>
      </c>
      <c r="BY11" s="1316" t="s">
        <v>447</v>
      </c>
      <c r="BZ11" s="1316" t="s">
        <v>447</v>
      </c>
      <c r="CA11" s="1676">
        <v>407480750</v>
      </c>
      <c r="CB11" s="1669">
        <f t="shared" si="17"/>
        <v>407480.75</v>
      </c>
      <c r="CE11" s="1316" t="s">
        <v>444</v>
      </c>
      <c r="CF11" s="1316" t="s">
        <v>468</v>
      </c>
      <c r="CG11" s="1316" t="s">
        <v>445</v>
      </c>
      <c r="CH11" s="1316" t="s">
        <v>277</v>
      </c>
      <c r="CI11" s="1677">
        <v>282477000</v>
      </c>
      <c r="CJ11" s="1677">
        <v>0</v>
      </c>
      <c r="CK11" s="1677">
        <v>0</v>
      </c>
      <c r="CL11" s="1676">
        <f t="shared" si="18"/>
        <v>282477</v>
      </c>
      <c r="CM11" s="1676">
        <f t="shared" si="19"/>
        <v>0</v>
      </c>
      <c r="CN11" s="1676">
        <f t="shared" si="20"/>
        <v>0</v>
      </c>
      <c r="CQ11" s="1316" t="s">
        <v>957</v>
      </c>
      <c r="CR11" s="1316" t="s">
        <v>958</v>
      </c>
      <c r="CS11" s="1316" t="s">
        <v>447</v>
      </c>
      <c r="CT11" s="1316" t="s">
        <v>447</v>
      </c>
      <c r="CU11" s="1672">
        <v>353528203</v>
      </c>
      <c r="CV11" s="1669">
        <f t="shared" si="21"/>
        <v>353528.20299999998</v>
      </c>
      <c r="CY11" s="1316" t="s">
        <v>444</v>
      </c>
      <c r="CZ11" s="1316" t="s">
        <v>468</v>
      </c>
      <c r="DA11" s="1316" t="s">
        <v>445</v>
      </c>
      <c r="DB11" s="1316" t="s">
        <v>277</v>
      </c>
      <c r="DC11" s="1677">
        <v>282477000</v>
      </c>
      <c r="DD11" s="1677">
        <v>0</v>
      </c>
      <c r="DE11" s="1677">
        <v>0</v>
      </c>
      <c r="DF11" s="1669">
        <f t="shared" si="22"/>
        <v>282477</v>
      </c>
      <c r="DG11" s="1669">
        <f t="shared" si="23"/>
        <v>0</v>
      </c>
      <c r="DH11" s="1669">
        <f t="shared" si="24"/>
        <v>0</v>
      </c>
      <c r="DK11" s="1314" t="s">
        <v>953</v>
      </c>
      <c r="DL11" s="1316" t="s">
        <v>954</v>
      </c>
      <c r="DM11" s="1316" t="s">
        <v>447</v>
      </c>
      <c r="DN11" s="1316" t="s">
        <v>447</v>
      </c>
      <c r="DO11" s="1316" t="s">
        <v>547</v>
      </c>
      <c r="DP11" s="1353">
        <v>2115139810</v>
      </c>
      <c r="DQ11" s="1669">
        <f t="shared" si="25"/>
        <v>2115139.81</v>
      </c>
      <c r="DS11" s="1678" t="s">
        <v>444</v>
      </c>
      <c r="DT11" s="1679" t="s">
        <v>1052</v>
      </c>
      <c r="DU11" s="1679" t="s">
        <v>445</v>
      </c>
      <c r="DV11" s="1679" t="s">
        <v>277</v>
      </c>
      <c r="DW11" s="1680">
        <v>282477000</v>
      </c>
      <c r="DX11" s="1680">
        <v>0</v>
      </c>
      <c r="DY11" s="1680">
        <v>0</v>
      </c>
      <c r="DZ11" s="1669">
        <f t="shared" si="26"/>
        <v>282477</v>
      </c>
      <c r="EA11" s="1669">
        <f t="shared" si="27"/>
        <v>0</v>
      </c>
      <c r="EB11" s="1669">
        <f t="shared" si="28"/>
        <v>0</v>
      </c>
      <c r="ED11" s="1316" t="s">
        <v>953</v>
      </c>
      <c r="EE11" s="1316" t="s">
        <v>954</v>
      </c>
      <c r="EF11" s="1316" t="s">
        <v>447</v>
      </c>
      <c r="EG11" s="1316" t="s">
        <v>447</v>
      </c>
      <c r="EH11" s="1353">
        <v>2527056158</v>
      </c>
      <c r="EI11" s="1669">
        <f t="shared" si="31"/>
        <v>2527056.1579999998</v>
      </c>
      <c r="EK11" s="1316" t="s">
        <v>444</v>
      </c>
      <c r="EL11" s="1316" t="s">
        <v>1052</v>
      </c>
      <c r="EM11" s="1316" t="s">
        <v>445</v>
      </c>
      <c r="EN11" s="1316" t="s">
        <v>277</v>
      </c>
      <c r="EO11" s="1353">
        <v>282477000</v>
      </c>
      <c r="EP11" s="1353">
        <v>0</v>
      </c>
      <c r="EQ11" s="1353">
        <v>0</v>
      </c>
      <c r="ER11" s="1669">
        <f t="shared" si="32"/>
        <v>282477</v>
      </c>
      <c r="ES11" s="1669">
        <f t="shared" si="33"/>
        <v>0</v>
      </c>
      <c r="ET11" s="1669">
        <f t="shared" si="34"/>
        <v>0</v>
      </c>
      <c r="EW11" s="1266" t="s">
        <v>959</v>
      </c>
      <c r="EX11" s="1262" t="s">
        <v>960</v>
      </c>
      <c r="EY11" s="1266" t="s">
        <v>447</v>
      </c>
      <c r="EZ11" s="1266" t="s">
        <v>447</v>
      </c>
      <c r="FA11" s="244">
        <v>443113139</v>
      </c>
      <c r="FB11" s="1669">
        <f t="shared" si="35"/>
        <v>443113.13900000002</v>
      </c>
      <c r="FD11" s="1314" t="s">
        <v>444</v>
      </c>
      <c r="FE11" s="1314" t="s">
        <v>1052</v>
      </c>
      <c r="FF11" s="1314" t="s">
        <v>445</v>
      </c>
      <c r="FG11" s="1314" t="s">
        <v>277</v>
      </c>
      <c r="FH11" s="244">
        <v>282477000</v>
      </c>
      <c r="FI11" s="244">
        <v>0</v>
      </c>
      <c r="FJ11" s="244">
        <v>0</v>
      </c>
      <c r="FK11" s="1676">
        <f t="shared" si="36"/>
        <v>282477</v>
      </c>
      <c r="FL11" s="1676">
        <f t="shared" si="37"/>
        <v>0</v>
      </c>
      <c r="FM11" s="1676">
        <f t="shared" si="38"/>
        <v>0</v>
      </c>
    </row>
    <row r="12" spans="1:169" ht="15" x14ac:dyDescent="0.3">
      <c r="A12" s="1316" t="s">
        <v>444</v>
      </c>
      <c r="B12" s="1316" t="s">
        <v>468</v>
      </c>
      <c r="C12" s="1316" t="s">
        <v>446</v>
      </c>
      <c r="D12" s="1316" t="s">
        <v>322</v>
      </c>
      <c r="E12" s="1316" t="s">
        <v>547</v>
      </c>
      <c r="F12" s="1668">
        <v>0</v>
      </c>
      <c r="G12" s="1668">
        <v>2200000</v>
      </c>
      <c r="H12" s="1668">
        <v>31448</v>
      </c>
      <c r="I12" s="1668">
        <f t="shared" si="0"/>
        <v>0</v>
      </c>
      <c r="J12" s="1668">
        <f t="shared" si="1"/>
        <v>2200</v>
      </c>
      <c r="K12" s="1668">
        <f t="shared" si="2"/>
        <v>31.448</v>
      </c>
      <c r="N12" s="1314" t="s">
        <v>949</v>
      </c>
      <c r="O12" s="1314" t="s">
        <v>950</v>
      </c>
      <c r="P12" s="1314" t="s">
        <v>447</v>
      </c>
      <c r="Q12" s="1314" t="s">
        <v>447</v>
      </c>
      <c r="R12" s="1353">
        <v>0</v>
      </c>
      <c r="S12" s="1353">
        <v>0</v>
      </c>
      <c r="T12" s="1353">
        <v>30909656</v>
      </c>
      <c r="U12" s="1669">
        <f t="shared" si="3"/>
        <v>0</v>
      </c>
      <c r="V12" s="1669">
        <f t="shared" si="4"/>
        <v>0</v>
      </c>
      <c r="W12" s="1669">
        <f t="shared" si="5"/>
        <v>30909.655999999999</v>
      </c>
      <c r="Y12" s="1314" t="s">
        <v>444</v>
      </c>
      <c r="Z12" s="1316" t="s">
        <v>468</v>
      </c>
      <c r="AA12" s="1316" t="s">
        <v>471</v>
      </c>
      <c r="AB12" s="1316" t="s">
        <v>279</v>
      </c>
      <c r="AC12" s="1353">
        <v>1500000</v>
      </c>
      <c r="AD12" s="1353">
        <v>0</v>
      </c>
      <c r="AE12" s="1353">
        <v>0</v>
      </c>
      <c r="AF12" s="1353">
        <f t="shared" si="6"/>
        <v>1500</v>
      </c>
      <c r="AG12" s="1353">
        <f t="shared" si="7"/>
        <v>0</v>
      </c>
      <c r="AH12" s="1353">
        <f t="shared" si="8"/>
        <v>0</v>
      </c>
      <c r="AJ12" s="1670" t="s">
        <v>955</v>
      </c>
      <c r="AK12" s="1671" t="s">
        <v>956</v>
      </c>
      <c r="AL12" s="1671" t="s">
        <v>447</v>
      </c>
      <c r="AM12" s="1671" t="s">
        <v>447</v>
      </c>
      <c r="AN12" s="1672">
        <v>1268882474</v>
      </c>
      <c r="AO12" s="1353">
        <f t="shared" si="9"/>
        <v>1268882.4739999999</v>
      </c>
      <c r="AR12" s="1673" t="s">
        <v>444</v>
      </c>
      <c r="AS12" s="1673" t="s">
        <v>468</v>
      </c>
      <c r="AT12" s="1673" t="s">
        <v>471</v>
      </c>
      <c r="AU12" s="1674" t="s">
        <v>279</v>
      </c>
      <c r="AV12" s="1675">
        <v>1500000</v>
      </c>
      <c r="AW12" s="1675">
        <v>0</v>
      </c>
      <c r="AX12" s="1675">
        <v>0</v>
      </c>
      <c r="AY12" s="1669">
        <f t="shared" si="10"/>
        <v>1500</v>
      </c>
      <c r="AZ12" s="1669">
        <f t="shared" si="11"/>
        <v>0</v>
      </c>
      <c r="BA12" s="1669">
        <f t="shared" si="12"/>
        <v>0</v>
      </c>
      <c r="BD12" s="1314" t="s">
        <v>957</v>
      </c>
      <c r="BE12" s="1316" t="s">
        <v>958</v>
      </c>
      <c r="BF12" s="1316" t="s">
        <v>447</v>
      </c>
      <c r="BG12" s="1316" t="s">
        <v>447</v>
      </c>
      <c r="BH12" s="1353">
        <v>142625884</v>
      </c>
      <c r="BI12" s="1669">
        <f t="shared" si="13"/>
        <v>142625.88399999999</v>
      </c>
      <c r="BK12" s="1316" t="s">
        <v>444</v>
      </c>
      <c r="BL12" s="1316" t="s">
        <v>468</v>
      </c>
      <c r="BM12" s="1316" t="s">
        <v>471</v>
      </c>
      <c r="BN12" s="1316" t="s">
        <v>279</v>
      </c>
      <c r="BO12" s="1353">
        <v>4500000</v>
      </c>
      <c r="BP12" s="1353">
        <v>0</v>
      </c>
      <c r="BQ12" s="1353">
        <v>0</v>
      </c>
      <c r="BR12" s="1676">
        <f t="shared" si="14"/>
        <v>4500</v>
      </c>
      <c r="BS12" s="1676">
        <f t="shared" si="15"/>
        <v>0</v>
      </c>
      <c r="BT12" s="1676">
        <f t="shared" si="16"/>
        <v>0</v>
      </c>
      <c r="BW12" s="1316" t="s">
        <v>947</v>
      </c>
      <c r="BX12" s="1316" t="s">
        <v>948</v>
      </c>
      <c r="BY12" s="1316" t="s">
        <v>447</v>
      </c>
      <c r="BZ12" s="1316" t="s">
        <v>447</v>
      </c>
      <c r="CA12" s="1676">
        <v>2557719020</v>
      </c>
      <c r="CB12" s="1669">
        <f t="shared" si="17"/>
        <v>2557719.02</v>
      </c>
      <c r="CE12" s="1316" t="s">
        <v>444</v>
      </c>
      <c r="CF12" s="1316" t="s">
        <v>468</v>
      </c>
      <c r="CG12" s="1316" t="s">
        <v>471</v>
      </c>
      <c r="CH12" s="1316" t="s">
        <v>279</v>
      </c>
      <c r="CI12" s="1677">
        <v>4500000</v>
      </c>
      <c r="CJ12" s="1677">
        <v>0</v>
      </c>
      <c r="CK12" s="1677">
        <v>0</v>
      </c>
      <c r="CL12" s="1676">
        <f t="shared" si="18"/>
        <v>4500</v>
      </c>
      <c r="CM12" s="1676">
        <f t="shared" si="19"/>
        <v>0</v>
      </c>
      <c r="CN12" s="1676">
        <f t="shared" si="20"/>
        <v>0</v>
      </c>
      <c r="CQ12" s="1316" t="s">
        <v>959</v>
      </c>
      <c r="CR12" s="1316" t="s">
        <v>960</v>
      </c>
      <c r="CS12" s="1316" t="s">
        <v>447</v>
      </c>
      <c r="CT12" s="1316" t="s">
        <v>447</v>
      </c>
      <c r="CU12" s="1672">
        <v>84294808</v>
      </c>
      <c r="CV12" s="1669">
        <f t="shared" si="21"/>
        <v>84294.808000000005</v>
      </c>
      <c r="CY12" s="1316" t="s">
        <v>444</v>
      </c>
      <c r="CZ12" s="1316" t="s">
        <v>468</v>
      </c>
      <c r="DA12" s="1316" t="s">
        <v>471</v>
      </c>
      <c r="DB12" s="1316" t="s">
        <v>279</v>
      </c>
      <c r="DC12" s="1677">
        <v>4500000</v>
      </c>
      <c r="DD12" s="1677">
        <v>0</v>
      </c>
      <c r="DE12" s="1677">
        <v>0</v>
      </c>
      <c r="DF12" s="1669">
        <f t="shared" si="22"/>
        <v>4500</v>
      </c>
      <c r="DG12" s="1669">
        <f t="shared" si="23"/>
        <v>0</v>
      </c>
      <c r="DH12" s="1669">
        <f t="shared" si="24"/>
        <v>0</v>
      </c>
      <c r="DK12" s="1314" t="s">
        <v>957</v>
      </c>
      <c r="DL12" s="1316" t="s">
        <v>958</v>
      </c>
      <c r="DM12" s="1316" t="s">
        <v>447</v>
      </c>
      <c r="DN12" s="1316" t="s">
        <v>447</v>
      </c>
      <c r="DO12" s="1316" t="s">
        <v>547</v>
      </c>
      <c r="DP12" s="1353">
        <v>1858189240</v>
      </c>
      <c r="DQ12" s="1669">
        <f t="shared" si="25"/>
        <v>1858189.24</v>
      </c>
      <c r="DS12" s="1678" t="s">
        <v>444</v>
      </c>
      <c r="DT12" s="1679" t="s">
        <v>1052</v>
      </c>
      <c r="DU12" s="1679" t="s">
        <v>471</v>
      </c>
      <c r="DV12" s="1679" t="s">
        <v>279</v>
      </c>
      <c r="DW12" s="1680">
        <v>4500000</v>
      </c>
      <c r="DX12" s="1680">
        <v>0</v>
      </c>
      <c r="DY12" s="1680">
        <v>0</v>
      </c>
      <c r="DZ12" s="1669">
        <f t="shared" si="26"/>
        <v>4500</v>
      </c>
      <c r="EA12" s="1669">
        <f t="shared" si="27"/>
        <v>0</v>
      </c>
      <c r="EB12" s="1669">
        <f t="shared" si="28"/>
        <v>0</v>
      </c>
      <c r="ED12" s="1316" t="s">
        <v>955</v>
      </c>
      <c r="EE12" s="1316" t="s">
        <v>956</v>
      </c>
      <c r="EF12" s="1316" t="s">
        <v>447</v>
      </c>
      <c r="EG12" s="1316" t="s">
        <v>447</v>
      </c>
      <c r="EH12" s="1353">
        <v>190800000</v>
      </c>
      <c r="EI12" s="1669">
        <f t="shared" si="31"/>
        <v>190800</v>
      </c>
      <c r="EK12" s="1316" t="s">
        <v>444</v>
      </c>
      <c r="EL12" s="1316" t="s">
        <v>1052</v>
      </c>
      <c r="EM12" s="1316" t="s">
        <v>471</v>
      </c>
      <c r="EN12" s="1316" t="s">
        <v>279</v>
      </c>
      <c r="EO12" s="1353">
        <v>4500000</v>
      </c>
      <c r="EP12" s="1353">
        <v>0</v>
      </c>
      <c r="EQ12" s="1353">
        <v>0</v>
      </c>
      <c r="ER12" s="1669">
        <f t="shared" si="32"/>
        <v>4500</v>
      </c>
      <c r="ES12" s="1669">
        <f t="shared" si="33"/>
        <v>0</v>
      </c>
      <c r="ET12" s="1669">
        <f t="shared" si="34"/>
        <v>0</v>
      </c>
      <c r="EW12" s="1266" t="s">
        <v>961</v>
      </c>
      <c r="EX12" s="1262" t="s">
        <v>962</v>
      </c>
      <c r="EY12" s="1266" t="s">
        <v>447</v>
      </c>
      <c r="EZ12" s="1266" t="s">
        <v>447</v>
      </c>
      <c r="FA12" s="244">
        <v>735467226</v>
      </c>
      <c r="FB12" s="1669">
        <f t="shared" si="35"/>
        <v>735467.22600000002</v>
      </c>
      <c r="FD12" s="1314" t="s">
        <v>444</v>
      </c>
      <c r="FE12" s="1314" t="s">
        <v>1052</v>
      </c>
      <c r="FF12" s="1314" t="s">
        <v>471</v>
      </c>
      <c r="FG12" s="1314" t="s">
        <v>279</v>
      </c>
      <c r="FH12" s="244">
        <v>4500000</v>
      </c>
      <c r="FI12" s="244">
        <v>0</v>
      </c>
      <c r="FJ12" s="244">
        <v>0</v>
      </c>
      <c r="FK12" s="1676">
        <f t="shared" si="36"/>
        <v>4500</v>
      </c>
      <c r="FL12" s="1676">
        <f t="shared" si="37"/>
        <v>0</v>
      </c>
      <c r="FM12" s="1676">
        <f t="shared" si="38"/>
        <v>0</v>
      </c>
    </row>
    <row r="13" spans="1:169" ht="15" x14ac:dyDescent="0.3">
      <c r="A13" s="1316" t="s">
        <v>444</v>
      </c>
      <c r="B13" s="1316" t="s">
        <v>468</v>
      </c>
      <c r="C13" s="1316" t="s">
        <v>472</v>
      </c>
      <c r="D13" s="1316" t="s">
        <v>473</v>
      </c>
      <c r="E13" s="1316" t="s">
        <v>547</v>
      </c>
      <c r="F13" s="1668">
        <v>0</v>
      </c>
      <c r="G13" s="1668">
        <v>23034206</v>
      </c>
      <c r="H13" s="1668">
        <v>0</v>
      </c>
      <c r="I13" s="1668">
        <f t="shared" si="0"/>
        <v>0</v>
      </c>
      <c r="J13" s="1668">
        <f t="shared" si="1"/>
        <v>23034.205999999998</v>
      </c>
      <c r="K13" s="1668">
        <f t="shared" si="2"/>
        <v>0</v>
      </c>
      <c r="N13" s="1314" t="s">
        <v>951</v>
      </c>
      <c r="O13" s="1314" t="s">
        <v>952</v>
      </c>
      <c r="P13" s="1314" t="s">
        <v>447</v>
      </c>
      <c r="Q13" s="1314" t="s">
        <v>447</v>
      </c>
      <c r="R13" s="1353">
        <v>0</v>
      </c>
      <c r="S13" s="1353">
        <v>1325893147</v>
      </c>
      <c r="T13" s="1353">
        <v>595034170</v>
      </c>
      <c r="U13" s="1669">
        <f t="shared" si="3"/>
        <v>0</v>
      </c>
      <c r="V13" s="1669">
        <f t="shared" si="4"/>
        <v>1325893.1470000001</v>
      </c>
      <c r="W13" s="1669">
        <f t="shared" si="5"/>
        <v>595034.17000000004</v>
      </c>
      <c r="Y13" s="1314" t="s">
        <v>444</v>
      </c>
      <c r="Z13" s="1316" t="s">
        <v>468</v>
      </c>
      <c r="AA13" s="1316" t="s">
        <v>447</v>
      </c>
      <c r="AB13" s="1316" t="s">
        <v>447</v>
      </c>
      <c r="AC13" s="1353">
        <v>0</v>
      </c>
      <c r="AD13" s="1353">
        <v>0</v>
      </c>
      <c r="AE13" s="1353">
        <v>0</v>
      </c>
      <c r="AF13" s="1353">
        <f t="shared" si="6"/>
        <v>0</v>
      </c>
      <c r="AG13" s="1353">
        <f t="shared" si="7"/>
        <v>0</v>
      </c>
      <c r="AH13" s="1353">
        <f t="shared" si="8"/>
        <v>0</v>
      </c>
      <c r="AJ13" s="1670" t="s">
        <v>957</v>
      </c>
      <c r="AK13" s="1671" t="s">
        <v>958</v>
      </c>
      <c r="AL13" s="1671" t="s">
        <v>447</v>
      </c>
      <c r="AM13" s="1671" t="s">
        <v>447</v>
      </c>
      <c r="AN13" s="1672">
        <v>347751238</v>
      </c>
      <c r="AO13" s="1353">
        <f t="shared" si="9"/>
        <v>347751.23800000001</v>
      </c>
      <c r="AR13" s="1673" t="s">
        <v>444</v>
      </c>
      <c r="AS13" s="1673" t="s">
        <v>468</v>
      </c>
      <c r="AT13" s="1673" t="s">
        <v>447</v>
      </c>
      <c r="AU13" s="1674" t="s">
        <v>447</v>
      </c>
      <c r="AV13" s="1675">
        <v>0</v>
      </c>
      <c r="AW13" s="1675">
        <v>0</v>
      </c>
      <c r="AX13" s="1675">
        <v>0</v>
      </c>
      <c r="AY13" s="1669">
        <f t="shared" si="10"/>
        <v>0</v>
      </c>
      <c r="AZ13" s="1669">
        <f t="shared" si="11"/>
        <v>0</v>
      </c>
      <c r="BA13" s="1669">
        <f t="shared" si="12"/>
        <v>0</v>
      </c>
      <c r="BD13" s="1314" t="s">
        <v>959</v>
      </c>
      <c r="BE13" s="1316" t="s">
        <v>960</v>
      </c>
      <c r="BF13" s="1316" t="s">
        <v>447</v>
      </c>
      <c r="BG13" s="1316" t="s">
        <v>447</v>
      </c>
      <c r="BH13" s="1353">
        <v>41661000</v>
      </c>
      <c r="BI13" s="1669">
        <f t="shared" si="13"/>
        <v>41661</v>
      </c>
      <c r="BK13" s="1316" t="s">
        <v>444</v>
      </c>
      <c r="BL13" s="1316" t="s">
        <v>468</v>
      </c>
      <c r="BM13" s="1316" t="s">
        <v>446</v>
      </c>
      <c r="BN13" s="1316" t="s">
        <v>322</v>
      </c>
      <c r="BO13" s="1353">
        <v>3000000</v>
      </c>
      <c r="BP13" s="1353">
        <v>0</v>
      </c>
      <c r="BQ13" s="1353">
        <v>0</v>
      </c>
      <c r="BR13" s="1676">
        <f t="shared" si="14"/>
        <v>3000</v>
      </c>
      <c r="BS13" s="1676">
        <f t="shared" si="15"/>
        <v>0</v>
      </c>
      <c r="BT13" s="1676">
        <f t="shared" si="16"/>
        <v>0</v>
      </c>
      <c r="BW13" s="1316" t="s">
        <v>947</v>
      </c>
      <c r="BX13" s="1316" t="s">
        <v>948</v>
      </c>
      <c r="BY13" s="1316" t="s">
        <v>447</v>
      </c>
      <c r="BZ13" s="1316" t="s">
        <v>447</v>
      </c>
      <c r="CA13" s="1676">
        <v>0</v>
      </c>
      <c r="CB13" s="1669">
        <f t="shared" si="17"/>
        <v>0</v>
      </c>
      <c r="CE13" s="1316" t="s">
        <v>444</v>
      </c>
      <c r="CF13" s="1316" t="s">
        <v>468</v>
      </c>
      <c r="CG13" s="1316" t="s">
        <v>446</v>
      </c>
      <c r="CH13" s="1316" t="s">
        <v>322</v>
      </c>
      <c r="CI13" s="1677">
        <v>3000000</v>
      </c>
      <c r="CJ13" s="1677">
        <v>0</v>
      </c>
      <c r="CK13" s="1677">
        <v>0</v>
      </c>
      <c r="CL13" s="1676">
        <f t="shared" si="18"/>
        <v>3000</v>
      </c>
      <c r="CM13" s="1676">
        <f t="shared" si="19"/>
        <v>0</v>
      </c>
      <c r="CN13" s="1676">
        <f t="shared" si="20"/>
        <v>0</v>
      </c>
      <c r="CQ13" s="1316" t="s">
        <v>961</v>
      </c>
      <c r="CR13" s="1316" t="s">
        <v>962</v>
      </c>
      <c r="CS13" s="1316" t="s">
        <v>447</v>
      </c>
      <c r="CT13" s="1316" t="s">
        <v>447</v>
      </c>
      <c r="CU13" s="1672">
        <v>750119142</v>
      </c>
      <c r="CV13" s="1669">
        <f t="shared" si="21"/>
        <v>750119.14199999999</v>
      </c>
      <c r="CY13" s="1316" t="s">
        <v>444</v>
      </c>
      <c r="CZ13" s="1316" t="s">
        <v>468</v>
      </c>
      <c r="DA13" s="1316" t="s">
        <v>446</v>
      </c>
      <c r="DB13" s="1316" t="s">
        <v>322</v>
      </c>
      <c r="DC13" s="1677">
        <v>3000000</v>
      </c>
      <c r="DD13" s="1677">
        <v>0</v>
      </c>
      <c r="DE13" s="1677">
        <v>0</v>
      </c>
      <c r="DF13" s="1669">
        <f t="shared" si="22"/>
        <v>3000</v>
      </c>
      <c r="DG13" s="1669">
        <f t="shared" si="23"/>
        <v>0</v>
      </c>
      <c r="DH13" s="1669">
        <f t="shared" si="24"/>
        <v>0</v>
      </c>
      <c r="DK13" s="1314" t="s">
        <v>959</v>
      </c>
      <c r="DL13" s="1316" t="s">
        <v>960</v>
      </c>
      <c r="DM13" s="1316" t="s">
        <v>447</v>
      </c>
      <c r="DN13" s="1316" t="s">
        <v>447</v>
      </c>
      <c r="DO13" s="1316" t="s">
        <v>547</v>
      </c>
      <c r="DP13" s="1353">
        <v>602664149</v>
      </c>
      <c r="DQ13" s="1669">
        <f t="shared" si="25"/>
        <v>602664.14899999998</v>
      </c>
      <c r="DS13" s="1678" t="s">
        <v>444</v>
      </c>
      <c r="DT13" s="1679" t="s">
        <v>1052</v>
      </c>
      <c r="DU13" s="1679" t="s">
        <v>446</v>
      </c>
      <c r="DV13" s="1679" t="s">
        <v>322</v>
      </c>
      <c r="DW13" s="1680">
        <v>3000000</v>
      </c>
      <c r="DX13" s="1680">
        <v>0</v>
      </c>
      <c r="DY13" s="1680">
        <v>0</v>
      </c>
      <c r="DZ13" s="1669">
        <f t="shared" si="26"/>
        <v>3000</v>
      </c>
      <c r="EA13" s="1669">
        <f t="shared" si="27"/>
        <v>0</v>
      </c>
      <c r="EB13" s="1669">
        <f t="shared" si="28"/>
        <v>0</v>
      </c>
      <c r="ED13" s="1316" t="s">
        <v>957</v>
      </c>
      <c r="EE13" s="1316" t="s">
        <v>958</v>
      </c>
      <c r="EF13" s="1316" t="s">
        <v>447</v>
      </c>
      <c r="EG13" s="1316" t="s">
        <v>447</v>
      </c>
      <c r="EH13" s="1353">
        <v>200271669</v>
      </c>
      <c r="EI13" s="1669">
        <f t="shared" si="31"/>
        <v>200271.66899999999</v>
      </c>
      <c r="EK13" s="1316" t="s">
        <v>444</v>
      </c>
      <c r="EL13" s="1316" t="s">
        <v>1052</v>
      </c>
      <c r="EM13" s="1316" t="s">
        <v>446</v>
      </c>
      <c r="EN13" s="1316" t="s">
        <v>322</v>
      </c>
      <c r="EO13" s="1353">
        <v>3000000</v>
      </c>
      <c r="EP13" s="1353">
        <v>0</v>
      </c>
      <c r="EQ13" s="1353">
        <v>0</v>
      </c>
      <c r="ER13" s="1669">
        <f t="shared" si="32"/>
        <v>3000</v>
      </c>
      <c r="ES13" s="1669">
        <f t="shared" si="33"/>
        <v>0</v>
      </c>
      <c r="ET13" s="1669">
        <f t="shared" si="34"/>
        <v>0</v>
      </c>
      <c r="EW13" s="1266" t="s">
        <v>963</v>
      </c>
      <c r="EX13" s="1262" t="s">
        <v>964</v>
      </c>
      <c r="EY13" s="1266" t="s">
        <v>447</v>
      </c>
      <c r="EZ13" s="1266" t="s">
        <v>447</v>
      </c>
      <c r="FA13" s="244">
        <v>4198047134</v>
      </c>
      <c r="FB13" s="1669">
        <f t="shared" si="35"/>
        <v>4198047.1339999996</v>
      </c>
      <c r="FD13" s="1314" t="s">
        <v>444</v>
      </c>
      <c r="FE13" s="1314" t="s">
        <v>1052</v>
      </c>
      <c r="FF13" s="1314" t="s">
        <v>446</v>
      </c>
      <c r="FG13" s="1314" t="s">
        <v>322</v>
      </c>
      <c r="FH13" s="244">
        <v>3000000</v>
      </c>
      <c r="FI13" s="244">
        <v>0</v>
      </c>
      <c r="FJ13" s="244">
        <v>0</v>
      </c>
      <c r="FK13" s="1676">
        <f t="shared" si="36"/>
        <v>3000</v>
      </c>
      <c r="FL13" s="1676">
        <f t="shared" si="37"/>
        <v>0</v>
      </c>
      <c r="FM13" s="1676">
        <f t="shared" si="38"/>
        <v>0</v>
      </c>
    </row>
    <row r="14" spans="1:169" ht="15" x14ac:dyDescent="0.3">
      <c r="A14" s="1316" t="s">
        <v>444</v>
      </c>
      <c r="B14" s="1316" t="s">
        <v>468</v>
      </c>
      <c r="C14" s="1316" t="s">
        <v>445</v>
      </c>
      <c r="D14" s="1316" t="s">
        <v>277</v>
      </c>
      <c r="E14" s="1316" t="s">
        <v>547</v>
      </c>
      <c r="F14" s="1668">
        <v>0</v>
      </c>
      <c r="G14" s="1668">
        <v>192285576</v>
      </c>
      <c r="H14" s="1668">
        <v>17123798</v>
      </c>
      <c r="I14" s="1668">
        <f t="shared" si="0"/>
        <v>0</v>
      </c>
      <c r="J14" s="1668">
        <f t="shared" si="1"/>
        <v>192285.576</v>
      </c>
      <c r="K14" s="1668">
        <f t="shared" si="2"/>
        <v>17123.797999999999</v>
      </c>
      <c r="N14" s="1314" t="s">
        <v>953</v>
      </c>
      <c r="O14" s="1314" t="s">
        <v>954</v>
      </c>
      <c r="P14" s="1314" t="s">
        <v>447</v>
      </c>
      <c r="Q14" s="1314" t="s">
        <v>447</v>
      </c>
      <c r="R14" s="1353">
        <v>0</v>
      </c>
      <c r="S14" s="1353">
        <v>2087428876</v>
      </c>
      <c r="T14" s="1353">
        <v>1934903869</v>
      </c>
      <c r="U14" s="1669">
        <f t="shared" si="3"/>
        <v>0</v>
      </c>
      <c r="V14" s="1669">
        <f t="shared" si="4"/>
        <v>2087428.8759999999</v>
      </c>
      <c r="W14" s="1669">
        <f t="shared" si="5"/>
        <v>1934903.8689999999</v>
      </c>
      <c r="Y14" s="1314" t="s">
        <v>444</v>
      </c>
      <c r="Z14" s="1316" t="s">
        <v>468</v>
      </c>
      <c r="AA14" s="1316" t="s">
        <v>445</v>
      </c>
      <c r="AB14" s="1316" t="s">
        <v>277</v>
      </c>
      <c r="AC14" s="1353">
        <v>0</v>
      </c>
      <c r="AD14" s="1353">
        <v>192285576</v>
      </c>
      <c r="AE14" s="1353">
        <v>33047596</v>
      </c>
      <c r="AF14" s="1353">
        <f t="shared" si="6"/>
        <v>0</v>
      </c>
      <c r="AG14" s="1353">
        <f t="shared" si="7"/>
        <v>192285.576</v>
      </c>
      <c r="AH14" s="1353">
        <f t="shared" si="8"/>
        <v>33047.595999999998</v>
      </c>
      <c r="AJ14" s="1670" t="s">
        <v>959</v>
      </c>
      <c r="AK14" s="1671" t="s">
        <v>960</v>
      </c>
      <c r="AL14" s="1671" t="s">
        <v>447</v>
      </c>
      <c r="AM14" s="1671" t="s">
        <v>447</v>
      </c>
      <c r="AN14" s="1672">
        <v>140969541</v>
      </c>
      <c r="AO14" s="1353">
        <f t="shared" si="9"/>
        <v>140969.541</v>
      </c>
      <c r="AR14" s="1673" t="s">
        <v>444</v>
      </c>
      <c r="AS14" s="1673" t="s">
        <v>468</v>
      </c>
      <c r="AT14" s="1673" t="s">
        <v>471</v>
      </c>
      <c r="AU14" s="1674" t="s">
        <v>279</v>
      </c>
      <c r="AV14" s="1675">
        <v>0</v>
      </c>
      <c r="AW14" s="1675">
        <v>499999</v>
      </c>
      <c r="AX14" s="1675">
        <v>0</v>
      </c>
      <c r="AY14" s="1669">
        <f t="shared" si="10"/>
        <v>0</v>
      </c>
      <c r="AZ14" s="1669">
        <f t="shared" si="11"/>
        <v>499.99900000000002</v>
      </c>
      <c r="BA14" s="1669">
        <f t="shared" si="12"/>
        <v>0</v>
      </c>
      <c r="BD14" s="1314" t="s">
        <v>963</v>
      </c>
      <c r="BE14" s="1316" t="s">
        <v>964</v>
      </c>
      <c r="BF14" s="1316" t="s">
        <v>447</v>
      </c>
      <c r="BG14" s="1316" t="s">
        <v>447</v>
      </c>
      <c r="BH14" s="1353">
        <v>1551903202</v>
      </c>
      <c r="BI14" s="1669">
        <f t="shared" si="13"/>
        <v>1551903.202</v>
      </c>
      <c r="BK14" s="1316" t="s">
        <v>444</v>
      </c>
      <c r="BL14" s="1316" t="s">
        <v>468</v>
      </c>
      <c r="BM14" s="1316" t="s">
        <v>471</v>
      </c>
      <c r="BN14" s="1316" t="s">
        <v>279</v>
      </c>
      <c r="BO14" s="1353">
        <v>0</v>
      </c>
      <c r="BP14" s="1353">
        <v>1950014</v>
      </c>
      <c r="BQ14" s="1353">
        <v>499999</v>
      </c>
      <c r="BR14" s="1676">
        <f t="shared" si="14"/>
        <v>0</v>
      </c>
      <c r="BS14" s="1676">
        <f t="shared" si="15"/>
        <v>1950.0139999999999</v>
      </c>
      <c r="BT14" s="1676">
        <f t="shared" si="16"/>
        <v>499.99900000000002</v>
      </c>
      <c r="BW14" s="1316" t="s">
        <v>949</v>
      </c>
      <c r="BX14" s="1316" t="s">
        <v>950</v>
      </c>
      <c r="BY14" s="1316" t="s">
        <v>447</v>
      </c>
      <c r="BZ14" s="1316" t="s">
        <v>447</v>
      </c>
      <c r="CA14" s="1676">
        <v>846022781</v>
      </c>
      <c r="CB14" s="1669">
        <f t="shared" si="17"/>
        <v>846022.78099999996</v>
      </c>
      <c r="CE14" s="1316" t="s">
        <v>444</v>
      </c>
      <c r="CF14" s="1316" t="s">
        <v>468</v>
      </c>
      <c r="CG14" s="1316" t="s">
        <v>446</v>
      </c>
      <c r="CH14" s="1316" t="s">
        <v>322</v>
      </c>
      <c r="CI14" s="1677">
        <v>0</v>
      </c>
      <c r="CJ14" s="1677">
        <v>2500000</v>
      </c>
      <c r="CK14" s="1677">
        <v>812716</v>
      </c>
      <c r="CL14" s="1676">
        <f t="shared" si="18"/>
        <v>0</v>
      </c>
      <c r="CM14" s="1676">
        <f t="shared" si="19"/>
        <v>2500</v>
      </c>
      <c r="CN14" s="1676">
        <f t="shared" si="20"/>
        <v>812.71600000000001</v>
      </c>
      <c r="CQ14" s="1316" t="s">
        <v>963</v>
      </c>
      <c r="CR14" s="1316" t="s">
        <v>964</v>
      </c>
      <c r="CS14" s="1316" t="s">
        <v>447</v>
      </c>
      <c r="CT14" s="1316" t="s">
        <v>447</v>
      </c>
      <c r="CU14" s="1672">
        <v>2096652991</v>
      </c>
      <c r="CV14" s="1669">
        <f t="shared" si="21"/>
        <v>2096652.9909999999</v>
      </c>
      <c r="CY14" s="1316" t="s">
        <v>444</v>
      </c>
      <c r="CZ14" s="1316" t="s">
        <v>468</v>
      </c>
      <c r="DA14" s="1316" t="s">
        <v>474</v>
      </c>
      <c r="DB14" s="1316" t="s">
        <v>276</v>
      </c>
      <c r="DC14" s="1677">
        <v>0</v>
      </c>
      <c r="DD14" s="1677">
        <v>1051138756</v>
      </c>
      <c r="DE14" s="1677">
        <v>947677463</v>
      </c>
      <c r="DF14" s="1669">
        <f t="shared" si="22"/>
        <v>0</v>
      </c>
      <c r="DG14" s="1669">
        <f t="shared" si="23"/>
        <v>1051138.7560000001</v>
      </c>
      <c r="DH14" s="1669">
        <f t="shared" si="24"/>
        <v>947677.46299999999</v>
      </c>
      <c r="DK14" s="1314" t="s">
        <v>961</v>
      </c>
      <c r="DL14" s="1316" t="s">
        <v>962</v>
      </c>
      <c r="DM14" s="1316" t="s">
        <v>447</v>
      </c>
      <c r="DN14" s="1316" t="s">
        <v>447</v>
      </c>
      <c r="DO14" s="1316" t="s">
        <v>547</v>
      </c>
      <c r="DP14" s="1353">
        <v>636712010</v>
      </c>
      <c r="DQ14" s="1669">
        <f t="shared" si="25"/>
        <v>636712.01</v>
      </c>
      <c r="DS14" s="1678" t="s">
        <v>444</v>
      </c>
      <c r="DT14" s="1679" t="s">
        <v>1052</v>
      </c>
      <c r="DU14" s="1679" t="s">
        <v>472</v>
      </c>
      <c r="DV14" s="1679" t="s">
        <v>473</v>
      </c>
      <c r="DW14" s="1680">
        <v>0</v>
      </c>
      <c r="DX14" s="1680">
        <v>106517513</v>
      </c>
      <c r="DY14" s="1680">
        <v>14243338</v>
      </c>
      <c r="DZ14" s="1669">
        <f t="shared" si="26"/>
        <v>0</v>
      </c>
      <c r="EA14" s="1669">
        <f t="shared" si="27"/>
        <v>106517.51300000001</v>
      </c>
      <c r="EB14" s="1669">
        <f t="shared" si="28"/>
        <v>14243.338</v>
      </c>
      <c r="ED14" s="1316" t="s">
        <v>959</v>
      </c>
      <c r="EE14" s="1316" t="s">
        <v>960</v>
      </c>
      <c r="EF14" s="1316" t="s">
        <v>447</v>
      </c>
      <c r="EG14" s="1316" t="s">
        <v>447</v>
      </c>
      <c r="EH14" s="1353">
        <v>601862259</v>
      </c>
      <c r="EI14" s="1669">
        <f t="shared" si="31"/>
        <v>601862.25899999996</v>
      </c>
      <c r="EK14" s="1316" t="s">
        <v>444</v>
      </c>
      <c r="EL14" s="1316" t="s">
        <v>1052</v>
      </c>
      <c r="EM14" s="1316" t="s">
        <v>446</v>
      </c>
      <c r="EN14" s="1316" t="s">
        <v>322</v>
      </c>
      <c r="EO14" s="1353">
        <v>0</v>
      </c>
      <c r="EP14" s="1353">
        <v>2500000</v>
      </c>
      <c r="EQ14" s="1353">
        <v>1035758</v>
      </c>
      <c r="ER14" s="1669">
        <f t="shared" si="32"/>
        <v>0</v>
      </c>
      <c r="ES14" s="1669">
        <f t="shared" si="33"/>
        <v>2500</v>
      </c>
      <c r="ET14" s="1669">
        <f t="shared" si="34"/>
        <v>1035.758</v>
      </c>
      <c r="EW14" s="1266" t="s">
        <v>448</v>
      </c>
      <c r="EX14" s="1262" t="s">
        <v>469</v>
      </c>
      <c r="EY14" s="1266" t="s">
        <v>447</v>
      </c>
      <c r="EZ14" s="1266" t="s">
        <v>447</v>
      </c>
      <c r="FA14" s="244">
        <v>1607860326</v>
      </c>
      <c r="FB14" s="1669">
        <f t="shared" si="35"/>
        <v>1607860.3259999999</v>
      </c>
      <c r="FD14" s="1314" t="s">
        <v>444</v>
      </c>
      <c r="FE14" s="1314" t="s">
        <v>1052</v>
      </c>
      <c r="FF14" s="1314" t="s">
        <v>472</v>
      </c>
      <c r="FG14" s="1314" t="s">
        <v>473</v>
      </c>
      <c r="FH14" s="244">
        <v>0</v>
      </c>
      <c r="FI14" s="244">
        <v>106517513</v>
      </c>
      <c r="FJ14" s="244">
        <v>14243338</v>
      </c>
      <c r="FK14" s="1676">
        <f t="shared" si="36"/>
        <v>0</v>
      </c>
      <c r="FL14" s="1676">
        <f t="shared" si="37"/>
        <v>106517.51300000001</v>
      </c>
      <c r="FM14" s="1676">
        <f t="shared" si="38"/>
        <v>14243.338</v>
      </c>
    </row>
    <row r="15" spans="1:169" ht="15" x14ac:dyDescent="0.3">
      <c r="A15" s="1316" t="s">
        <v>544</v>
      </c>
      <c r="B15" s="1316" t="s">
        <v>545</v>
      </c>
      <c r="C15" s="1316" t="s">
        <v>447</v>
      </c>
      <c r="D15" s="1316" t="s">
        <v>447</v>
      </c>
      <c r="E15" s="1316" t="s">
        <v>547</v>
      </c>
      <c r="F15" s="1668">
        <v>10000</v>
      </c>
      <c r="G15" s="1668">
        <v>0</v>
      </c>
      <c r="H15" s="1668">
        <v>0</v>
      </c>
      <c r="I15" s="1668">
        <f t="shared" si="0"/>
        <v>10</v>
      </c>
      <c r="J15" s="1668">
        <f t="shared" si="1"/>
        <v>0</v>
      </c>
      <c r="K15" s="1668">
        <f t="shared" si="2"/>
        <v>0</v>
      </c>
      <c r="N15" s="1314" t="s">
        <v>955</v>
      </c>
      <c r="O15" s="1314" t="s">
        <v>956</v>
      </c>
      <c r="P15" s="1314" t="s">
        <v>447</v>
      </c>
      <c r="Q15" s="1314" t="s">
        <v>447</v>
      </c>
      <c r="R15" s="1353">
        <v>0</v>
      </c>
      <c r="S15" s="1353">
        <v>3470113168</v>
      </c>
      <c r="T15" s="1353">
        <v>2201230694</v>
      </c>
      <c r="U15" s="1669">
        <f t="shared" si="3"/>
        <v>0</v>
      </c>
      <c r="V15" s="1669">
        <f t="shared" si="4"/>
        <v>3470113.1680000001</v>
      </c>
      <c r="W15" s="1669">
        <f t="shared" si="5"/>
        <v>2201230.6940000001</v>
      </c>
      <c r="Y15" s="1314" t="s">
        <v>444</v>
      </c>
      <c r="Z15" s="1316" t="s">
        <v>468</v>
      </c>
      <c r="AA15" s="1316" t="s">
        <v>472</v>
      </c>
      <c r="AB15" s="1316" t="s">
        <v>473</v>
      </c>
      <c r="AC15" s="1353">
        <v>0</v>
      </c>
      <c r="AD15" s="1353">
        <v>23034206</v>
      </c>
      <c r="AE15" s="1353">
        <v>838747</v>
      </c>
      <c r="AF15" s="1353">
        <f t="shared" si="6"/>
        <v>0</v>
      </c>
      <c r="AG15" s="1353">
        <f t="shared" si="7"/>
        <v>23034.205999999998</v>
      </c>
      <c r="AH15" s="1353">
        <f t="shared" si="8"/>
        <v>838.74699999999996</v>
      </c>
      <c r="AJ15" s="1670" t="s">
        <v>963</v>
      </c>
      <c r="AK15" s="1671" t="s">
        <v>964</v>
      </c>
      <c r="AL15" s="1671" t="s">
        <v>447</v>
      </c>
      <c r="AM15" s="1671" t="s">
        <v>447</v>
      </c>
      <c r="AN15" s="1672">
        <v>1515072391</v>
      </c>
      <c r="AO15" s="1353">
        <f t="shared" si="9"/>
        <v>1515072.3910000001</v>
      </c>
      <c r="AR15" s="1673" t="s">
        <v>444</v>
      </c>
      <c r="AS15" s="1673" t="s">
        <v>468</v>
      </c>
      <c r="AT15" s="1673" t="s">
        <v>445</v>
      </c>
      <c r="AU15" s="1674" t="s">
        <v>277</v>
      </c>
      <c r="AV15" s="1675">
        <v>0</v>
      </c>
      <c r="AW15" s="1675">
        <v>202905603</v>
      </c>
      <c r="AX15" s="1675">
        <v>48209623</v>
      </c>
      <c r="AY15" s="1669">
        <f t="shared" si="10"/>
        <v>0</v>
      </c>
      <c r="AZ15" s="1669">
        <f t="shared" si="11"/>
        <v>202905.603</v>
      </c>
      <c r="BA15" s="1669">
        <f t="shared" si="12"/>
        <v>48209.623</v>
      </c>
      <c r="BD15" s="1314" t="s">
        <v>451</v>
      </c>
      <c r="BE15" s="1316" t="s">
        <v>470</v>
      </c>
      <c r="BF15" s="1316" t="s">
        <v>447</v>
      </c>
      <c r="BG15" s="1316" t="s">
        <v>447</v>
      </c>
      <c r="BH15" s="1353">
        <v>1039948825</v>
      </c>
      <c r="BI15" s="1669">
        <f t="shared" si="13"/>
        <v>1039948.825</v>
      </c>
      <c r="BK15" s="1316" t="s">
        <v>444</v>
      </c>
      <c r="BL15" s="1316" t="s">
        <v>468</v>
      </c>
      <c r="BM15" s="1316" t="s">
        <v>446</v>
      </c>
      <c r="BN15" s="1316" t="s">
        <v>322</v>
      </c>
      <c r="BO15" s="1353">
        <v>0</v>
      </c>
      <c r="BP15" s="1353">
        <v>2200000</v>
      </c>
      <c r="BQ15" s="1353">
        <v>450496</v>
      </c>
      <c r="BR15" s="1676">
        <f t="shared" si="14"/>
        <v>0</v>
      </c>
      <c r="BS15" s="1676">
        <f t="shared" si="15"/>
        <v>2200</v>
      </c>
      <c r="BT15" s="1676">
        <f t="shared" si="16"/>
        <v>450.49599999999998</v>
      </c>
      <c r="BW15" s="1316" t="s">
        <v>951</v>
      </c>
      <c r="BX15" s="1316" t="s">
        <v>952</v>
      </c>
      <c r="BY15" s="1316" t="s">
        <v>447</v>
      </c>
      <c r="BZ15" s="1316" t="s">
        <v>447</v>
      </c>
      <c r="CA15" s="1676">
        <v>0</v>
      </c>
      <c r="CB15" s="1669">
        <f t="shared" si="17"/>
        <v>0</v>
      </c>
      <c r="CE15" s="1316" t="s">
        <v>444</v>
      </c>
      <c r="CF15" s="1316" t="s">
        <v>468</v>
      </c>
      <c r="CG15" s="1316" t="s">
        <v>472</v>
      </c>
      <c r="CH15" s="1316" t="s">
        <v>473</v>
      </c>
      <c r="CI15" s="1677">
        <v>0</v>
      </c>
      <c r="CJ15" s="1677">
        <v>40567513</v>
      </c>
      <c r="CK15" s="1677">
        <v>14243338</v>
      </c>
      <c r="CL15" s="1676">
        <f t="shared" si="18"/>
        <v>0</v>
      </c>
      <c r="CM15" s="1676">
        <f t="shared" si="19"/>
        <v>40567.512999999999</v>
      </c>
      <c r="CN15" s="1676">
        <f t="shared" si="20"/>
        <v>14243.338</v>
      </c>
      <c r="CQ15" s="1316" t="s">
        <v>451</v>
      </c>
      <c r="CR15" s="1316" t="s">
        <v>470</v>
      </c>
      <c r="CS15" s="1316" t="s">
        <v>447</v>
      </c>
      <c r="CT15" s="1316" t="s">
        <v>447</v>
      </c>
      <c r="CU15" s="1672">
        <v>312223200</v>
      </c>
      <c r="CV15" s="1669">
        <f t="shared" si="21"/>
        <v>312223.2</v>
      </c>
      <c r="CY15" s="1316" t="s">
        <v>444</v>
      </c>
      <c r="CZ15" s="1316" t="s">
        <v>468</v>
      </c>
      <c r="DA15" s="1316" t="s">
        <v>446</v>
      </c>
      <c r="DB15" s="1316" t="s">
        <v>322</v>
      </c>
      <c r="DC15" s="1677">
        <v>0</v>
      </c>
      <c r="DD15" s="1677">
        <v>2500000</v>
      </c>
      <c r="DE15" s="1677">
        <v>977902</v>
      </c>
      <c r="DF15" s="1669">
        <f t="shared" si="22"/>
        <v>0</v>
      </c>
      <c r="DG15" s="1669">
        <f t="shared" si="23"/>
        <v>2500</v>
      </c>
      <c r="DH15" s="1669">
        <f t="shared" si="24"/>
        <v>977.90200000000004</v>
      </c>
      <c r="DK15" s="1314" t="s">
        <v>963</v>
      </c>
      <c r="DL15" s="1316" t="s">
        <v>964</v>
      </c>
      <c r="DM15" s="1316" t="s">
        <v>447</v>
      </c>
      <c r="DN15" s="1316" t="s">
        <v>447</v>
      </c>
      <c r="DO15" s="1316" t="s">
        <v>547</v>
      </c>
      <c r="DP15" s="1353">
        <v>11406123967</v>
      </c>
      <c r="DQ15" s="1669">
        <f t="shared" si="25"/>
        <v>11406123.967</v>
      </c>
      <c r="DS15" s="1678" t="s">
        <v>444</v>
      </c>
      <c r="DT15" s="1679" t="s">
        <v>1052</v>
      </c>
      <c r="DU15" s="1679" t="s">
        <v>447</v>
      </c>
      <c r="DV15" s="1679" t="s">
        <v>447</v>
      </c>
      <c r="DW15" s="1680">
        <v>0</v>
      </c>
      <c r="DX15" s="1680">
        <v>0</v>
      </c>
      <c r="DY15" s="1680">
        <v>0</v>
      </c>
      <c r="DZ15" s="1669">
        <f t="shared" si="26"/>
        <v>0</v>
      </c>
      <c r="EA15" s="1669">
        <f t="shared" si="27"/>
        <v>0</v>
      </c>
      <c r="EB15" s="1669">
        <f t="shared" si="28"/>
        <v>0</v>
      </c>
      <c r="ED15" s="1316" t="s">
        <v>961</v>
      </c>
      <c r="EE15" s="1316" t="s">
        <v>962</v>
      </c>
      <c r="EF15" s="1316" t="s">
        <v>447</v>
      </c>
      <c r="EG15" s="1316" t="s">
        <v>447</v>
      </c>
      <c r="EH15" s="1353">
        <v>74638248</v>
      </c>
      <c r="EI15" s="1669">
        <f t="shared" si="31"/>
        <v>74638.248000000007</v>
      </c>
      <c r="EK15" s="1316" t="s">
        <v>444</v>
      </c>
      <c r="EL15" s="1316" t="s">
        <v>1052</v>
      </c>
      <c r="EM15" s="1316" t="s">
        <v>472</v>
      </c>
      <c r="EN15" s="1316" t="s">
        <v>473</v>
      </c>
      <c r="EO15" s="1353">
        <v>0</v>
      </c>
      <c r="EP15" s="1353">
        <v>40567513</v>
      </c>
      <c r="EQ15" s="1353">
        <v>14243338</v>
      </c>
      <c r="ER15" s="1669">
        <f t="shared" si="32"/>
        <v>0</v>
      </c>
      <c r="ES15" s="1669">
        <f t="shared" si="33"/>
        <v>40567.512999999999</v>
      </c>
      <c r="ET15" s="1669">
        <f t="shared" si="34"/>
        <v>14243.338</v>
      </c>
      <c r="EW15" s="1266" t="s">
        <v>451</v>
      </c>
      <c r="EX15" s="1262" t="s">
        <v>470</v>
      </c>
      <c r="EY15" s="1266" t="s">
        <v>447</v>
      </c>
      <c r="EZ15" s="1266" t="s">
        <v>447</v>
      </c>
      <c r="FA15" s="244">
        <v>210819581</v>
      </c>
      <c r="FB15" s="1669">
        <f t="shared" si="35"/>
        <v>210819.58100000001</v>
      </c>
      <c r="FD15" s="1314" t="s">
        <v>444</v>
      </c>
      <c r="FE15" s="1314" t="s">
        <v>1052</v>
      </c>
      <c r="FF15" s="1314" t="s">
        <v>446</v>
      </c>
      <c r="FG15" s="1314" t="s">
        <v>322</v>
      </c>
      <c r="FH15" s="244">
        <v>0</v>
      </c>
      <c r="FI15" s="244">
        <v>2500000</v>
      </c>
      <c r="FJ15" s="244">
        <v>1093614</v>
      </c>
      <c r="FK15" s="1676">
        <f t="shared" si="36"/>
        <v>0</v>
      </c>
      <c r="FL15" s="1676">
        <f t="shared" si="37"/>
        <v>2500</v>
      </c>
      <c r="FM15" s="1676">
        <f t="shared" si="38"/>
        <v>1093.614</v>
      </c>
    </row>
    <row r="16" spans="1:169" ht="15" x14ac:dyDescent="0.3">
      <c r="A16" s="1316" t="s">
        <v>450</v>
      </c>
      <c r="B16" s="1316" t="s">
        <v>142</v>
      </c>
      <c r="C16" s="1316" t="s">
        <v>447</v>
      </c>
      <c r="D16" s="1316" t="s">
        <v>447</v>
      </c>
      <c r="E16" s="1316" t="s">
        <v>547</v>
      </c>
      <c r="F16" s="1668">
        <v>5667935000</v>
      </c>
      <c r="G16" s="1668">
        <v>0</v>
      </c>
      <c r="H16" s="1668">
        <v>0</v>
      </c>
      <c r="I16" s="1668">
        <f t="shared" si="0"/>
        <v>5667935</v>
      </c>
      <c r="J16" s="1668">
        <f t="shared" si="1"/>
        <v>0</v>
      </c>
      <c r="K16" s="1668">
        <f t="shared" si="2"/>
        <v>0</v>
      </c>
      <c r="N16" s="1314" t="s">
        <v>957</v>
      </c>
      <c r="O16" s="1314" t="s">
        <v>958</v>
      </c>
      <c r="P16" s="1314" t="s">
        <v>447</v>
      </c>
      <c r="Q16" s="1314" t="s">
        <v>447</v>
      </c>
      <c r="R16" s="1353">
        <v>0</v>
      </c>
      <c r="S16" s="1353">
        <v>422592850</v>
      </c>
      <c r="T16" s="1353">
        <v>363792850</v>
      </c>
      <c r="U16" s="1669">
        <f t="shared" si="3"/>
        <v>0</v>
      </c>
      <c r="V16" s="1669">
        <f t="shared" si="4"/>
        <v>422592.85</v>
      </c>
      <c r="W16" s="1669">
        <f t="shared" si="5"/>
        <v>363792.85</v>
      </c>
      <c r="Y16" s="1314" t="s">
        <v>444</v>
      </c>
      <c r="Z16" s="1316" t="s">
        <v>468</v>
      </c>
      <c r="AA16" s="1316" t="s">
        <v>446</v>
      </c>
      <c r="AB16" s="1316" t="s">
        <v>322</v>
      </c>
      <c r="AC16" s="1353">
        <v>0</v>
      </c>
      <c r="AD16" s="1353">
        <v>2200000</v>
      </c>
      <c r="AE16" s="1353">
        <v>125356</v>
      </c>
      <c r="AF16" s="1353">
        <f t="shared" si="6"/>
        <v>0</v>
      </c>
      <c r="AG16" s="1353">
        <f t="shared" si="7"/>
        <v>2200</v>
      </c>
      <c r="AH16" s="1353">
        <f t="shared" si="8"/>
        <v>125.35599999999999</v>
      </c>
      <c r="AJ16" s="1670" t="s">
        <v>965</v>
      </c>
      <c r="AK16" s="1671" t="s">
        <v>966</v>
      </c>
      <c r="AL16" s="1671" t="s">
        <v>447</v>
      </c>
      <c r="AM16" s="1671" t="s">
        <v>447</v>
      </c>
      <c r="AN16" s="1672">
        <v>0</v>
      </c>
      <c r="AO16" s="1353">
        <f t="shared" si="9"/>
        <v>0</v>
      </c>
      <c r="AR16" s="1673" t="s">
        <v>444</v>
      </c>
      <c r="AS16" s="1673" t="s">
        <v>468</v>
      </c>
      <c r="AT16" s="1673" t="s">
        <v>446</v>
      </c>
      <c r="AU16" s="1674" t="s">
        <v>322</v>
      </c>
      <c r="AV16" s="1675">
        <v>0</v>
      </c>
      <c r="AW16" s="1675">
        <v>2200000</v>
      </c>
      <c r="AX16" s="1675">
        <v>287830</v>
      </c>
      <c r="AY16" s="1669">
        <f t="shared" si="10"/>
        <v>0</v>
      </c>
      <c r="AZ16" s="1669">
        <f t="shared" si="11"/>
        <v>2200</v>
      </c>
      <c r="BA16" s="1669">
        <f t="shared" si="12"/>
        <v>287.83</v>
      </c>
      <c r="BI16" s="1681">
        <f>SUM(BI3:BI15)</f>
        <v>28478710.312000003</v>
      </c>
      <c r="BK16" s="1316" t="s">
        <v>444</v>
      </c>
      <c r="BL16" s="1316" t="s">
        <v>468</v>
      </c>
      <c r="BM16" s="1316" t="s">
        <v>474</v>
      </c>
      <c r="BN16" s="1316" t="s">
        <v>276</v>
      </c>
      <c r="BO16" s="1353">
        <v>0</v>
      </c>
      <c r="BP16" s="1353">
        <v>713136390</v>
      </c>
      <c r="BQ16" s="1353">
        <v>713136390</v>
      </c>
      <c r="BR16" s="1676">
        <f t="shared" si="14"/>
        <v>0</v>
      </c>
      <c r="BS16" s="1676">
        <f t="shared" si="15"/>
        <v>713136.39</v>
      </c>
      <c r="BT16" s="1676">
        <f t="shared" si="16"/>
        <v>713136.39</v>
      </c>
      <c r="BW16" s="1316" t="s">
        <v>951</v>
      </c>
      <c r="BX16" s="1316" t="s">
        <v>952</v>
      </c>
      <c r="BY16" s="1316" t="s">
        <v>447</v>
      </c>
      <c r="BZ16" s="1316" t="s">
        <v>447</v>
      </c>
      <c r="CA16" s="1676">
        <v>1485183526</v>
      </c>
      <c r="CB16" s="1669">
        <f t="shared" si="17"/>
        <v>1485183.5260000001</v>
      </c>
      <c r="CE16" s="1316" t="s">
        <v>444</v>
      </c>
      <c r="CF16" s="1316" t="s">
        <v>468</v>
      </c>
      <c r="CG16" s="1316" t="s">
        <v>447</v>
      </c>
      <c r="CH16" s="1316" t="s">
        <v>447</v>
      </c>
      <c r="CI16" s="1677">
        <v>0</v>
      </c>
      <c r="CJ16" s="1677">
        <v>0</v>
      </c>
      <c r="CK16" s="1677">
        <v>0</v>
      </c>
      <c r="CL16" s="1676">
        <f t="shared" si="18"/>
        <v>0</v>
      </c>
      <c r="CM16" s="1676">
        <f t="shared" si="19"/>
        <v>0</v>
      </c>
      <c r="CN16" s="1676">
        <f t="shared" si="20"/>
        <v>0</v>
      </c>
      <c r="CV16" s="1681">
        <f>SUM(CV3:CV15)</f>
        <v>14578758.631000001</v>
      </c>
      <c r="CY16" s="1316" t="s">
        <v>444</v>
      </c>
      <c r="CZ16" s="1316" t="s">
        <v>468</v>
      </c>
      <c r="DA16" s="1316" t="s">
        <v>447</v>
      </c>
      <c r="DB16" s="1316" t="s">
        <v>447</v>
      </c>
      <c r="DC16" s="1677">
        <v>0</v>
      </c>
      <c r="DD16" s="1677">
        <v>0</v>
      </c>
      <c r="DE16" s="1677">
        <v>0</v>
      </c>
      <c r="DF16" s="1669">
        <f t="shared" si="22"/>
        <v>0</v>
      </c>
      <c r="DG16" s="1669">
        <f t="shared" si="23"/>
        <v>0</v>
      </c>
      <c r="DH16" s="1669">
        <f t="shared" si="24"/>
        <v>0</v>
      </c>
      <c r="DK16" s="1314" t="s">
        <v>448</v>
      </c>
      <c r="DL16" s="1316" t="s">
        <v>469</v>
      </c>
      <c r="DM16" s="1316" t="s">
        <v>447</v>
      </c>
      <c r="DN16" s="1316" t="s">
        <v>447</v>
      </c>
      <c r="DO16" s="1316" t="s">
        <v>547</v>
      </c>
      <c r="DP16" s="1353">
        <v>7465274223</v>
      </c>
      <c r="DQ16" s="1669">
        <f t="shared" si="25"/>
        <v>7465274.2230000002</v>
      </c>
      <c r="DS16" s="1678" t="s">
        <v>444</v>
      </c>
      <c r="DT16" s="1679" t="s">
        <v>1052</v>
      </c>
      <c r="DU16" s="1679" t="s">
        <v>474</v>
      </c>
      <c r="DV16" s="1679" t="s">
        <v>276</v>
      </c>
      <c r="DW16" s="1680">
        <v>0</v>
      </c>
      <c r="DX16" s="1680">
        <v>1341582476</v>
      </c>
      <c r="DY16" s="1680">
        <v>1184235218</v>
      </c>
      <c r="DZ16" s="1669">
        <f t="shared" si="26"/>
        <v>0</v>
      </c>
      <c r="EA16" s="1669">
        <f t="shared" si="27"/>
        <v>1341582.476</v>
      </c>
      <c r="EB16" s="1669">
        <f t="shared" si="28"/>
        <v>1184235.2180000001</v>
      </c>
      <c r="ED16" s="1316" t="s">
        <v>963</v>
      </c>
      <c r="EE16" s="1316" t="s">
        <v>964</v>
      </c>
      <c r="EF16" s="1316" t="s">
        <v>447</v>
      </c>
      <c r="EG16" s="1316" t="s">
        <v>447</v>
      </c>
      <c r="EH16" s="1353">
        <v>4166102114</v>
      </c>
      <c r="EI16" s="1669">
        <f t="shared" si="31"/>
        <v>4166102.1140000001</v>
      </c>
      <c r="EK16" s="1316" t="s">
        <v>444</v>
      </c>
      <c r="EL16" s="1316" t="s">
        <v>1052</v>
      </c>
      <c r="EM16" s="1316" t="s">
        <v>447</v>
      </c>
      <c r="EN16" s="1316" t="s">
        <v>447</v>
      </c>
      <c r="EO16" s="1353">
        <v>0</v>
      </c>
      <c r="EP16" s="1353">
        <v>0</v>
      </c>
      <c r="EQ16" s="1353">
        <v>0</v>
      </c>
      <c r="ER16" s="1669">
        <f t="shared" si="32"/>
        <v>0</v>
      </c>
      <c r="ES16" s="1669">
        <f t="shared" si="33"/>
        <v>0</v>
      </c>
      <c r="ET16" s="1669">
        <f t="shared" si="34"/>
        <v>0</v>
      </c>
      <c r="FB16" s="1681">
        <f>SUM(FB3:FB15)</f>
        <v>16265569.859999999</v>
      </c>
      <c r="FD16" s="1314" t="s">
        <v>444</v>
      </c>
      <c r="FE16" s="1314" t="s">
        <v>1052</v>
      </c>
      <c r="FF16" s="1314" t="s">
        <v>447</v>
      </c>
      <c r="FG16" s="1314" t="s">
        <v>447</v>
      </c>
      <c r="FH16" s="244">
        <v>0</v>
      </c>
      <c r="FI16" s="244">
        <v>0</v>
      </c>
      <c r="FJ16" s="244">
        <v>0</v>
      </c>
      <c r="FK16" s="1676">
        <f t="shared" si="36"/>
        <v>0</v>
      </c>
      <c r="FL16" s="1676">
        <f t="shared" si="37"/>
        <v>0</v>
      </c>
      <c r="FM16" s="1676">
        <f t="shared" si="38"/>
        <v>0</v>
      </c>
    </row>
    <row r="17" spans="1:169" ht="15" x14ac:dyDescent="0.3">
      <c r="A17" s="1316" t="s">
        <v>945</v>
      </c>
      <c r="B17" s="1316" t="s">
        <v>946</v>
      </c>
      <c r="C17" s="1316" t="s">
        <v>447</v>
      </c>
      <c r="D17" s="1316" t="s">
        <v>447</v>
      </c>
      <c r="E17" s="1316" t="s">
        <v>547</v>
      </c>
      <c r="F17" s="1668">
        <v>42112712000</v>
      </c>
      <c r="G17" s="1668">
        <v>0</v>
      </c>
      <c r="H17" s="1668">
        <v>0</v>
      </c>
      <c r="I17" s="1668">
        <f t="shared" si="0"/>
        <v>42112712</v>
      </c>
      <c r="J17" s="1668">
        <f t="shared" si="1"/>
        <v>0</v>
      </c>
      <c r="K17" s="1668">
        <f t="shared" si="2"/>
        <v>0</v>
      </c>
      <c r="N17" s="1314" t="s">
        <v>959</v>
      </c>
      <c r="O17" s="1314" t="s">
        <v>960</v>
      </c>
      <c r="P17" s="1314" t="s">
        <v>447</v>
      </c>
      <c r="Q17" s="1314" t="s">
        <v>447</v>
      </c>
      <c r="R17" s="1353">
        <v>0</v>
      </c>
      <c r="S17" s="1353">
        <v>250665791</v>
      </c>
      <c r="T17" s="1353">
        <v>119696250</v>
      </c>
      <c r="U17" s="1669">
        <f t="shared" si="3"/>
        <v>0</v>
      </c>
      <c r="V17" s="1669">
        <f t="shared" si="4"/>
        <v>250665.791</v>
      </c>
      <c r="W17" s="1669">
        <f t="shared" si="5"/>
        <v>119696.25</v>
      </c>
      <c r="Y17" s="1314" t="s">
        <v>444</v>
      </c>
      <c r="Z17" s="1316" t="s">
        <v>468</v>
      </c>
      <c r="AA17" s="1316" t="s">
        <v>474</v>
      </c>
      <c r="AB17" s="1316" t="s">
        <v>276</v>
      </c>
      <c r="AC17" s="1353">
        <v>0</v>
      </c>
      <c r="AD17" s="1353">
        <v>564586391</v>
      </c>
      <c r="AE17" s="1353">
        <v>452855083</v>
      </c>
      <c r="AF17" s="1353">
        <f t="shared" si="6"/>
        <v>0</v>
      </c>
      <c r="AG17" s="1353">
        <f t="shared" si="7"/>
        <v>564586.39099999995</v>
      </c>
      <c r="AH17" s="1353">
        <f t="shared" si="8"/>
        <v>452855.08299999998</v>
      </c>
      <c r="AJ17" s="1670" t="s">
        <v>451</v>
      </c>
      <c r="AK17" s="1671" t="s">
        <v>470</v>
      </c>
      <c r="AL17" s="1671" t="s">
        <v>447</v>
      </c>
      <c r="AM17" s="1671" t="s">
        <v>447</v>
      </c>
      <c r="AN17" s="1672">
        <v>128012751</v>
      </c>
      <c r="AO17" s="1353">
        <f t="shared" si="9"/>
        <v>128012.751</v>
      </c>
      <c r="AR17" s="1673" t="s">
        <v>444</v>
      </c>
      <c r="AS17" s="1673" t="s">
        <v>468</v>
      </c>
      <c r="AT17" s="1673" t="s">
        <v>474</v>
      </c>
      <c r="AU17" s="1674" t="s">
        <v>276</v>
      </c>
      <c r="AV17" s="1675">
        <v>0</v>
      </c>
      <c r="AW17" s="1675">
        <v>655636391</v>
      </c>
      <c r="AX17" s="1675">
        <v>581536391</v>
      </c>
      <c r="AY17" s="1669">
        <f t="shared" si="10"/>
        <v>0</v>
      </c>
      <c r="AZ17" s="1669">
        <f t="shared" si="11"/>
        <v>655636.39099999995</v>
      </c>
      <c r="BA17" s="1669">
        <f t="shared" si="12"/>
        <v>581536.39099999995</v>
      </c>
      <c r="BK17" s="1316" t="s">
        <v>444</v>
      </c>
      <c r="BL17" s="1316" t="s">
        <v>468</v>
      </c>
      <c r="BM17" s="1316" t="s">
        <v>447</v>
      </c>
      <c r="BN17" s="1316" t="s">
        <v>447</v>
      </c>
      <c r="BO17" s="1353">
        <v>0</v>
      </c>
      <c r="BP17" s="1353">
        <v>0</v>
      </c>
      <c r="BQ17" s="1353">
        <v>0</v>
      </c>
      <c r="BR17" s="1676">
        <f t="shared" si="14"/>
        <v>0</v>
      </c>
      <c r="BS17" s="1676">
        <f t="shared" si="15"/>
        <v>0</v>
      </c>
      <c r="BT17" s="1676">
        <f t="shared" si="16"/>
        <v>0</v>
      </c>
      <c r="BW17" s="1316" t="s">
        <v>953</v>
      </c>
      <c r="BX17" s="1316" t="s">
        <v>954</v>
      </c>
      <c r="BY17" s="1316" t="s">
        <v>447</v>
      </c>
      <c r="BZ17" s="1316" t="s">
        <v>447</v>
      </c>
      <c r="CA17" s="1676">
        <v>1092860802</v>
      </c>
      <c r="CB17" s="1669">
        <f t="shared" si="17"/>
        <v>1092860.8019999999</v>
      </c>
      <c r="CE17" s="1316" t="s">
        <v>444</v>
      </c>
      <c r="CF17" s="1316" t="s">
        <v>468</v>
      </c>
      <c r="CG17" s="1316" t="s">
        <v>445</v>
      </c>
      <c r="CH17" s="1316" t="s">
        <v>277</v>
      </c>
      <c r="CI17" s="1677">
        <v>0</v>
      </c>
      <c r="CJ17" s="1677">
        <v>202905603</v>
      </c>
      <c r="CK17" s="1677">
        <v>82691657</v>
      </c>
      <c r="CL17" s="1676">
        <f t="shared" si="18"/>
        <v>0</v>
      </c>
      <c r="CM17" s="1676">
        <f t="shared" si="19"/>
        <v>202905.603</v>
      </c>
      <c r="CN17" s="1676">
        <f t="shared" si="20"/>
        <v>82691.657000000007</v>
      </c>
      <c r="CY17" s="1316" t="s">
        <v>444</v>
      </c>
      <c r="CZ17" s="1316" t="s">
        <v>468</v>
      </c>
      <c r="DA17" s="1316" t="s">
        <v>445</v>
      </c>
      <c r="DB17" s="1316" t="s">
        <v>277</v>
      </c>
      <c r="DC17" s="1677">
        <v>0</v>
      </c>
      <c r="DD17" s="1677">
        <v>226962821</v>
      </c>
      <c r="DE17" s="1677">
        <v>98576478</v>
      </c>
      <c r="DF17" s="1669">
        <f t="shared" si="22"/>
        <v>0</v>
      </c>
      <c r="DG17" s="1669">
        <f t="shared" si="23"/>
        <v>226962.821</v>
      </c>
      <c r="DH17" s="1669">
        <f t="shared" si="24"/>
        <v>98576.478000000003</v>
      </c>
      <c r="DK17" s="1314" t="s">
        <v>451</v>
      </c>
      <c r="DL17" s="1316" t="s">
        <v>470</v>
      </c>
      <c r="DM17" s="1316" t="s">
        <v>447</v>
      </c>
      <c r="DN17" s="1316" t="s">
        <v>447</v>
      </c>
      <c r="DO17" s="1316" t="s">
        <v>547</v>
      </c>
      <c r="DP17" s="1353">
        <v>68343971</v>
      </c>
      <c r="DQ17" s="1669">
        <f t="shared" si="25"/>
        <v>68343.971000000005</v>
      </c>
      <c r="DS17" s="1678" t="s">
        <v>444</v>
      </c>
      <c r="DT17" s="1679" t="s">
        <v>1052</v>
      </c>
      <c r="DU17" s="1679" t="s">
        <v>471</v>
      </c>
      <c r="DV17" s="1679" t="s">
        <v>279</v>
      </c>
      <c r="DW17" s="1680">
        <v>0</v>
      </c>
      <c r="DX17" s="1680">
        <v>1950014</v>
      </c>
      <c r="DY17" s="1680">
        <v>1950014</v>
      </c>
      <c r="DZ17" s="1669">
        <f t="shared" si="26"/>
        <v>0</v>
      </c>
      <c r="EA17" s="1669">
        <f t="shared" si="27"/>
        <v>1950.0139999999999</v>
      </c>
      <c r="EB17" s="1669">
        <f t="shared" si="28"/>
        <v>1950.0139999999999</v>
      </c>
      <c r="ED17" s="1316" t="s">
        <v>448</v>
      </c>
      <c r="EE17" s="1316" t="s">
        <v>469</v>
      </c>
      <c r="EF17" s="1316" t="s">
        <v>447</v>
      </c>
      <c r="EG17" s="1316" t="s">
        <v>447</v>
      </c>
      <c r="EH17" s="1353">
        <v>3017840079</v>
      </c>
      <c r="EI17" s="1669">
        <f t="shared" si="31"/>
        <v>3017840.0789999999</v>
      </c>
      <c r="EK17" s="1316" t="s">
        <v>444</v>
      </c>
      <c r="EL17" s="1316" t="s">
        <v>1052</v>
      </c>
      <c r="EM17" s="1316" t="s">
        <v>474</v>
      </c>
      <c r="EN17" s="1316" t="s">
        <v>276</v>
      </c>
      <c r="EO17" s="1353">
        <v>0</v>
      </c>
      <c r="EP17" s="1353">
        <v>1541757668</v>
      </c>
      <c r="EQ17" s="1353">
        <v>1433582476</v>
      </c>
      <c r="ER17" s="1669">
        <f t="shared" si="32"/>
        <v>0</v>
      </c>
      <c r="ES17" s="1669">
        <f t="shared" si="33"/>
        <v>1541757.6680000001</v>
      </c>
      <c r="ET17" s="1669">
        <f t="shared" si="34"/>
        <v>1433582.476</v>
      </c>
      <c r="FD17" s="1314" t="s">
        <v>444</v>
      </c>
      <c r="FE17" s="1314" t="s">
        <v>1052</v>
      </c>
      <c r="FF17" s="1314" t="s">
        <v>445</v>
      </c>
      <c r="FG17" s="1314" t="s">
        <v>277</v>
      </c>
      <c r="FH17" s="244">
        <v>0</v>
      </c>
      <c r="FI17" s="244">
        <v>226962821</v>
      </c>
      <c r="FJ17" s="244">
        <v>146287306</v>
      </c>
      <c r="FK17" s="1676">
        <f t="shared" si="36"/>
        <v>0</v>
      </c>
      <c r="FL17" s="1676">
        <f t="shared" si="37"/>
        <v>226962.821</v>
      </c>
      <c r="FM17" s="1676">
        <f t="shared" si="38"/>
        <v>146287.30600000001</v>
      </c>
    </row>
    <row r="18" spans="1:169" ht="15" x14ac:dyDescent="0.3">
      <c r="A18" s="1316" t="s">
        <v>947</v>
      </c>
      <c r="B18" s="1316" t="s">
        <v>948</v>
      </c>
      <c r="C18" s="1316" t="s">
        <v>447</v>
      </c>
      <c r="D18" s="1316" t="s">
        <v>447</v>
      </c>
      <c r="E18" s="1316" t="s">
        <v>547</v>
      </c>
      <c r="F18" s="1668">
        <v>26521300000</v>
      </c>
      <c r="G18" s="1668">
        <v>0</v>
      </c>
      <c r="H18" s="1668">
        <v>0</v>
      </c>
      <c r="I18" s="1668">
        <f t="shared" si="0"/>
        <v>26521300</v>
      </c>
      <c r="J18" s="1668">
        <f t="shared" si="1"/>
        <v>0</v>
      </c>
      <c r="K18" s="1668">
        <f t="shared" si="2"/>
        <v>0</v>
      </c>
      <c r="N18" s="1314" t="s">
        <v>963</v>
      </c>
      <c r="O18" s="1314" t="s">
        <v>964</v>
      </c>
      <c r="P18" s="1314" t="s">
        <v>447</v>
      </c>
      <c r="Q18" s="1314" t="s">
        <v>447</v>
      </c>
      <c r="R18" s="1353">
        <v>0</v>
      </c>
      <c r="S18" s="1353">
        <v>3764283001</v>
      </c>
      <c r="T18" s="1353">
        <v>2136997216</v>
      </c>
      <c r="U18" s="1669">
        <f t="shared" si="3"/>
        <v>0</v>
      </c>
      <c r="V18" s="1669">
        <f t="shared" si="4"/>
        <v>3764283.0010000002</v>
      </c>
      <c r="W18" s="1669">
        <f t="shared" si="5"/>
        <v>2136997.216</v>
      </c>
      <c r="Y18" s="1314" t="s">
        <v>544</v>
      </c>
      <c r="Z18" s="1316" t="s">
        <v>545</v>
      </c>
      <c r="AA18" s="1316" t="s">
        <v>447</v>
      </c>
      <c r="AB18" s="1316" t="s">
        <v>447</v>
      </c>
      <c r="AC18" s="1353">
        <v>10000</v>
      </c>
      <c r="AD18" s="1353">
        <v>0</v>
      </c>
      <c r="AE18" s="1353">
        <v>0</v>
      </c>
      <c r="AF18" s="1353">
        <f t="shared" si="6"/>
        <v>10</v>
      </c>
      <c r="AG18" s="1353">
        <f t="shared" si="7"/>
        <v>0</v>
      </c>
      <c r="AH18" s="1353">
        <f t="shared" si="8"/>
        <v>0</v>
      </c>
      <c r="AJ18" s="1670" t="s">
        <v>452</v>
      </c>
      <c r="AK18" s="1671" t="s">
        <v>128</v>
      </c>
      <c r="AL18" s="1671" t="s">
        <v>447</v>
      </c>
      <c r="AM18" s="1671" t="s">
        <v>447</v>
      </c>
      <c r="AN18" s="1672">
        <v>0</v>
      </c>
      <c r="AO18" s="1353">
        <f t="shared" si="9"/>
        <v>0</v>
      </c>
      <c r="AR18" s="1673" t="s">
        <v>444</v>
      </c>
      <c r="AS18" s="1673" t="s">
        <v>468</v>
      </c>
      <c r="AT18" s="1673" t="s">
        <v>472</v>
      </c>
      <c r="AU18" s="1674" t="s">
        <v>473</v>
      </c>
      <c r="AV18" s="1675">
        <v>0</v>
      </c>
      <c r="AW18" s="1675">
        <v>23034206</v>
      </c>
      <c r="AX18" s="1675">
        <v>838747</v>
      </c>
      <c r="AY18" s="1669">
        <f t="shared" si="10"/>
        <v>0</v>
      </c>
      <c r="AZ18" s="1669">
        <f t="shared" si="11"/>
        <v>23034.205999999998</v>
      </c>
      <c r="BA18" s="1669">
        <f t="shared" si="12"/>
        <v>838.74699999999996</v>
      </c>
      <c r="BK18" s="1316" t="s">
        <v>444</v>
      </c>
      <c r="BL18" s="1316" t="s">
        <v>468</v>
      </c>
      <c r="BM18" s="1316" t="s">
        <v>472</v>
      </c>
      <c r="BN18" s="1316" t="s">
        <v>473</v>
      </c>
      <c r="BO18" s="1353">
        <v>0</v>
      </c>
      <c r="BP18" s="1353">
        <v>23034206</v>
      </c>
      <c r="BQ18" s="1353">
        <v>838747</v>
      </c>
      <c r="BR18" s="1676">
        <f t="shared" si="14"/>
        <v>0</v>
      </c>
      <c r="BS18" s="1676">
        <f t="shared" si="15"/>
        <v>23034.205999999998</v>
      </c>
      <c r="BT18" s="1676">
        <f t="shared" si="16"/>
        <v>838.74699999999996</v>
      </c>
      <c r="BW18" s="1316" t="s">
        <v>955</v>
      </c>
      <c r="BX18" s="1316" t="s">
        <v>956</v>
      </c>
      <c r="BY18" s="1316" t="s">
        <v>447</v>
      </c>
      <c r="BZ18" s="1316" t="s">
        <v>447</v>
      </c>
      <c r="CA18" s="1676">
        <v>331500000</v>
      </c>
      <c r="CB18" s="1669">
        <f t="shared" si="17"/>
        <v>331500</v>
      </c>
      <c r="CE18" s="1316" t="s">
        <v>444</v>
      </c>
      <c r="CF18" s="1316" t="s">
        <v>468</v>
      </c>
      <c r="CG18" s="1316" t="s">
        <v>471</v>
      </c>
      <c r="CH18" s="1316" t="s">
        <v>279</v>
      </c>
      <c r="CI18" s="1677">
        <v>0</v>
      </c>
      <c r="CJ18" s="1677">
        <v>1950014</v>
      </c>
      <c r="CK18" s="1677">
        <v>1950014</v>
      </c>
      <c r="CL18" s="1676">
        <f t="shared" si="18"/>
        <v>0</v>
      </c>
      <c r="CM18" s="1676">
        <f t="shared" si="19"/>
        <v>1950.0139999999999</v>
      </c>
      <c r="CN18" s="1676">
        <f t="shared" si="20"/>
        <v>1950.0139999999999</v>
      </c>
      <c r="CY18" s="1316" t="s">
        <v>444</v>
      </c>
      <c r="CZ18" s="1316" t="s">
        <v>468</v>
      </c>
      <c r="DA18" s="1316" t="s">
        <v>471</v>
      </c>
      <c r="DB18" s="1316" t="s">
        <v>279</v>
      </c>
      <c r="DC18" s="1677">
        <v>0</v>
      </c>
      <c r="DD18" s="1677">
        <v>1950014</v>
      </c>
      <c r="DE18" s="1677">
        <v>1950014</v>
      </c>
      <c r="DF18" s="1669">
        <f t="shared" si="22"/>
        <v>0</v>
      </c>
      <c r="DG18" s="1669">
        <f t="shared" si="23"/>
        <v>1950.0139999999999</v>
      </c>
      <c r="DH18" s="1669">
        <f t="shared" si="24"/>
        <v>1950.0139999999999</v>
      </c>
      <c r="DQ18" s="1681">
        <f>SUM(DQ3:DQ17)</f>
        <v>45609995.249999993</v>
      </c>
      <c r="DS18" s="1678" t="s">
        <v>444</v>
      </c>
      <c r="DT18" s="1679" t="s">
        <v>1052</v>
      </c>
      <c r="DU18" s="1679" t="s">
        <v>445</v>
      </c>
      <c r="DV18" s="1679" t="s">
        <v>277</v>
      </c>
      <c r="DW18" s="1680">
        <v>0</v>
      </c>
      <c r="DX18" s="1680">
        <v>226962821</v>
      </c>
      <c r="DY18" s="1680">
        <v>114461299</v>
      </c>
      <c r="DZ18" s="1669">
        <f t="shared" si="26"/>
        <v>0</v>
      </c>
      <c r="EA18" s="1669">
        <f t="shared" si="27"/>
        <v>226962.821</v>
      </c>
      <c r="EB18" s="1669">
        <f t="shared" si="28"/>
        <v>114461.299</v>
      </c>
      <c r="ED18" s="1316" t="s">
        <v>451</v>
      </c>
      <c r="EE18" s="1316" t="s">
        <v>470</v>
      </c>
      <c r="EF18" s="1316" t="s">
        <v>447</v>
      </c>
      <c r="EG18" s="1316" t="s">
        <v>447</v>
      </c>
      <c r="EH18" s="1353">
        <v>8630190</v>
      </c>
      <c r="EI18" s="1669">
        <f t="shared" si="31"/>
        <v>8630.19</v>
      </c>
      <c r="EK18" s="1316" t="s">
        <v>444</v>
      </c>
      <c r="EL18" s="1316" t="s">
        <v>1052</v>
      </c>
      <c r="EM18" s="1316" t="s">
        <v>471</v>
      </c>
      <c r="EN18" s="1316" t="s">
        <v>279</v>
      </c>
      <c r="EO18" s="1353">
        <v>0</v>
      </c>
      <c r="EP18" s="1353">
        <v>1950014</v>
      </c>
      <c r="EQ18" s="1353">
        <v>1950014</v>
      </c>
      <c r="ER18" s="1669">
        <f t="shared" si="32"/>
        <v>0</v>
      </c>
      <c r="ES18" s="1669">
        <f t="shared" si="33"/>
        <v>1950.0139999999999</v>
      </c>
      <c r="ET18" s="1669">
        <f t="shared" si="34"/>
        <v>1950.0139999999999</v>
      </c>
      <c r="FD18" s="1314" t="s">
        <v>444</v>
      </c>
      <c r="FE18" s="1314" t="s">
        <v>1052</v>
      </c>
      <c r="FF18" s="1314" t="s">
        <v>474</v>
      </c>
      <c r="FG18" s="1314" t="s">
        <v>276</v>
      </c>
      <c r="FH18" s="244">
        <v>0</v>
      </c>
      <c r="FI18" s="244">
        <v>1475807668</v>
      </c>
      <c r="FJ18" s="244">
        <v>1440082476</v>
      </c>
      <c r="FK18" s="1676">
        <f t="shared" si="36"/>
        <v>0</v>
      </c>
      <c r="FL18" s="1676">
        <f t="shared" si="37"/>
        <v>1475807.6680000001</v>
      </c>
      <c r="FM18" s="1676">
        <f t="shared" si="38"/>
        <v>1440082.476</v>
      </c>
    </row>
    <row r="19" spans="1:169" ht="15" x14ac:dyDescent="0.3">
      <c r="A19" s="1316" t="s">
        <v>947</v>
      </c>
      <c r="B19" s="1316" t="s">
        <v>948</v>
      </c>
      <c r="C19" s="1316" t="s">
        <v>447</v>
      </c>
      <c r="D19" s="1316" t="s">
        <v>447</v>
      </c>
      <c r="E19" s="1316" t="s">
        <v>547</v>
      </c>
      <c r="F19" s="1668">
        <v>0</v>
      </c>
      <c r="G19" s="1668">
        <v>904988624</v>
      </c>
      <c r="H19" s="1668">
        <v>343835128</v>
      </c>
      <c r="I19" s="1668">
        <f t="shared" si="0"/>
        <v>0</v>
      </c>
      <c r="J19" s="1668">
        <f t="shared" si="1"/>
        <v>904988.62399999995</v>
      </c>
      <c r="K19" s="1668">
        <f t="shared" si="2"/>
        <v>343835.12800000003</v>
      </c>
      <c r="N19" s="1314" t="s">
        <v>965</v>
      </c>
      <c r="O19" s="1314" t="s">
        <v>966</v>
      </c>
      <c r="P19" s="1314" t="s">
        <v>447</v>
      </c>
      <c r="Q19" s="1314" t="s">
        <v>447</v>
      </c>
      <c r="R19" s="1353">
        <v>0</v>
      </c>
      <c r="S19" s="1353">
        <v>93732000</v>
      </c>
      <c r="T19" s="1353">
        <v>0</v>
      </c>
      <c r="U19" s="1669">
        <f t="shared" si="3"/>
        <v>0</v>
      </c>
      <c r="V19" s="1669">
        <f t="shared" si="4"/>
        <v>93732</v>
      </c>
      <c r="W19" s="1669">
        <f t="shared" si="5"/>
        <v>0</v>
      </c>
      <c r="Y19" s="1314" t="s">
        <v>450</v>
      </c>
      <c r="Z19" s="1316" t="s">
        <v>142</v>
      </c>
      <c r="AA19" s="1316" t="s">
        <v>447</v>
      </c>
      <c r="AB19" s="1316" t="s">
        <v>447</v>
      </c>
      <c r="AC19" s="1353">
        <v>5667935000</v>
      </c>
      <c r="AD19" s="1353">
        <v>0</v>
      </c>
      <c r="AE19" s="1353">
        <v>0</v>
      </c>
      <c r="AF19" s="1353">
        <f t="shared" si="6"/>
        <v>5667935</v>
      </c>
      <c r="AG19" s="1353">
        <f t="shared" si="7"/>
        <v>0</v>
      </c>
      <c r="AH19" s="1353">
        <f t="shared" si="8"/>
        <v>0</v>
      </c>
      <c r="AK19" s="1682"/>
      <c r="AL19" s="1682"/>
      <c r="AM19" s="1682"/>
      <c r="AO19" s="1683"/>
      <c r="AR19" s="1673" t="s">
        <v>544</v>
      </c>
      <c r="AS19" s="1673" t="s">
        <v>545</v>
      </c>
      <c r="AT19" s="1673" t="s">
        <v>447</v>
      </c>
      <c r="AU19" s="1674" t="s">
        <v>447</v>
      </c>
      <c r="AV19" s="1675">
        <v>10000</v>
      </c>
      <c r="AW19" s="1675">
        <v>0</v>
      </c>
      <c r="AX19" s="1675">
        <v>0</v>
      </c>
      <c r="AY19" s="1669">
        <f t="shared" si="10"/>
        <v>10</v>
      </c>
      <c r="AZ19" s="1669">
        <f t="shared" si="11"/>
        <v>0</v>
      </c>
      <c r="BA19" s="1669">
        <f t="shared" si="12"/>
        <v>0</v>
      </c>
      <c r="BK19" s="1316" t="s">
        <v>444</v>
      </c>
      <c r="BL19" s="1316" t="s">
        <v>468</v>
      </c>
      <c r="BM19" s="1316" t="s">
        <v>445</v>
      </c>
      <c r="BN19" s="1316" t="s">
        <v>277</v>
      </c>
      <c r="BO19" s="1353">
        <v>0</v>
      </c>
      <c r="BP19" s="1353">
        <v>202905603</v>
      </c>
      <c r="BQ19" s="1353">
        <v>66535843</v>
      </c>
      <c r="BR19" s="1676">
        <f t="shared" si="14"/>
        <v>0</v>
      </c>
      <c r="BS19" s="1676">
        <f t="shared" si="15"/>
        <v>202905.603</v>
      </c>
      <c r="BT19" s="1676">
        <f t="shared" si="16"/>
        <v>66535.842999999993</v>
      </c>
      <c r="BW19" s="1316" t="s">
        <v>957</v>
      </c>
      <c r="BX19" s="1316" t="s">
        <v>958</v>
      </c>
      <c r="BY19" s="1316" t="s">
        <v>447</v>
      </c>
      <c r="BZ19" s="1316" t="s">
        <v>447</v>
      </c>
      <c r="CA19" s="1676">
        <v>386317257</v>
      </c>
      <c r="CB19" s="1669">
        <f t="shared" si="17"/>
        <v>386317.25699999998</v>
      </c>
      <c r="CE19" s="1316" t="s">
        <v>444</v>
      </c>
      <c r="CF19" s="1316" t="s">
        <v>468</v>
      </c>
      <c r="CG19" s="1316" t="s">
        <v>474</v>
      </c>
      <c r="CH19" s="1316" t="s">
        <v>276</v>
      </c>
      <c r="CI19" s="1677">
        <v>0</v>
      </c>
      <c r="CJ19" s="1677">
        <v>947677463</v>
      </c>
      <c r="CK19" s="1677">
        <v>885577463</v>
      </c>
      <c r="CL19" s="1676">
        <f t="shared" si="18"/>
        <v>0</v>
      </c>
      <c r="CM19" s="1676">
        <f t="shared" si="19"/>
        <v>947677.46299999999</v>
      </c>
      <c r="CN19" s="1676">
        <f t="shared" si="20"/>
        <v>885577.46299999999</v>
      </c>
      <c r="CV19" s="1684">
        <f>+CV16-'Prog 03'!AC11</f>
        <v>0</v>
      </c>
      <c r="CY19" s="1316" t="s">
        <v>444</v>
      </c>
      <c r="CZ19" s="1316" t="s">
        <v>468</v>
      </c>
      <c r="DA19" s="1316" t="s">
        <v>472</v>
      </c>
      <c r="DB19" s="1316" t="s">
        <v>473</v>
      </c>
      <c r="DC19" s="1677">
        <v>0</v>
      </c>
      <c r="DD19" s="1677">
        <v>106517513</v>
      </c>
      <c r="DE19" s="1677">
        <v>14243338</v>
      </c>
      <c r="DF19" s="1669">
        <f t="shared" si="22"/>
        <v>0</v>
      </c>
      <c r="DG19" s="1669">
        <f t="shared" si="23"/>
        <v>106517.51300000001</v>
      </c>
      <c r="DH19" s="1669">
        <f t="shared" si="24"/>
        <v>14243.338</v>
      </c>
      <c r="DS19" s="1678" t="s">
        <v>444</v>
      </c>
      <c r="DT19" s="1679" t="s">
        <v>1052</v>
      </c>
      <c r="DU19" s="1679" t="s">
        <v>446</v>
      </c>
      <c r="DV19" s="1679" t="s">
        <v>322</v>
      </c>
      <c r="DW19" s="1680">
        <v>0</v>
      </c>
      <c r="DX19" s="1680">
        <v>2500000</v>
      </c>
      <c r="DY19" s="1680">
        <v>1006830</v>
      </c>
      <c r="DZ19" s="1669">
        <f t="shared" si="26"/>
        <v>0</v>
      </c>
      <c r="EA19" s="1669">
        <f t="shared" si="27"/>
        <v>2500</v>
      </c>
      <c r="EB19" s="1669">
        <f t="shared" si="28"/>
        <v>1006.83</v>
      </c>
      <c r="EI19" s="1681">
        <f>SUM(EI3:EI18)</f>
        <v>28635516.116</v>
      </c>
      <c r="EK19" s="1316" t="s">
        <v>444</v>
      </c>
      <c r="EL19" s="1316" t="s">
        <v>1052</v>
      </c>
      <c r="EM19" s="1316" t="s">
        <v>445</v>
      </c>
      <c r="EN19" s="1316" t="s">
        <v>277</v>
      </c>
      <c r="EO19" s="1353">
        <v>0</v>
      </c>
      <c r="EP19" s="1353">
        <v>226962821</v>
      </c>
      <c r="EQ19" s="1353">
        <v>130346120</v>
      </c>
      <c r="ER19" s="1669">
        <f t="shared" si="32"/>
        <v>0</v>
      </c>
      <c r="ES19" s="1669">
        <f t="shared" si="33"/>
        <v>226962.821</v>
      </c>
      <c r="ET19" s="1669">
        <f t="shared" si="34"/>
        <v>130346.12</v>
      </c>
      <c r="FD19" s="1314" t="s">
        <v>444</v>
      </c>
      <c r="FE19" s="1314" t="s">
        <v>1052</v>
      </c>
      <c r="FF19" s="1314" t="s">
        <v>471</v>
      </c>
      <c r="FG19" s="1314" t="s">
        <v>279</v>
      </c>
      <c r="FH19" s="244">
        <v>0</v>
      </c>
      <c r="FI19" s="244">
        <v>1950014</v>
      </c>
      <c r="FJ19" s="244">
        <v>1950014</v>
      </c>
      <c r="FK19" s="1676">
        <f t="shared" si="36"/>
        <v>0</v>
      </c>
      <c r="FL19" s="1676">
        <f t="shared" si="37"/>
        <v>1950.0139999999999</v>
      </c>
      <c r="FM19" s="1676">
        <f t="shared" si="38"/>
        <v>1950.0139999999999</v>
      </c>
    </row>
    <row r="20" spans="1:169" ht="15" x14ac:dyDescent="0.3">
      <c r="A20" s="1316" t="s">
        <v>949</v>
      </c>
      <c r="B20" s="1316" t="s">
        <v>950</v>
      </c>
      <c r="C20" s="1316" t="s">
        <v>447</v>
      </c>
      <c r="D20" s="1316" t="s">
        <v>447</v>
      </c>
      <c r="E20" s="1316" t="s">
        <v>547</v>
      </c>
      <c r="F20" s="1668">
        <v>16643266000</v>
      </c>
      <c r="G20" s="1668">
        <v>0</v>
      </c>
      <c r="H20" s="1668">
        <v>0</v>
      </c>
      <c r="I20" s="1668">
        <f t="shared" si="0"/>
        <v>16643266</v>
      </c>
      <c r="J20" s="1668">
        <f t="shared" si="1"/>
        <v>0</v>
      </c>
      <c r="K20" s="1668">
        <f t="shared" si="2"/>
        <v>0</v>
      </c>
      <c r="U20" s="1669">
        <f>+R20/$U$1*$V$1</f>
        <v>0</v>
      </c>
      <c r="V20" s="1669">
        <f>+S20/$U$1*$V$1</f>
        <v>0</v>
      </c>
      <c r="W20" s="1669">
        <f>SUM(W3:W19)</f>
        <v>66296129.201000005</v>
      </c>
      <c r="Y20" s="1314" t="s">
        <v>450</v>
      </c>
      <c r="Z20" s="1316" t="s">
        <v>142</v>
      </c>
      <c r="AA20" s="1316" t="s">
        <v>447</v>
      </c>
      <c r="AB20" s="1316" t="s">
        <v>447</v>
      </c>
      <c r="AC20" s="1353">
        <v>0</v>
      </c>
      <c r="AD20" s="1353">
        <v>322320961</v>
      </c>
      <c r="AE20" s="1353">
        <v>322320961</v>
      </c>
      <c r="AF20" s="1353">
        <f t="shared" si="6"/>
        <v>0</v>
      </c>
      <c r="AG20" s="1353">
        <f t="shared" si="7"/>
        <v>322320.96100000001</v>
      </c>
      <c r="AH20" s="1353">
        <f t="shared" si="8"/>
        <v>322320.96100000001</v>
      </c>
      <c r="AR20" s="1673" t="s">
        <v>450</v>
      </c>
      <c r="AS20" s="1673" t="s">
        <v>142</v>
      </c>
      <c r="AT20" s="1673" t="s">
        <v>447</v>
      </c>
      <c r="AU20" s="1674" t="s">
        <v>447</v>
      </c>
      <c r="AV20" s="1675">
        <v>5667935000</v>
      </c>
      <c r="AW20" s="1675">
        <v>0</v>
      </c>
      <c r="AX20" s="1675">
        <v>0</v>
      </c>
      <c r="AY20" s="1669">
        <f t="shared" si="10"/>
        <v>5667935</v>
      </c>
      <c r="AZ20" s="1669">
        <f t="shared" si="11"/>
        <v>0</v>
      </c>
      <c r="BA20" s="1669">
        <f t="shared" si="12"/>
        <v>0</v>
      </c>
      <c r="BK20" s="1316" t="s">
        <v>544</v>
      </c>
      <c r="BL20" s="1316" t="s">
        <v>545</v>
      </c>
      <c r="BM20" s="1316" t="s">
        <v>447</v>
      </c>
      <c r="BN20" s="1316" t="s">
        <v>447</v>
      </c>
      <c r="BO20" s="1353">
        <v>10000</v>
      </c>
      <c r="BP20" s="1353">
        <v>0</v>
      </c>
      <c r="BQ20" s="1353">
        <v>0</v>
      </c>
      <c r="BR20" s="1676">
        <f t="shared" si="14"/>
        <v>10</v>
      </c>
      <c r="BS20" s="1676">
        <f t="shared" si="15"/>
        <v>0</v>
      </c>
      <c r="BT20" s="1676">
        <f t="shared" si="16"/>
        <v>0</v>
      </c>
      <c r="BW20" s="1316" t="s">
        <v>959</v>
      </c>
      <c r="BX20" s="1316" t="s">
        <v>960</v>
      </c>
      <c r="BY20" s="1316" t="s">
        <v>447</v>
      </c>
      <c r="BZ20" s="1316" t="s">
        <v>447</v>
      </c>
      <c r="CA20" s="1676">
        <v>202363677</v>
      </c>
      <c r="CB20" s="1669">
        <f t="shared" si="17"/>
        <v>202363.677</v>
      </c>
      <c r="CE20" s="1316" t="s">
        <v>544</v>
      </c>
      <c r="CF20" s="1316" t="s">
        <v>545</v>
      </c>
      <c r="CG20" s="1316" t="s">
        <v>447</v>
      </c>
      <c r="CH20" s="1316" t="s">
        <v>447</v>
      </c>
      <c r="CI20" s="1677">
        <v>10000</v>
      </c>
      <c r="CJ20" s="1677">
        <v>0</v>
      </c>
      <c r="CK20" s="1677">
        <v>0</v>
      </c>
      <c r="CL20" s="1676">
        <f t="shared" si="18"/>
        <v>10</v>
      </c>
      <c r="CM20" s="1676">
        <f t="shared" si="19"/>
        <v>0</v>
      </c>
      <c r="CN20" s="1676">
        <f t="shared" si="20"/>
        <v>0</v>
      </c>
      <c r="CY20" s="1316" t="s">
        <v>544</v>
      </c>
      <c r="CZ20" s="1316" t="s">
        <v>545</v>
      </c>
      <c r="DA20" s="1316" t="s">
        <v>447</v>
      </c>
      <c r="DB20" s="1316" t="s">
        <v>447</v>
      </c>
      <c r="DC20" s="1677">
        <v>10000</v>
      </c>
      <c r="DD20" s="1677">
        <v>0</v>
      </c>
      <c r="DE20" s="1677">
        <v>0</v>
      </c>
      <c r="DF20" s="1669">
        <f t="shared" si="22"/>
        <v>10</v>
      </c>
      <c r="DG20" s="1669">
        <f t="shared" si="23"/>
        <v>0</v>
      </c>
      <c r="DH20" s="1669">
        <f t="shared" si="24"/>
        <v>0</v>
      </c>
      <c r="DS20" s="1678" t="s">
        <v>1050</v>
      </c>
      <c r="DT20" s="1679" t="s">
        <v>51</v>
      </c>
      <c r="DU20" s="1679" t="s">
        <v>447</v>
      </c>
      <c r="DV20" s="1679" t="s">
        <v>447</v>
      </c>
      <c r="DW20" s="1680">
        <v>10000</v>
      </c>
      <c r="DX20" s="1680">
        <v>0</v>
      </c>
      <c r="DY20" s="1680">
        <v>0</v>
      </c>
      <c r="DZ20" s="1669">
        <f t="shared" si="26"/>
        <v>10</v>
      </c>
      <c r="EA20" s="1669">
        <f t="shared" si="27"/>
        <v>0</v>
      </c>
      <c r="EB20" s="1669">
        <f t="shared" si="28"/>
        <v>0</v>
      </c>
      <c r="EK20" s="1316" t="s">
        <v>1050</v>
      </c>
      <c r="EL20" s="1316" t="s">
        <v>51</v>
      </c>
      <c r="EM20" s="1316" t="s">
        <v>447</v>
      </c>
      <c r="EN20" s="1316" t="s">
        <v>447</v>
      </c>
      <c r="EO20" s="1353">
        <v>10000</v>
      </c>
      <c r="EP20" s="1353">
        <v>0</v>
      </c>
      <c r="EQ20" s="1353">
        <v>0</v>
      </c>
      <c r="ER20" s="1669">
        <f t="shared" si="32"/>
        <v>10</v>
      </c>
      <c r="ES20" s="1669">
        <f t="shared" si="33"/>
        <v>0</v>
      </c>
      <c r="ET20" s="1669">
        <f t="shared" si="34"/>
        <v>0</v>
      </c>
      <c r="FD20" s="1314" t="s">
        <v>1050</v>
      </c>
      <c r="FE20" s="1314" t="s">
        <v>51</v>
      </c>
      <c r="FF20" s="1314" t="s">
        <v>447</v>
      </c>
      <c r="FG20" s="1314" t="s">
        <v>447</v>
      </c>
      <c r="FH20" s="244">
        <v>10000</v>
      </c>
      <c r="FI20" s="244">
        <v>0</v>
      </c>
      <c r="FJ20" s="244">
        <v>0</v>
      </c>
      <c r="FK20" s="1676">
        <f t="shared" si="36"/>
        <v>10</v>
      </c>
      <c r="FL20" s="1676">
        <f t="shared" si="37"/>
        <v>0</v>
      </c>
      <c r="FM20" s="1676">
        <f t="shared" si="38"/>
        <v>0</v>
      </c>
    </row>
    <row r="21" spans="1:169" ht="15" x14ac:dyDescent="0.3">
      <c r="A21" s="1316" t="s">
        <v>949</v>
      </c>
      <c r="B21" s="1316" t="s">
        <v>950</v>
      </c>
      <c r="C21" s="1316" t="s">
        <v>447</v>
      </c>
      <c r="D21" s="1316" t="s">
        <v>447</v>
      </c>
      <c r="E21" s="1316" t="s">
        <v>547</v>
      </c>
      <c r="F21" s="1668">
        <v>0</v>
      </c>
      <c r="G21" s="1668">
        <v>9611191441</v>
      </c>
      <c r="H21" s="1668">
        <v>4778120491</v>
      </c>
      <c r="I21" s="1668">
        <f t="shared" si="0"/>
        <v>0</v>
      </c>
      <c r="J21" s="1668">
        <f t="shared" si="1"/>
        <v>9611191.4409999996</v>
      </c>
      <c r="K21" s="1668">
        <f t="shared" si="2"/>
        <v>4778120.4910000004</v>
      </c>
      <c r="Y21" s="1314" t="s">
        <v>945</v>
      </c>
      <c r="Z21" s="1316" t="s">
        <v>946</v>
      </c>
      <c r="AA21" s="1316" t="s">
        <v>447</v>
      </c>
      <c r="AB21" s="1316" t="s">
        <v>447</v>
      </c>
      <c r="AC21" s="1353">
        <v>42112712000</v>
      </c>
      <c r="AD21" s="1353">
        <v>0</v>
      </c>
      <c r="AE21" s="1353">
        <v>0</v>
      </c>
      <c r="AF21" s="1353">
        <f t="shared" si="6"/>
        <v>42112712</v>
      </c>
      <c r="AG21" s="1353">
        <f t="shared" si="7"/>
        <v>0</v>
      </c>
      <c r="AH21" s="1353">
        <f t="shared" si="8"/>
        <v>0</v>
      </c>
      <c r="AO21" s="1684"/>
      <c r="AR21" s="1673" t="s">
        <v>450</v>
      </c>
      <c r="AS21" s="1673" t="s">
        <v>142</v>
      </c>
      <c r="AT21" s="1673" t="s">
        <v>447</v>
      </c>
      <c r="AU21" s="1674" t="s">
        <v>447</v>
      </c>
      <c r="AV21" s="1675">
        <v>0</v>
      </c>
      <c r="AW21" s="1675">
        <v>322320961</v>
      </c>
      <c r="AX21" s="1675">
        <v>322320961</v>
      </c>
      <c r="AY21" s="1669">
        <f t="shared" si="10"/>
        <v>0</v>
      </c>
      <c r="AZ21" s="1669">
        <f t="shared" si="11"/>
        <v>322320.96100000001</v>
      </c>
      <c r="BA21" s="1669">
        <f t="shared" si="12"/>
        <v>322320.96100000001</v>
      </c>
      <c r="BK21" s="1316" t="s">
        <v>450</v>
      </c>
      <c r="BL21" s="1316" t="s">
        <v>142</v>
      </c>
      <c r="BM21" s="1316" t="s">
        <v>447</v>
      </c>
      <c r="BN21" s="1316" t="s">
        <v>447</v>
      </c>
      <c r="BO21" s="1353">
        <v>5667935000</v>
      </c>
      <c r="BP21" s="1353">
        <v>0</v>
      </c>
      <c r="BQ21" s="1353">
        <v>0</v>
      </c>
      <c r="BR21" s="1676">
        <f t="shared" si="14"/>
        <v>5667935</v>
      </c>
      <c r="BS21" s="1676">
        <f t="shared" si="15"/>
        <v>0</v>
      </c>
      <c r="BT21" s="1676">
        <f t="shared" si="16"/>
        <v>0</v>
      </c>
      <c r="BW21" s="1316" t="s">
        <v>961</v>
      </c>
      <c r="BX21" s="1316" t="s">
        <v>962</v>
      </c>
      <c r="BY21" s="1316" t="s">
        <v>447</v>
      </c>
      <c r="BZ21" s="1316" t="s">
        <v>447</v>
      </c>
      <c r="CA21" s="1676">
        <v>0</v>
      </c>
      <c r="CB21" s="1669">
        <f t="shared" si="17"/>
        <v>0</v>
      </c>
      <c r="CE21" s="1316" t="s">
        <v>544</v>
      </c>
      <c r="CF21" s="1316" t="s">
        <v>545</v>
      </c>
      <c r="CG21" s="1316" t="s">
        <v>447</v>
      </c>
      <c r="CH21" s="1316" t="s">
        <v>447</v>
      </c>
      <c r="CI21" s="1677">
        <v>0</v>
      </c>
      <c r="CJ21" s="1677">
        <v>2977919825</v>
      </c>
      <c r="CK21" s="1677">
        <v>2977919825</v>
      </c>
      <c r="CL21" s="1676">
        <f t="shared" si="18"/>
        <v>0</v>
      </c>
      <c r="CM21" s="1676">
        <f t="shared" si="19"/>
        <v>2977919.8250000002</v>
      </c>
      <c r="CN21" s="1676">
        <f t="shared" si="20"/>
        <v>2977919.8250000002</v>
      </c>
      <c r="CY21" s="1316" t="s">
        <v>544</v>
      </c>
      <c r="CZ21" s="1316" t="s">
        <v>545</v>
      </c>
      <c r="DA21" s="1316" t="s">
        <v>447</v>
      </c>
      <c r="DB21" s="1316" t="s">
        <v>447</v>
      </c>
      <c r="DC21" s="1677">
        <v>0</v>
      </c>
      <c r="DD21" s="1677">
        <v>2977919825</v>
      </c>
      <c r="DE21" s="1677">
        <v>2977919825</v>
      </c>
      <c r="DF21" s="1669">
        <f t="shared" si="22"/>
        <v>0</v>
      </c>
      <c r="DG21" s="1669">
        <f t="shared" si="23"/>
        <v>2977919.8250000002</v>
      </c>
      <c r="DH21" s="1669">
        <f t="shared" si="24"/>
        <v>2977919.8250000002</v>
      </c>
      <c r="DS21" s="1678" t="s">
        <v>1050</v>
      </c>
      <c r="DT21" s="1679" t="s">
        <v>51</v>
      </c>
      <c r="DU21" s="1679" t="s">
        <v>447</v>
      </c>
      <c r="DV21" s="1679" t="s">
        <v>447</v>
      </c>
      <c r="DW21" s="1680">
        <v>0</v>
      </c>
      <c r="DX21" s="1680">
        <v>2977919825</v>
      </c>
      <c r="DY21" s="1680">
        <v>2977919825</v>
      </c>
      <c r="DZ21" s="1669">
        <f t="shared" si="26"/>
        <v>0</v>
      </c>
      <c r="EA21" s="1669">
        <f t="shared" si="27"/>
        <v>2977919.8250000002</v>
      </c>
      <c r="EB21" s="1669">
        <f t="shared" si="28"/>
        <v>2977919.8250000002</v>
      </c>
      <c r="EK21" s="1316" t="s">
        <v>1050</v>
      </c>
      <c r="EL21" s="1316" t="s">
        <v>51</v>
      </c>
      <c r="EM21" s="1316" t="s">
        <v>447</v>
      </c>
      <c r="EN21" s="1316" t="s">
        <v>447</v>
      </c>
      <c r="EO21" s="1353">
        <v>0</v>
      </c>
      <c r="EP21" s="1353">
        <v>2977919825</v>
      </c>
      <c r="EQ21" s="1353">
        <v>2977919825</v>
      </c>
      <c r="ER21" s="1669">
        <f t="shared" si="32"/>
        <v>0</v>
      </c>
      <c r="ES21" s="1669">
        <f t="shared" si="33"/>
        <v>2977919.8250000002</v>
      </c>
      <c r="ET21" s="1669">
        <f t="shared" si="34"/>
        <v>2977919.8250000002</v>
      </c>
      <c r="FD21" s="1314" t="s">
        <v>1050</v>
      </c>
      <c r="FE21" s="1314" t="s">
        <v>51</v>
      </c>
      <c r="FF21" s="1314" t="s">
        <v>447</v>
      </c>
      <c r="FG21" s="1314" t="s">
        <v>447</v>
      </c>
      <c r="FH21" s="244">
        <v>0</v>
      </c>
      <c r="FI21" s="244">
        <v>2977919825</v>
      </c>
      <c r="FJ21" s="244">
        <v>2977919825</v>
      </c>
      <c r="FK21" s="1676">
        <f t="shared" si="36"/>
        <v>0</v>
      </c>
      <c r="FL21" s="1676">
        <f t="shared" si="37"/>
        <v>2977919.8250000002</v>
      </c>
      <c r="FM21" s="1676">
        <f t="shared" si="38"/>
        <v>2977919.8250000002</v>
      </c>
    </row>
    <row r="22" spans="1:169" ht="15" x14ac:dyDescent="0.3">
      <c r="A22" s="1316" t="s">
        <v>951</v>
      </c>
      <c r="B22" s="1316" t="s">
        <v>952</v>
      </c>
      <c r="C22" s="1316" t="s">
        <v>447</v>
      </c>
      <c r="D22" s="1316" t="s">
        <v>447</v>
      </c>
      <c r="E22" s="1316" t="s">
        <v>547</v>
      </c>
      <c r="F22" s="1668">
        <v>5000000000</v>
      </c>
      <c r="G22" s="1668">
        <v>0</v>
      </c>
      <c r="H22" s="1668">
        <v>0</v>
      </c>
      <c r="I22" s="1668">
        <f t="shared" si="0"/>
        <v>5000000</v>
      </c>
      <c r="J22" s="1668">
        <f t="shared" si="1"/>
        <v>0</v>
      </c>
      <c r="K22" s="1668">
        <f t="shared" si="2"/>
        <v>0</v>
      </c>
      <c r="Y22" s="1314" t="s">
        <v>947</v>
      </c>
      <c r="Z22" s="1316" t="s">
        <v>948</v>
      </c>
      <c r="AA22" s="1316" t="s">
        <v>447</v>
      </c>
      <c r="AB22" s="1316" t="s">
        <v>447</v>
      </c>
      <c r="AC22" s="1353">
        <v>26521300000</v>
      </c>
      <c r="AD22" s="1353">
        <v>0</v>
      </c>
      <c r="AE22" s="1353">
        <v>0</v>
      </c>
      <c r="AF22" s="1353">
        <f t="shared" si="6"/>
        <v>26521300</v>
      </c>
      <c r="AG22" s="1353">
        <f t="shared" si="7"/>
        <v>0</v>
      </c>
      <c r="AH22" s="1353">
        <f t="shared" si="8"/>
        <v>0</v>
      </c>
      <c r="AR22" s="1673" t="s">
        <v>945</v>
      </c>
      <c r="AS22" s="1673" t="s">
        <v>946</v>
      </c>
      <c r="AT22" s="1673" t="s">
        <v>447</v>
      </c>
      <c r="AU22" s="1674" t="s">
        <v>447</v>
      </c>
      <c r="AV22" s="1675">
        <v>42112712000</v>
      </c>
      <c r="AW22" s="1675">
        <v>0</v>
      </c>
      <c r="AX22" s="1675">
        <v>0</v>
      </c>
      <c r="AY22" s="1669">
        <f t="shared" si="10"/>
        <v>42112712</v>
      </c>
      <c r="AZ22" s="1669">
        <f t="shared" si="11"/>
        <v>0</v>
      </c>
      <c r="BA22" s="1669">
        <f t="shared" si="12"/>
        <v>0</v>
      </c>
      <c r="BK22" s="1316" t="s">
        <v>450</v>
      </c>
      <c r="BL22" s="1316" t="s">
        <v>142</v>
      </c>
      <c r="BM22" s="1316" t="s">
        <v>447</v>
      </c>
      <c r="BN22" s="1316" t="s">
        <v>447</v>
      </c>
      <c r="BO22" s="1353">
        <v>0</v>
      </c>
      <c r="BP22" s="1353">
        <v>322320961</v>
      </c>
      <c r="BQ22" s="1353">
        <v>322320961</v>
      </c>
      <c r="BR22" s="1676">
        <f t="shared" si="14"/>
        <v>0</v>
      </c>
      <c r="BS22" s="1676">
        <f t="shared" si="15"/>
        <v>322320.96100000001</v>
      </c>
      <c r="BT22" s="1676">
        <f t="shared" si="16"/>
        <v>322320.96100000001</v>
      </c>
      <c r="BW22" s="1316" t="s">
        <v>963</v>
      </c>
      <c r="BX22" s="1316" t="s">
        <v>964</v>
      </c>
      <c r="BY22" s="1316" t="s">
        <v>447</v>
      </c>
      <c r="BZ22" s="1316" t="s">
        <v>447</v>
      </c>
      <c r="CA22" s="1676">
        <v>1213962767</v>
      </c>
      <c r="CB22" s="1669">
        <f t="shared" si="17"/>
        <v>1213962.767</v>
      </c>
      <c r="CE22" s="1316" t="s">
        <v>450</v>
      </c>
      <c r="CF22" s="1316" t="s">
        <v>142</v>
      </c>
      <c r="CG22" s="1316" t="s">
        <v>447</v>
      </c>
      <c r="CH22" s="1316" t="s">
        <v>447</v>
      </c>
      <c r="CI22" s="1677">
        <v>5667935000</v>
      </c>
      <c r="CJ22" s="1677">
        <v>0</v>
      </c>
      <c r="CK22" s="1677">
        <v>0</v>
      </c>
      <c r="CL22" s="1676">
        <f t="shared" si="18"/>
        <v>5667935</v>
      </c>
      <c r="CM22" s="1676">
        <f t="shared" si="19"/>
        <v>0</v>
      </c>
      <c r="CN22" s="1676">
        <f t="shared" si="20"/>
        <v>0</v>
      </c>
      <c r="CY22" s="1316" t="s">
        <v>450</v>
      </c>
      <c r="CZ22" s="1316" t="s">
        <v>142</v>
      </c>
      <c r="DA22" s="1316" t="s">
        <v>447</v>
      </c>
      <c r="DB22" s="1316" t="s">
        <v>447</v>
      </c>
      <c r="DC22" s="1677">
        <v>5667935000</v>
      </c>
      <c r="DD22" s="1677">
        <v>0</v>
      </c>
      <c r="DE22" s="1677">
        <v>0</v>
      </c>
      <c r="DF22" s="1669">
        <f t="shared" si="22"/>
        <v>5667935</v>
      </c>
      <c r="DG22" s="1669">
        <f t="shared" si="23"/>
        <v>0</v>
      </c>
      <c r="DH22" s="1669">
        <f t="shared" si="24"/>
        <v>0</v>
      </c>
      <c r="DS22" s="1678" t="s">
        <v>450</v>
      </c>
      <c r="DT22" s="1679" t="s">
        <v>142</v>
      </c>
      <c r="DU22" s="1679" t="s">
        <v>447</v>
      </c>
      <c r="DV22" s="1679" t="s">
        <v>447</v>
      </c>
      <c r="DW22" s="1680">
        <v>5667935000</v>
      </c>
      <c r="DX22" s="1680">
        <v>0</v>
      </c>
      <c r="DY22" s="1680">
        <v>0</v>
      </c>
      <c r="DZ22" s="1669">
        <f t="shared" si="26"/>
        <v>5667935</v>
      </c>
      <c r="EA22" s="1669">
        <f t="shared" si="27"/>
        <v>0</v>
      </c>
      <c r="EB22" s="1669">
        <f t="shared" si="28"/>
        <v>0</v>
      </c>
      <c r="EK22" s="1316" t="s">
        <v>450</v>
      </c>
      <c r="EL22" s="1316" t="s">
        <v>142</v>
      </c>
      <c r="EM22" s="1316" t="s">
        <v>447</v>
      </c>
      <c r="EN22" s="1316" t="s">
        <v>447</v>
      </c>
      <c r="EO22" s="1353">
        <v>5667935000</v>
      </c>
      <c r="EP22" s="1353">
        <v>0</v>
      </c>
      <c r="EQ22" s="1353">
        <v>0</v>
      </c>
      <c r="ER22" s="1669">
        <f t="shared" si="32"/>
        <v>5667935</v>
      </c>
      <c r="ES22" s="1669">
        <f t="shared" si="33"/>
        <v>0</v>
      </c>
      <c r="ET22" s="1669">
        <f t="shared" si="34"/>
        <v>0</v>
      </c>
      <c r="FD22" s="1314" t="s">
        <v>450</v>
      </c>
      <c r="FE22" s="1314" t="s">
        <v>142</v>
      </c>
      <c r="FF22" s="1314" t="s">
        <v>447</v>
      </c>
      <c r="FG22" s="1314" t="s">
        <v>447</v>
      </c>
      <c r="FH22" s="244">
        <v>5667935000</v>
      </c>
      <c r="FI22" s="244">
        <v>0</v>
      </c>
      <c r="FJ22" s="244">
        <v>0</v>
      </c>
      <c r="FK22" s="1676">
        <f t="shared" si="36"/>
        <v>5667935</v>
      </c>
      <c r="FL22" s="1676">
        <f t="shared" si="37"/>
        <v>0</v>
      </c>
      <c r="FM22" s="1676">
        <f t="shared" si="38"/>
        <v>0</v>
      </c>
    </row>
    <row r="23" spans="1:169" ht="15" x14ac:dyDescent="0.3">
      <c r="A23" s="1316" t="s">
        <v>953</v>
      </c>
      <c r="B23" s="1316" t="s">
        <v>954</v>
      </c>
      <c r="C23" s="1316" t="s">
        <v>447</v>
      </c>
      <c r="D23" s="1316" t="s">
        <v>447</v>
      </c>
      <c r="E23" s="1316" t="s">
        <v>547</v>
      </c>
      <c r="F23" s="1668">
        <v>5736407000</v>
      </c>
      <c r="G23" s="1668">
        <v>0</v>
      </c>
      <c r="H23" s="1668">
        <v>0</v>
      </c>
      <c r="I23" s="1668">
        <f t="shared" si="0"/>
        <v>5736407</v>
      </c>
      <c r="J23" s="1668">
        <f t="shared" si="1"/>
        <v>0</v>
      </c>
      <c r="K23" s="1668">
        <f t="shared" si="2"/>
        <v>0</v>
      </c>
      <c r="Y23" s="1314" t="s">
        <v>947</v>
      </c>
      <c r="Z23" s="1316" t="s">
        <v>948</v>
      </c>
      <c r="AA23" s="1316" t="s">
        <v>447</v>
      </c>
      <c r="AB23" s="1316" t="s">
        <v>447</v>
      </c>
      <c r="AC23" s="1353">
        <v>0</v>
      </c>
      <c r="AD23" s="1353">
        <v>4926432806</v>
      </c>
      <c r="AE23" s="1353">
        <v>3511043127</v>
      </c>
      <c r="AF23" s="1353">
        <f t="shared" si="6"/>
        <v>0</v>
      </c>
      <c r="AG23" s="1353">
        <f t="shared" si="7"/>
        <v>4926432.8059999999</v>
      </c>
      <c r="AH23" s="1353">
        <f t="shared" si="8"/>
        <v>3511043.1269999999</v>
      </c>
      <c r="AR23" s="1673" t="s">
        <v>947</v>
      </c>
      <c r="AS23" s="1673" t="s">
        <v>948</v>
      </c>
      <c r="AT23" s="1673" t="s">
        <v>447</v>
      </c>
      <c r="AU23" s="1674" t="s">
        <v>447</v>
      </c>
      <c r="AV23" s="1675">
        <v>26521300000</v>
      </c>
      <c r="AW23" s="1675">
        <v>0</v>
      </c>
      <c r="AX23" s="1675">
        <v>0</v>
      </c>
      <c r="AY23" s="1669">
        <f t="shared" si="10"/>
        <v>26521300</v>
      </c>
      <c r="AZ23" s="1669">
        <f t="shared" si="11"/>
        <v>0</v>
      </c>
      <c r="BA23" s="1669">
        <f t="shared" si="12"/>
        <v>0</v>
      </c>
      <c r="BK23" s="1316" t="s">
        <v>945</v>
      </c>
      <c r="BL23" s="1316" t="s">
        <v>946</v>
      </c>
      <c r="BM23" s="1316" t="s">
        <v>447</v>
      </c>
      <c r="BN23" s="1316" t="s">
        <v>447</v>
      </c>
      <c r="BO23" s="1353">
        <v>42112712000</v>
      </c>
      <c r="BP23" s="1353">
        <v>0</v>
      </c>
      <c r="BQ23" s="1353">
        <v>0</v>
      </c>
      <c r="BR23" s="1676">
        <f t="shared" si="14"/>
        <v>42112712</v>
      </c>
      <c r="BS23" s="1676">
        <f t="shared" si="15"/>
        <v>0</v>
      </c>
      <c r="BT23" s="1676">
        <f t="shared" si="16"/>
        <v>0</v>
      </c>
      <c r="BW23" s="1316" t="s">
        <v>965</v>
      </c>
      <c r="BX23" s="1316" t="s">
        <v>966</v>
      </c>
      <c r="BY23" s="1316" t="s">
        <v>447</v>
      </c>
      <c r="BZ23" s="1316" t="s">
        <v>447</v>
      </c>
      <c r="CA23" s="1676">
        <v>0</v>
      </c>
      <c r="CB23" s="1669">
        <f t="shared" si="17"/>
        <v>0</v>
      </c>
      <c r="CE23" s="1316" t="s">
        <v>450</v>
      </c>
      <c r="CF23" s="1316" t="s">
        <v>142</v>
      </c>
      <c r="CG23" s="1316" t="s">
        <v>447</v>
      </c>
      <c r="CH23" s="1316" t="s">
        <v>447</v>
      </c>
      <c r="CI23" s="1677">
        <v>0</v>
      </c>
      <c r="CJ23" s="1677">
        <v>322320961</v>
      </c>
      <c r="CK23" s="1677">
        <v>322320961</v>
      </c>
      <c r="CL23" s="1676">
        <f t="shared" si="18"/>
        <v>0</v>
      </c>
      <c r="CM23" s="1676">
        <f t="shared" si="19"/>
        <v>322320.96100000001</v>
      </c>
      <c r="CN23" s="1676">
        <f t="shared" si="20"/>
        <v>322320.96100000001</v>
      </c>
      <c r="CY23" s="1316" t="s">
        <v>450</v>
      </c>
      <c r="CZ23" s="1316" t="s">
        <v>142</v>
      </c>
      <c r="DA23" s="1316" t="s">
        <v>447</v>
      </c>
      <c r="DB23" s="1316" t="s">
        <v>447</v>
      </c>
      <c r="DC23" s="1677">
        <v>0</v>
      </c>
      <c r="DD23" s="1677">
        <v>322320961</v>
      </c>
      <c r="DE23" s="1677">
        <v>322320961</v>
      </c>
      <c r="DF23" s="1669">
        <f t="shared" si="22"/>
        <v>0</v>
      </c>
      <c r="DG23" s="1669">
        <f t="shared" si="23"/>
        <v>322320.96100000001</v>
      </c>
      <c r="DH23" s="1669">
        <f t="shared" si="24"/>
        <v>322320.96100000001</v>
      </c>
      <c r="DS23" s="1678" t="s">
        <v>450</v>
      </c>
      <c r="DT23" s="1679" t="s">
        <v>142</v>
      </c>
      <c r="DU23" s="1679" t="s">
        <v>447</v>
      </c>
      <c r="DV23" s="1679" t="s">
        <v>447</v>
      </c>
      <c r="DW23" s="1680">
        <v>0</v>
      </c>
      <c r="DX23" s="1680">
        <v>322320961</v>
      </c>
      <c r="DY23" s="1680">
        <v>322320961</v>
      </c>
      <c r="DZ23" s="1669">
        <f t="shared" si="26"/>
        <v>0</v>
      </c>
      <c r="EA23" s="1669">
        <f t="shared" si="27"/>
        <v>322320.96100000001</v>
      </c>
      <c r="EB23" s="1669">
        <f t="shared" si="28"/>
        <v>322320.96100000001</v>
      </c>
      <c r="EK23" s="1316" t="s">
        <v>450</v>
      </c>
      <c r="EL23" s="1316" t="s">
        <v>142</v>
      </c>
      <c r="EM23" s="1316" t="s">
        <v>447</v>
      </c>
      <c r="EN23" s="1316" t="s">
        <v>447</v>
      </c>
      <c r="EO23" s="1353">
        <v>0</v>
      </c>
      <c r="EP23" s="1353">
        <v>2527610101</v>
      </c>
      <c r="EQ23" s="1353">
        <v>2435895048</v>
      </c>
      <c r="ER23" s="1669">
        <f t="shared" si="32"/>
        <v>0</v>
      </c>
      <c r="ES23" s="1669">
        <f t="shared" si="33"/>
        <v>2527610.1009999998</v>
      </c>
      <c r="ET23" s="1669">
        <f t="shared" si="34"/>
        <v>2435895.048</v>
      </c>
      <c r="FD23" s="1314" t="s">
        <v>450</v>
      </c>
      <c r="FE23" s="1314" t="s">
        <v>142</v>
      </c>
      <c r="FF23" s="1314" t="s">
        <v>447</v>
      </c>
      <c r="FG23" s="1314" t="s">
        <v>447</v>
      </c>
      <c r="FH23" s="244">
        <v>0</v>
      </c>
      <c r="FI23" s="244">
        <v>2527610101</v>
      </c>
      <c r="FJ23" s="244">
        <v>2527610101</v>
      </c>
      <c r="FK23" s="1676">
        <f t="shared" si="36"/>
        <v>0</v>
      </c>
      <c r="FL23" s="1676">
        <f t="shared" si="37"/>
        <v>2527610.1009999998</v>
      </c>
      <c r="FM23" s="1676">
        <f t="shared" si="38"/>
        <v>2527610.1009999998</v>
      </c>
    </row>
    <row r="24" spans="1:169" ht="15" x14ac:dyDescent="0.3">
      <c r="A24" s="1316" t="s">
        <v>953</v>
      </c>
      <c r="B24" s="1316" t="s">
        <v>954</v>
      </c>
      <c r="C24" s="1316" t="s">
        <v>447</v>
      </c>
      <c r="D24" s="1316" t="s">
        <v>447</v>
      </c>
      <c r="E24" s="1316" t="s">
        <v>547</v>
      </c>
      <c r="F24" s="1668">
        <v>0</v>
      </c>
      <c r="G24" s="1668">
        <v>53816666</v>
      </c>
      <c r="H24" s="1668">
        <v>53816666</v>
      </c>
      <c r="I24" s="1668">
        <f t="shared" si="0"/>
        <v>0</v>
      </c>
      <c r="J24" s="1668">
        <f t="shared" si="1"/>
        <v>53816.665999999997</v>
      </c>
      <c r="K24" s="1668">
        <f t="shared" si="2"/>
        <v>53816.665999999997</v>
      </c>
      <c r="Y24" s="1314" t="s">
        <v>949</v>
      </c>
      <c r="Z24" s="1316" t="s">
        <v>950</v>
      </c>
      <c r="AA24" s="1316" t="s">
        <v>447</v>
      </c>
      <c r="AB24" s="1316" t="s">
        <v>447</v>
      </c>
      <c r="AC24" s="1353">
        <v>16643266000</v>
      </c>
      <c r="AD24" s="1353">
        <v>0</v>
      </c>
      <c r="AE24" s="1353">
        <v>0</v>
      </c>
      <c r="AF24" s="1353">
        <f t="shared" si="6"/>
        <v>16643266</v>
      </c>
      <c r="AG24" s="1353">
        <f t="shared" si="7"/>
        <v>0</v>
      </c>
      <c r="AH24" s="1353">
        <f t="shared" si="8"/>
        <v>0</v>
      </c>
      <c r="AR24" s="1673" t="s">
        <v>947</v>
      </c>
      <c r="AS24" s="1673" t="s">
        <v>948</v>
      </c>
      <c r="AT24" s="1673" t="s">
        <v>447</v>
      </c>
      <c r="AU24" s="1674" t="s">
        <v>447</v>
      </c>
      <c r="AV24" s="1675">
        <v>0</v>
      </c>
      <c r="AW24" s="1675">
        <v>7051380880</v>
      </c>
      <c r="AX24" s="1675">
        <v>6102580287</v>
      </c>
      <c r="AY24" s="1669">
        <f t="shared" si="10"/>
        <v>0</v>
      </c>
      <c r="AZ24" s="1669">
        <f t="shared" si="11"/>
        <v>7051380.8799999999</v>
      </c>
      <c r="BA24" s="1669">
        <f t="shared" si="12"/>
        <v>6102580.2869999995</v>
      </c>
      <c r="BK24" s="1316" t="s">
        <v>945</v>
      </c>
      <c r="BL24" s="1316" t="s">
        <v>946</v>
      </c>
      <c r="BM24" s="1316" t="s">
        <v>447</v>
      </c>
      <c r="BN24" s="1316" t="s">
        <v>447</v>
      </c>
      <c r="BO24" s="1353">
        <v>0</v>
      </c>
      <c r="BP24" s="1353">
        <v>70000000</v>
      </c>
      <c r="BQ24" s="1353">
        <v>0</v>
      </c>
      <c r="BR24" s="1676">
        <f t="shared" si="14"/>
        <v>0</v>
      </c>
      <c r="BS24" s="1676">
        <f t="shared" si="15"/>
        <v>70000</v>
      </c>
      <c r="BT24" s="1676">
        <f t="shared" si="16"/>
        <v>0</v>
      </c>
      <c r="BW24" s="1316" t="s">
        <v>451</v>
      </c>
      <c r="BX24" s="1316" t="s">
        <v>470</v>
      </c>
      <c r="BY24" s="1316" t="s">
        <v>447</v>
      </c>
      <c r="BZ24" s="1316" t="s">
        <v>447</v>
      </c>
      <c r="CA24" s="1676">
        <v>881728919</v>
      </c>
      <c r="CB24" s="1669">
        <f t="shared" si="17"/>
        <v>881728.91899999999</v>
      </c>
      <c r="CE24" s="1316" t="s">
        <v>945</v>
      </c>
      <c r="CF24" s="1316" t="s">
        <v>946</v>
      </c>
      <c r="CG24" s="1316" t="s">
        <v>447</v>
      </c>
      <c r="CH24" s="1316" t="s">
        <v>447</v>
      </c>
      <c r="CI24" s="1677">
        <v>42112712000</v>
      </c>
      <c r="CJ24" s="1677">
        <v>0</v>
      </c>
      <c r="CK24" s="1677">
        <v>0</v>
      </c>
      <c r="CL24" s="1676">
        <f t="shared" si="18"/>
        <v>42112712</v>
      </c>
      <c r="CM24" s="1676">
        <f t="shared" si="19"/>
        <v>0</v>
      </c>
      <c r="CN24" s="1676">
        <f t="shared" si="20"/>
        <v>0</v>
      </c>
      <c r="CY24" s="1316" t="s">
        <v>945</v>
      </c>
      <c r="CZ24" s="1316" t="s">
        <v>946</v>
      </c>
      <c r="DA24" s="1316" t="s">
        <v>447</v>
      </c>
      <c r="DB24" s="1316" t="s">
        <v>447</v>
      </c>
      <c r="DC24" s="1677">
        <v>42112712000</v>
      </c>
      <c r="DD24" s="1677">
        <v>0</v>
      </c>
      <c r="DE24" s="1677">
        <v>0</v>
      </c>
      <c r="DF24" s="1669">
        <f t="shared" si="22"/>
        <v>42112712</v>
      </c>
      <c r="DG24" s="1669">
        <f t="shared" si="23"/>
        <v>0</v>
      </c>
      <c r="DH24" s="1669">
        <f t="shared" si="24"/>
        <v>0</v>
      </c>
      <c r="DS24" s="1678" t="s">
        <v>945</v>
      </c>
      <c r="DT24" s="1679" t="s">
        <v>946</v>
      </c>
      <c r="DU24" s="1679" t="s">
        <v>447</v>
      </c>
      <c r="DV24" s="1679" t="s">
        <v>447</v>
      </c>
      <c r="DW24" s="1680">
        <v>42112712000</v>
      </c>
      <c r="DX24" s="1680">
        <v>0</v>
      </c>
      <c r="DY24" s="1680">
        <v>0</v>
      </c>
      <c r="DZ24" s="1669">
        <f t="shared" si="26"/>
        <v>42112712</v>
      </c>
      <c r="EA24" s="1669">
        <f t="shared" si="27"/>
        <v>0</v>
      </c>
      <c r="EB24" s="1669">
        <f t="shared" si="28"/>
        <v>0</v>
      </c>
      <c r="EK24" s="1316" t="s">
        <v>945</v>
      </c>
      <c r="EL24" s="1316" t="s">
        <v>946</v>
      </c>
      <c r="EM24" s="1316" t="s">
        <v>447</v>
      </c>
      <c r="EN24" s="1316" t="s">
        <v>447</v>
      </c>
      <c r="EO24" s="1353">
        <v>42112712000</v>
      </c>
      <c r="EP24" s="1353">
        <v>0</v>
      </c>
      <c r="EQ24" s="1353">
        <v>0</v>
      </c>
      <c r="ER24" s="1669">
        <f t="shared" si="32"/>
        <v>42112712</v>
      </c>
      <c r="ES24" s="1669">
        <f t="shared" si="33"/>
        <v>0</v>
      </c>
      <c r="ET24" s="1669">
        <f t="shared" si="34"/>
        <v>0</v>
      </c>
      <c r="FD24" s="1314" t="s">
        <v>945</v>
      </c>
      <c r="FE24" s="1314" t="s">
        <v>946</v>
      </c>
      <c r="FF24" s="1314" t="s">
        <v>447</v>
      </c>
      <c r="FG24" s="1314" t="s">
        <v>447</v>
      </c>
      <c r="FH24" s="244">
        <v>42112712000</v>
      </c>
      <c r="FI24" s="244">
        <v>0</v>
      </c>
      <c r="FJ24" s="244">
        <v>0</v>
      </c>
      <c r="FK24" s="1676">
        <f t="shared" si="36"/>
        <v>42112712</v>
      </c>
      <c r="FL24" s="1676">
        <f t="shared" si="37"/>
        <v>0</v>
      </c>
      <c r="FM24" s="1676">
        <f t="shared" si="38"/>
        <v>0</v>
      </c>
    </row>
    <row r="25" spans="1:169" ht="15" x14ac:dyDescent="0.3">
      <c r="A25" s="1316" t="s">
        <v>955</v>
      </c>
      <c r="B25" s="1316" t="s">
        <v>956</v>
      </c>
      <c r="C25" s="1316" t="s">
        <v>447</v>
      </c>
      <c r="D25" s="1316" t="s">
        <v>447</v>
      </c>
      <c r="E25" s="1316" t="s">
        <v>547</v>
      </c>
      <c r="F25" s="1668">
        <v>7925135000</v>
      </c>
      <c r="G25" s="1668">
        <v>0</v>
      </c>
      <c r="H25" s="1668">
        <v>0</v>
      </c>
      <c r="I25" s="1668">
        <f t="shared" si="0"/>
        <v>7925135</v>
      </c>
      <c r="J25" s="1668">
        <f t="shared" si="1"/>
        <v>0</v>
      </c>
      <c r="K25" s="1668">
        <f t="shared" si="2"/>
        <v>0</v>
      </c>
      <c r="Y25" s="1314" t="s">
        <v>949</v>
      </c>
      <c r="Z25" s="1316" t="s">
        <v>950</v>
      </c>
      <c r="AA25" s="1316" t="s">
        <v>447</v>
      </c>
      <c r="AB25" s="1316" t="s">
        <v>447</v>
      </c>
      <c r="AC25" s="1353">
        <v>0</v>
      </c>
      <c r="AD25" s="1353">
        <v>9611191441</v>
      </c>
      <c r="AE25" s="1353">
        <v>4809030147</v>
      </c>
      <c r="AF25" s="1353">
        <f t="shared" si="6"/>
        <v>0</v>
      </c>
      <c r="AG25" s="1353">
        <f t="shared" si="7"/>
        <v>9611191.4409999996</v>
      </c>
      <c r="AH25" s="1353">
        <f t="shared" si="8"/>
        <v>4809030.1469999999</v>
      </c>
      <c r="AR25" s="1673" t="s">
        <v>949</v>
      </c>
      <c r="AS25" s="1673" t="s">
        <v>950</v>
      </c>
      <c r="AT25" s="1673" t="s">
        <v>447</v>
      </c>
      <c r="AU25" s="1674" t="s">
        <v>447</v>
      </c>
      <c r="AV25" s="1675">
        <v>16643266000</v>
      </c>
      <c r="AW25" s="1675">
        <v>0</v>
      </c>
      <c r="AX25" s="1675">
        <v>0</v>
      </c>
      <c r="AY25" s="1669">
        <f t="shared" si="10"/>
        <v>16643266</v>
      </c>
      <c r="AZ25" s="1669">
        <f t="shared" si="11"/>
        <v>0</v>
      </c>
      <c r="BA25" s="1669">
        <f t="shared" si="12"/>
        <v>0</v>
      </c>
      <c r="BK25" s="1316" t="s">
        <v>947</v>
      </c>
      <c r="BL25" s="1316" t="s">
        <v>948</v>
      </c>
      <c r="BM25" s="1316" t="s">
        <v>447</v>
      </c>
      <c r="BN25" s="1316" t="s">
        <v>447</v>
      </c>
      <c r="BO25" s="1353">
        <v>26521300000</v>
      </c>
      <c r="BP25" s="1353">
        <v>0</v>
      </c>
      <c r="BQ25" s="1353">
        <v>0</v>
      </c>
      <c r="BR25" s="1676">
        <f t="shared" si="14"/>
        <v>26521300</v>
      </c>
      <c r="BS25" s="1676">
        <f t="shared" si="15"/>
        <v>0</v>
      </c>
      <c r="BT25" s="1676">
        <f t="shared" si="16"/>
        <v>0</v>
      </c>
      <c r="BW25" s="1316" t="s">
        <v>1032</v>
      </c>
      <c r="BX25" s="1316" t="s">
        <v>1033</v>
      </c>
      <c r="BY25" s="1316" t="s">
        <v>447</v>
      </c>
      <c r="BZ25" s="1316" t="s">
        <v>447</v>
      </c>
      <c r="CA25" s="1676">
        <v>0</v>
      </c>
      <c r="CB25" s="1669">
        <f t="shared" si="17"/>
        <v>0</v>
      </c>
      <c r="CE25" s="1316" t="s">
        <v>945</v>
      </c>
      <c r="CF25" s="1316" t="s">
        <v>946</v>
      </c>
      <c r="CG25" s="1316" t="s">
        <v>447</v>
      </c>
      <c r="CH25" s="1316" t="s">
        <v>447</v>
      </c>
      <c r="CI25" s="1677">
        <v>0</v>
      </c>
      <c r="CJ25" s="1677">
        <v>407480750</v>
      </c>
      <c r="CK25" s="1677">
        <v>407480750</v>
      </c>
      <c r="CL25" s="1676">
        <f t="shared" si="18"/>
        <v>0</v>
      </c>
      <c r="CM25" s="1676">
        <f t="shared" si="19"/>
        <v>407480.75</v>
      </c>
      <c r="CN25" s="1676">
        <f t="shared" si="20"/>
        <v>407480.75</v>
      </c>
      <c r="CY25" s="1316" t="s">
        <v>945</v>
      </c>
      <c r="CZ25" s="1316" t="s">
        <v>946</v>
      </c>
      <c r="DA25" s="1316" t="s">
        <v>447</v>
      </c>
      <c r="DB25" s="1316" t="s">
        <v>447</v>
      </c>
      <c r="DC25" s="1677">
        <v>0</v>
      </c>
      <c r="DD25" s="1677">
        <v>864068637</v>
      </c>
      <c r="DE25" s="1677">
        <v>864068637</v>
      </c>
      <c r="DF25" s="1669">
        <f t="shared" si="22"/>
        <v>0</v>
      </c>
      <c r="DG25" s="1669">
        <f t="shared" si="23"/>
        <v>864068.63699999999</v>
      </c>
      <c r="DH25" s="1669">
        <f t="shared" si="24"/>
        <v>864068.63699999999</v>
      </c>
      <c r="DS25" s="1678" t="s">
        <v>945</v>
      </c>
      <c r="DT25" s="1679" t="s">
        <v>946</v>
      </c>
      <c r="DU25" s="1679" t="s">
        <v>447</v>
      </c>
      <c r="DV25" s="1679" t="s">
        <v>447</v>
      </c>
      <c r="DW25" s="1680">
        <v>0</v>
      </c>
      <c r="DX25" s="1680">
        <v>5172120875</v>
      </c>
      <c r="DY25" s="1680">
        <v>2001408492</v>
      </c>
      <c r="DZ25" s="1669">
        <f t="shared" si="26"/>
        <v>0</v>
      </c>
      <c r="EA25" s="1669">
        <f t="shared" si="27"/>
        <v>5172120.875</v>
      </c>
      <c r="EB25" s="1669">
        <f t="shared" si="28"/>
        <v>2001408.4920000001</v>
      </c>
      <c r="EK25" s="1316" t="s">
        <v>945</v>
      </c>
      <c r="EL25" s="1316" t="s">
        <v>946</v>
      </c>
      <c r="EM25" s="1316" t="s">
        <v>447</v>
      </c>
      <c r="EN25" s="1316" t="s">
        <v>447</v>
      </c>
      <c r="EO25" s="1353">
        <v>0</v>
      </c>
      <c r="EP25" s="1353">
        <v>7077337852</v>
      </c>
      <c r="EQ25" s="1353">
        <v>6986128291</v>
      </c>
      <c r="ER25" s="1669">
        <f t="shared" si="32"/>
        <v>0</v>
      </c>
      <c r="ES25" s="1669">
        <f t="shared" si="33"/>
        <v>7077337.852</v>
      </c>
      <c r="ET25" s="1669">
        <f t="shared" si="34"/>
        <v>6986128.2910000002</v>
      </c>
      <c r="FD25" s="1314" t="s">
        <v>945</v>
      </c>
      <c r="FE25" s="1314" t="s">
        <v>946</v>
      </c>
      <c r="FF25" s="1314" t="s">
        <v>447</v>
      </c>
      <c r="FG25" s="1314" t="s">
        <v>447</v>
      </c>
      <c r="FH25" s="244">
        <v>0</v>
      </c>
      <c r="FI25" s="244">
        <v>9142700138</v>
      </c>
      <c r="FJ25" s="244">
        <v>7996854630</v>
      </c>
      <c r="FK25" s="1676">
        <f t="shared" si="36"/>
        <v>0</v>
      </c>
      <c r="FL25" s="1676">
        <f t="shared" si="37"/>
        <v>9142700.1380000003</v>
      </c>
      <c r="FM25" s="1676">
        <f t="shared" si="38"/>
        <v>7996854.6299999999</v>
      </c>
    </row>
    <row r="26" spans="1:169" ht="15" x14ac:dyDescent="0.3">
      <c r="A26" s="1316" t="s">
        <v>957</v>
      </c>
      <c r="B26" s="1316" t="s">
        <v>958</v>
      </c>
      <c r="C26" s="1316" t="s">
        <v>447</v>
      </c>
      <c r="D26" s="1316" t="s">
        <v>447</v>
      </c>
      <c r="E26" s="1316" t="s">
        <v>547</v>
      </c>
      <c r="F26" s="1668">
        <v>1946254000</v>
      </c>
      <c r="G26" s="1668">
        <v>0</v>
      </c>
      <c r="H26" s="1668">
        <v>0</v>
      </c>
      <c r="I26" s="1668">
        <f t="shared" si="0"/>
        <v>1946254</v>
      </c>
      <c r="J26" s="1668">
        <f t="shared" si="1"/>
        <v>0</v>
      </c>
      <c r="K26" s="1668">
        <f t="shared" si="2"/>
        <v>0</v>
      </c>
      <c r="Y26" s="1314" t="s">
        <v>951</v>
      </c>
      <c r="Z26" s="1316" t="s">
        <v>952</v>
      </c>
      <c r="AA26" s="1316" t="s">
        <v>447</v>
      </c>
      <c r="AB26" s="1316" t="s">
        <v>447</v>
      </c>
      <c r="AC26" s="1353">
        <v>5000000000</v>
      </c>
      <c r="AD26" s="1353">
        <v>0</v>
      </c>
      <c r="AE26" s="1353">
        <v>0</v>
      </c>
      <c r="AF26" s="1353">
        <f t="shared" si="6"/>
        <v>5000000</v>
      </c>
      <c r="AG26" s="1353">
        <f t="shared" si="7"/>
        <v>0</v>
      </c>
      <c r="AH26" s="1353">
        <f t="shared" si="8"/>
        <v>0</v>
      </c>
      <c r="AR26" s="1673" t="s">
        <v>949</v>
      </c>
      <c r="AS26" s="1673" t="s">
        <v>950</v>
      </c>
      <c r="AT26" s="1673" t="s">
        <v>447</v>
      </c>
      <c r="AU26" s="1674" t="s">
        <v>447</v>
      </c>
      <c r="AV26" s="1675">
        <v>0</v>
      </c>
      <c r="AW26" s="1675">
        <v>9611191441</v>
      </c>
      <c r="AX26" s="1675">
        <v>4809030147</v>
      </c>
      <c r="AY26" s="1669">
        <f t="shared" si="10"/>
        <v>0</v>
      </c>
      <c r="AZ26" s="1669">
        <f t="shared" si="11"/>
        <v>9611191.4409999996</v>
      </c>
      <c r="BA26" s="1669">
        <f t="shared" si="12"/>
        <v>4809030.1469999999</v>
      </c>
      <c r="BK26" s="1316" t="s">
        <v>947</v>
      </c>
      <c r="BL26" s="1316" t="s">
        <v>948</v>
      </c>
      <c r="BM26" s="1316" t="s">
        <v>447</v>
      </c>
      <c r="BN26" s="1316" t="s">
        <v>447</v>
      </c>
      <c r="BO26" s="1353">
        <v>0</v>
      </c>
      <c r="BP26" s="1353">
        <v>10138072433</v>
      </c>
      <c r="BQ26" s="1353">
        <v>8149438056</v>
      </c>
      <c r="BR26" s="1676">
        <f t="shared" si="14"/>
        <v>0</v>
      </c>
      <c r="BS26" s="1676">
        <f t="shared" si="15"/>
        <v>10138072.433</v>
      </c>
      <c r="BT26" s="1676">
        <f t="shared" si="16"/>
        <v>8149438.0559999999</v>
      </c>
      <c r="CB26" s="1669">
        <f t="shared" si="17"/>
        <v>0</v>
      </c>
      <c r="CE26" s="1316" t="s">
        <v>947</v>
      </c>
      <c r="CF26" s="1316" t="s">
        <v>948</v>
      </c>
      <c r="CG26" s="1316" t="s">
        <v>447</v>
      </c>
      <c r="CH26" s="1316" t="s">
        <v>447</v>
      </c>
      <c r="CI26" s="1677">
        <v>24521300000</v>
      </c>
      <c r="CJ26" s="1677">
        <v>0</v>
      </c>
      <c r="CK26" s="1677">
        <v>0</v>
      </c>
      <c r="CL26" s="1676">
        <f t="shared" si="18"/>
        <v>24521300</v>
      </c>
      <c r="CM26" s="1676">
        <f t="shared" si="19"/>
        <v>0</v>
      </c>
      <c r="CN26" s="1676">
        <f t="shared" si="20"/>
        <v>0</v>
      </c>
      <c r="CY26" s="1316" t="s">
        <v>947</v>
      </c>
      <c r="CZ26" s="1316" t="s">
        <v>948</v>
      </c>
      <c r="DA26" s="1316" t="s">
        <v>447</v>
      </c>
      <c r="DB26" s="1316" t="s">
        <v>447</v>
      </c>
      <c r="DC26" s="1677">
        <v>89521300000</v>
      </c>
      <c r="DD26" s="1677">
        <v>0</v>
      </c>
      <c r="DE26" s="1677">
        <v>0</v>
      </c>
      <c r="DF26" s="1669">
        <f t="shared" si="22"/>
        <v>89521300</v>
      </c>
      <c r="DG26" s="1669">
        <f t="shared" si="23"/>
        <v>0</v>
      </c>
      <c r="DH26" s="1669">
        <f t="shared" si="24"/>
        <v>0</v>
      </c>
      <c r="DS26" s="1678" t="s">
        <v>947</v>
      </c>
      <c r="DT26" s="1679" t="s">
        <v>948</v>
      </c>
      <c r="DU26" s="1679" t="s">
        <v>447</v>
      </c>
      <c r="DV26" s="1679" t="s">
        <v>447</v>
      </c>
      <c r="DW26" s="1680">
        <v>73944300000</v>
      </c>
      <c r="DX26" s="1680">
        <v>0</v>
      </c>
      <c r="DY26" s="1680">
        <v>0</v>
      </c>
      <c r="DZ26" s="1669">
        <f t="shared" si="26"/>
        <v>73944300</v>
      </c>
      <c r="EA26" s="1669">
        <f t="shared" si="27"/>
        <v>0</v>
      </c>
      <c r="EB26" s="1669">
        <f t="shared" si="28"/>
        <v>0</v>
      </c>
      <c r="EK26" s="1316" t="s">
        <v>947</v>
      </c>
      <c r="EL26" s="1316" t="s">
        <v>948</v>
      </c>
      <c r="EM26" s="1316" t="s">
        <v>447</v>
      </c>
      <c r="EN26" s="1316" t="s">
        <v>447</v>
      </c>
      <c r="EO26" s="1353">
        <v>73944300000</v>
      </c>
      <c r="EP26" s="1353">
        <v>0</v>
      </c>
      <c r="EQ26" s="1353">
        <v>0</v>
      </c>
      <c r="ER26" s="1669">
        <f t="shared" si="32"/>
        <v>73944300</v>
      </c>
      <c r="ES26" s="1669">
        <f t="shared" si="33"/>
        <v>0</v>
      </c>
      <c r="ET26" s="1669">
        <f t="shared" si="34"/>
        <v>0</v>
      </c>
      <c r="FD26" s="1314" t="s">
        <v>947</v>
      </c>
      <c r="FE26" s="1314" t="s">
        <v>948</v>
      </c>
      <c r="FF26" s="1314" t="s">
        <v>447</v>
      </c>
      <c r="FG26" s="1314" t="s">
        <v>447</v>
      </c>
      <c r="FH26" s="244">
        <v>73944300000</v>
      </c>
      <c r="FI26" s="244">
        <v>0</v>
      </c>
      <c r="FJ26" s="244">
        <v>0</v>
      </c>
      <c r="FK26" s="1676">
        <f t="shared" si="36"/>
        <v>73944300</v>
      </c>
      <c r="FL26" s="1676">
        <f t="shared" si="37"/>
        <v>0</v>
      </c>
      <c r="FM26" s="1676">
        <f t="shared" si="38"/>
        <v>0</v>
      </c>
    </row>
    <row r="27" spans="1:169" ht="15" x14ac:dyDescent="0.3">
      <c r="A27" s="1316" t="s">
        <v>959</v>
      </c>
      <c r="B27" s="1316" t="s">
        <v>960</v>
      </c>
      <c r="C27" s="1316" t="s">
        <v>447</v>
      </c>
      <c r="D27" s="1316" t="s">
        <v>447</v>
      </c>
      <c r="E27" s="1316" t="s">
        <v>547</v>
      </c>
      <c r="F27" s="1668">
        <v>2260410000</v>
      </c>
      <c r="G27" s="1668">
        <v>0</v>
      </c>
      <c r="H27" s="1668">
        <v>0</v>
      </c>
      <c r="I27" s="1668">
        <f t="shared" si="0"/>
        <v>2260410</v>
      </c>
      <c r="J27" s="1668">
        <f t="shared" si="1"/>
        <v>0</v>
      </c>
      <c r="K27" s="1668">
        <f t="shared" si="2"/>
        <v>0</v>
      </c>
      <c r="Y27" s="1314" t="s">
        <v>951</v>
      </c>
      <c r="Z27" s="1316" t="s">
        <v>952</v>
      </c>
      <c r="AA27" s="1316" t="s">
        <v>447</v>
      </c>
      <c r="AB27" s="1316" t="s">
        <v>447</v>
      </c>
      <c r="AC27" s="1353">
        <v>0</v>
      </c>
      <c r="AD27" s="1353">
        <v>1325893147</v>
      </c>
      <c r="AE27" s="1353">
        <v>595034170</v>
      </c>
      <c r="AF27" s="1353">
        <f t="shared" si="6"/>
        <v>0</v>
      </c>
      <c r="AG27" s="1353">
        <f t="shared" si="7"/>
        <v>1325893.1470000001</v>
      </c>
      <c r="AH27" s="1353">
        <f t="shared" si="8"/>
        <v>595034.17000000004</v>
      </c>
      <c r="AR27" s="1673" t="s">
        <v>951</v>
      </c>
      <c r="AS27" s="1673" t="s">
        <v>952</v>
      </c>
      <c r="AT27" s="1673" t="s">
        <v>447</v>
      </c>
      <c r="AU27" s="1674" t="s">
        <v>447</v>
      </c>
      <c r="AV27" s="1675">
        <v>5000000000</v>
      </c>
      <c r="AW27" s="1675">
        <v>0</v>
      </c>
      <c r="AX27" s="1675">
        <v>0</v>
      </c>
      <c r="AY27" s="1669">
        <f t="shared" si="10"/>
        <v>5000000</v>
      </c>
      <c r="AZ27" s="1669">
        <f t="shared" si="11"/>
        <v>0</v>
      </c>
      <c r="BA27" s="1669">
        <f t="shared" si="12"/>
        <v>0</v>
      </c>
      <c r="BK27" s="1316" t="s">
        <v>949</v>
      </c>
      <c r="BL27" s="1316" t="s">
        <v>950</v>
      </c>
      <c r="BM27" s="1316" t="s">
        <v>447</v>
      </c>
      <c r="BN27" s="1316" t="s">
        <v>447</v>
      </c>
      <c r="BO27" s="1353">
        <v>16643266000</v>
      </c>
      <c r="BP27" s="1353">
        <v>0</v>
      </c>
      <c r="BQ27" s="1353">
        <v>0</v>
      </c>
      <c r="BR27" s="1676">
        <f t="shared" si="14"/>
        <v>16643266</v>
      </c>
      <c r="BS27" s="1676">
        <f t="shared" si="15"/>
        <v>0</v>
      </c>
      <c r="BT27" s="1676">
        <f t="shared" si="16"/>
        <v>0</v>
      </c>
      <c r="CE27" s="1316" t="s">
        <v>947</v>
      </c>
      <c r="CF27" s="1316" t="s">
        <v>948</v>
      </c>
      <c r="CG27" s="1316" t="s">
        <v>447</v>
      </c>
      <c r="CH27" s="1316" t="s">
        <v>447</v>
      </c>
      <c r="CI27" s="1677">
        <v>0</v>
      </c>
      <c r="CJ27" s="1677">
        <v>12801327345</v>
      </c>
      <c r="CK27" s="1677">
        <v>10707157076</v>
      </c>
      <c r="CL27" s="1676">
        <f t="shared" si="18"/>
        <v>0</v>
      </c>
      <c r="CM27" s="1676">
        <f t="shared" si="19"/>
        <v>12801327.345000001</v>
      </c>
      <c r="CN27" s="1676">
        <f t="shared" si="20"/>
        <v>10707157.075999999</v>
      </c>
      <c r="CY27" s="1316" t="s">
        <v>947</v>
      </c>
      <c r="CZ27" s="1316" t="s">
        <v>948</v>
      </c>
      <c r="DA27" s="1316" t="s">
        <v>447</v>
      </c>
      <c r="DB27" s="1316" t="s">
        <v>447</v>
      </c>
      <c r="DC27" s="1677">
        <v>0</v>
      </c>
      <c r="DD27" s="1677">
        <v>20002080808</v>
      </c>
      <c r="DE27" s="1677">
        <v>15125869234</v>
      </c>
      <c r="DF27" s="1669">
        <f t="shared" si="22"/>
        <v>0</v>
      </c>
      <c r="DG27" s="1669">
        <f t="shared" si="23"/>
        <v>20002080.807999998</v>
      </c>
      <c r="DH27" s="1669">
        <f t="shared" si="24"/>
        <v>15125869.233999999</v>
      </c>
      <c r="DS27" s="1678" t="s">
        <v>947</v>
      </c>
      <c r="DT27" s="1679" t="s">
        <v>948</v>
      </c>
      <c r="DU27" s="1679" t="s">
        <v>447</v>
      </c>
      <c r="DV27" s="1679" t="s">
        <v>447</v>
      </c>
      <c r="DW27" s="1680">
        <v>0</v>
      </c>
      <c r="DX27" s="1680">
        <v>37389730502</v>
      </c>
      <c r="DY27" s="1680">
        <v>33782711020</v>
      </c>
      <c r="DZ27" s="1669">
        <f t="shared" si="26"/>
        <v>0</v>
      </c>
      <c r="EA27" s="1669">
        <f t="shared" si="27"/>
        <v>37389730.501999997</v>
      </c>
      <c r="EB27" s="1669">
        <f t="shared" si="28"/>
        <v>33782711.020000003</v>
      </c>
      <c r="EK27" s="1316" t="s">
        <v>947</v>
      </c>
      <c r="EL27" s="1316" t="s">
        <v>948</v>
      </c>
      <c r="EM27" s="1316" t="s">
        <v>447</v>
      </c>
      <c r="EN27" s="1316" t="s">
        <v>447</v>
      </c>
      <c r="EO27" s="1353">
        <v>0</v>
      </c>
      <c r="EP27" s="1353">
        <v>42749509649</v>
      </c>
      <c r="EQ27" s="1353">
        <v>41029818660</v>
      </c>
      <c r="ER27" s="1669">
        <f t="shared" si="32"/>
        <v>0</v>
      </c>
      <c r="ES27" s="1669">
        <f t="shared" si="33"/>
        <v>42749509.648999996</v>
      </c>
      <c r="ET27" s="1669">
        <f t="shared" si="34"/>
        <v>41029818.659999996</v>
      </c>
      <c r="FD27" s="1314" t="s">
        <v>947</v>
      </c>
      <c r="FE27" s="1314" t="s">
        <v>948</v>
      </c>
      <c r="FF27" s="1314" t="s">
        <v>447</v>
      </c>
      <c r="FG27" s="1314" t="s">
        <v>447</v>
      </c>
      <c r="FH27" s="244">
        <v>0</v>
      </c>
      <c r="FI27" s="244">
        <v>50643181997</v>
      </c>
      <c r="FJ27" s="244">
        <v>47305570349</v>
      </c>
      <c r="FK27" s="1676">
        <f t="shared" si="36"/>
        <v>0</v>
      </c>
      <c r="FL27" s="1676">
        <f t="shared" si="37"/>
        <v>50643181.997000001</v>
      </c>
      <c r="FM27" s="1676">
        <f t="shared" si="38"/>
        <v>47305570.348999999</v>
      </c>
    </row>
    <row r="28" spans="1:169" ht="15" x14ac:dyDescent="0.3">
      <c r="A28" s="1316" t="s">
        <v>961</v>
      </c>
      <c r="B28" s="1316" t="s">
        <v>962</v>
      </c>
      <c r="C28" s="1316" t="s">
        <v>447</v>
      </c>
      <c r="D28" s="1316" t="s">
        <v>447</v>
      </c>
      <c r="E28" s="1316" t="s">
        <v>547</v>
      </c>
      <c r="F28" s="1668">
        <v>21256852000</v>
      </c>
      <c r="G28" s="1668">
        <v>0</v>
      </c>
      <c r="H28" s="1668">
        <v>0</v>
      </c>
      <c r="I28" s="1668">
        <f t="shared" si="0"/>
        <v>21256852</v>
      </c>
      <c r="J28" s="1668">
        <f t="shared" si="1"/>
        <v>0</v>
      </c>
      <c r="K28" s="1668">
        <f t="shared" si="2"/>
        <v>0</v>
      </c>
      <c r="Y28" s="1314" t="s">
        <v>953</v>
      </c>
      <c r="Z28" s="1316" t="s">
        <v>954</v>
      </c>
      <c r="AA28" s="1316" t="s">
        <v>447</v>
      </c>
      <c r="AB28" s="1316" t="s">
        <v>447</v>
      </c>
      <c r="AC28" s="1353">
        <v>5736407000</v>
      </c>
      <c r="AD28" s="1353">
        <v>0</v>
      </c>
      <c r="AE28" s="1353">
        <v>0</v>
      </c>
      <c r="AF28" s="1353">
        <f t="shared" si="6"/>
        <v>5736407</v>
      </c>
      <c r="AG28" s="1353">
        <f t="shared" si="7"/>
        <v>0</v>
      </c>
      <c r="AH28" s="1353">
        <f t="shared" si="8"/>
        <v>0</v>
      </c>
      <c r="AR28" s="1673" t="s">
        <v>951</v>
      </c>
      <c r="AS28" s="1673" t="s">
        <v>952</v>
      </c>
      <c r="AT28" s="1673" t="s">
        <v>447</v>
      </c>
      <c r="AU28" s="1674" t="s">
        <v>447</v>
      </c>
      <c r="AV28" s="1675">
        <v>0</v>
      </c>
      <c r="AW28" s="1675">
        <v>1526728973</v>
      </c>
      <c r="AX28" s="1675">
        <v>1452369446</v>
      </c>
      <c r="AY28" s="1669">
        <f t="shared" si="10"/>
        <v>0</v>
      </c>
      <c r="AZ28" s="1669">
        <f t="shared" si="11"/>
        <v>1526728.973</v>
      </c>
      <c r="BA28" s="1669">
        <f t="shared" si="12"/>
        <v>1452369.446</v>
      </c>
      <c r="BK28" s="1316" t="s">
        <v>949</v>
      </c>
      <c r="BL28" s="1316" t="s">
        <v>950</v>
      </c>
      <c r="BM28" s="1316" t="s">
        <v>447</v>
      </c>
      <c r="BN28" s="1316" t="s">
        <v>447</v>
      </c>
      <c r="BO28" s="1353">
        <v>0</v>
      </c>
      <c r="BP28" s="1353">
        <v>9611191441</v>
      </c>
      <c r="BQ28" s="1353">
        <v>7068858796</v>
      </c>
      <c r="BR28" s="1676">
        <f t="shared" si="14"/>
        <v>0</v>
      </c>
      <c r="BS28" s="1676">
        <f t="shared" si="15"/>
        <v>9611191.4409999996</v>
      </c>
      <c r="BT28" s="1676">
        <f t="shared" si="16"/>
        <v>7068858.7960000001</v>
      </c>
      <c r="CE28" s="1316" t="s">
        <v>949</v>
      </c>
      <c r="CF28" s="1316" t="s">
        <v>950</v>
      </c>
      <c r="CG28" s="1316" t="s">
        <v>447</v>
      </c>
      <c r="CH28" s="1316" t="s">
        <v>447</v>
      </c>
      <c r="CI28" s="1677">
        <v>16643266000</v>
      </c>
      <c r="CJ28" s="1677">
        <v>0</v>
      </c>
      <c r="CK28" s="1677">
        <v>0</v>
      </c>
      <c r="CL28" s="1676">
        <f t="shared" si="18"/>
        <v>16643266</v>
      </c>
      <c r="CM28" s="1676">
        <f t="shared" si="19"/>
        <v>0</v>
      </c>
      <c r="CN28" s="1676">
        <f t="shared" si="20"/>
        <v>0</v>
      </c>
      <c r="CY28" s="1316" t="s">
        <v>949</v>
      </c>
      <c r="CZ28" s="1316" t="s">
        <v>950</v>
      </c>
      <c r="DA28" s="1316" t="s">
        <v>447</v>
      </c>
      <c r="DB28" s="1316" t="s">
        <v>447</v>
      </c>
      <c r="DC28" s="1677">
        <v>16643266000</v>
      </c>
      <c r="DD28" s="1677">
        <v>0</v>
      </c>
      <c r="DE28" s="1677">
        <v>0</v>
      </c>
      <c r="DF28" s="1669">
        <f t="shared" si="22"/>
        <v>16643266</v>
      </c>
      <c r="DG28" s="1669">
        <f t="shared" si="23"/>
        <v>0</v>
      </c>
      <c r="DH28" s="1669">
        <f t="shared" si="24"/>
        <v>0</v>
      </c>
      <c r="DS28" s="1678" t="s">
        <v>949</v>
      </c>
      <c r="DT28" s="1679" t="s">
        <v>950</v>
      </c>
      <c r="DU28" s="1679" t="s">
        <v>447</v>
      </c>
      <c r="DV28" s="1679" t="s">
        <v>447</v>
      </c>
      <c r="DW28" s="1680">
        <v>17220266000</v>
      </c>
      <c r="DX28" s="1680">
        <v>0</v>
      </c>
      <c r="DY28" s="1680">
        <v>0</v>
      </c>
      <c r="DZ28" s="1669">
        <f t="shared" si="26"/>
        <v>17220266</v>
      </c>
      <c r="EA28" s="1669">
        <f t="shared" si="27"/>
        <v>0</v>
      </c>
      <c r="EB28" s="1669">
        <f t="shared" si="28"/>
        <v>0</v>
      </c>
      <c r="EK28" s="1316" t="s">
        <v>949</v>
      </c>
      <c r="EL28" s="1316" t="s">
        <v>950</v>
      </c>
      <c r="EM28" s="1316" t="s">
        <v>447</v>
      </c>
      <c r="EN28" s="1316" t="s">
        <v>447</v>
      </c>
      <c r="EO28" s="1353">
        <v>17220266000</v>
      </c>
      <c r="EP28" s="1353">
        <v>0</v>
      </c>
      <c r="EQ28" s="1353">
        <v>0</v>
      </c>
      <c r="ER28" s="1669">
        <f t="shared" si="32"/>
        <v>17220266</v>
      </c>
      <c r="ES28" s="1669">
        <f t="shared" si="33"/>
        <v>0</v>
      </c>
      <c r="ET28" s="1669">
        <f t="shared" si="34"/>
        <v>0</v>
      </c>
      <c r="FD28" s="1314" t="s">
        <v>949</v>
      </c>
      <c r="FE28" s="1314" t="s">
        <v>950</v>
      </c>
      <c r="FF28" s="1314" t="s">
        <v>447</v>
      </c>
      <c r="FG28" s="1314" t="s">
        <v>447</v>
      </c>
      <c r="FH28" s="244">
        <v>17220266000</v>
      </c>
      <c r="FI28" s="244">
        <v>0</v>
      </c>
      <c r="FJ28" s="244">
        <v>0</v>
      </c>
      <c r="FK28" s="1676">
        <f t="shared" si="36"/>
        <v>17220266</v>
      </c>
      <c r="FL28" s="1676">
        <f t="shared" si="37"/>
        <v>0</v>
      </c>
      <c r="FM28" s="1676">
        <f t="shared" si="38"/>
        <v>0</v>
      </c>
    </row>
    <row r="29" spans="1:169" ht="15" x14ac:dyDescent="0.3">
      <c r="A29" s="1316" t="s">
        <v>963</v>
      </c>
      <c r="B29" s="1316" t="s">
        <v>964</v>
      </c>
      <c r="C29" s="1316" t="s">
        <v>447</v>
      </c>
      <c r="D29" s="1316" t="s">
        <v>447</v>
      </c>
      <c r="E29" s="1316" t="s">
        <v>547</v>
      </c>
      <c r="F29" s="1668">
        <v>17487115000</v>
      </c>
      <c r="G29" s="1668">
        <v>0</v>
      </c>
      <c r="H29" s="1668">
        <v>0</v>
      </c>
      <c r="I29" s="1668">
        <f t="shared" si="0"/>
        <v>17487115</v>
      </c>
      <c r="J29" s="1668">
        <f t="shared" si="1"/>
        <v>0</v>
      </c>
      <c r="K29" s="1668">
        <f t="shared" si="2"/>
        <v>0</v>
      </c>
      <c r="Y29" s="1314" t="s">
        <v>953</v>
      </c>
      <c r="Z29" s="1316" t="s">
        <v>954</v>
      </c>
      <c r="AA29" s="1316" t="s">
        <v>447</v>
      </c>
      <c r="AB29" s="1316" t="s">
        <v>447</v>
      </c>
      <c r="AC29" s="1353">
        <v>0</v>
      </c>
      <c r="AD29" s="1353">
        <v>2141245542</v>
      </c>
      <c r="AE29" s="1353">
        <v>1988720535</v>
      </c>
      <c r="AF29" s="1353">
        <f t="shared" si="6"/>
        <v>0</v>
      </c>
      <c r="AG29" s="1353">
        <f t="shared" si="7"/>
        <v>2141245.5419999999</v>
      </c>
      <c r="AH29" s="1353">
        <f t="shared" si="8"/>
        <v>1988720.5349999999</v>
      </c>
      <c r="AR29" s="1673" t="s">
        <v>953</v>
      </c>
      <c r="AS29" s="1673" t="s">
        <v>954</v>
      </c>
      <c r="AT29" s="1673" t="s">
        <v>447</v>
      </c>
      <c r="AU29" s="1674" t="s">
        <v>447</v>
      </c>
      <c r="AV29" s="1675">
        <v>5736407000</v>
      </c>
      <c r="AW29" s="1675">
        <v>0</v>
      </c>
      <c r="AX29" s="1675">
        <v>0</v>
      </c>
      <c r="AY29" s="1669">
        <f t="shared" si="10"/>
        <v>5736407</v>
      </c>
      <c r="AZ29" s="1669">
        <f t="shared" si="11"/>
        <v>0</v>
      </c>
      <c r="BA29" s="1669">
        <f t="shared" si="12"/>
        <v>0</v>
      </c>
      <c r="BK29" s="1316" t="s">
        <v>951</v>
      </c>
      <c r="BL29" s="1316" t="s">
        <v>952</v>
      </c>
      <c r="BM29" s="1316" t="s">
        <v>447</v>
      </c>
      <c r="BN29" s="1316" t="s">
        <v>447</v>
      </c>
      <c r="BO29" s="1353">
        <v>5000000000</v>
      </c>
      <c r="BP29" s="1353">
        <v>0</v>
      </c>
      <c r="BQ29" s="1353">
        <v>0</v>
      </c>
      <c r="BR29" s="1676">
        <f t="shared" si="14"/>
        <v>5000000</v>
      </c>
      <c r="BS29" s="1676">
        <f t="shared" si="15"/>
        <v>0</v>
      </c>
      <c r="BT29" s="1676">
        <f t="shared" si="16"/>
        <v>0</v>
      </c>
      <c r="CE29" s="1316" t="s">
        <v>949</v>
      </c>
      <c r="CF29" s="1316" t="s">
        <v>950</v>
      </c>
      <c r="CG29" s="1316" t="s">
        <v>447</v>
      </c>
      <c r="CH29" s="1316" t="s">
        <v>447</v>
      </c>
      <c r="CI29" s="1677">
        <v>0</v>
      </c>
      <c r="CJ29" s="1677">
        <v>9611191441</v>
      </c>
      <c r="CK29" s="1677">
        <v>7914881577</v>
      </c>
      <c r="CL29" s="1676">
        <f t="shared" si="18"/>
        <v>0</v>
      </c>
      <c r="CM29" s="1676">
        <f t="shared" si="19"/>
        <v>9611191.4409999996</v>
      </c>
      <c r="CN29" s="1676">
        <f t="shared" si="20"/>
        <v>7914881.5769999996</v>
      </c>
      <c r="CY29" s="1316" t="s">
        <v>949</v>
      </c>
      <c r="CZ29" s="1316" t="s">
        <v>950</v>
      </c>
      <c r="DA29" s="1316" t="s">
        <v>447</v>
      </c>
      <c r="DB29" s="1316" t="s">
        <v>447</v>
      </c>
      <c r="DC29" s="1677">
        <v>0</v>
      </c>
      <c r="DD29" s="1677">
        <v>9821856337</v>
      </c>
      <c r="DE29" s="1677">
        <v>9820505833</v>
      </c>
      <c r="DF29" s="1669">
        <f t="shared" si="22"/>
        <v>0</v>
      </c>
      <c r="DG29" s="1669">
        <f t="shared" si="23"/>
        <v>9821856.3369999994</v>
      </c>
      <c r="DH29" s="1669">
        <f t="shared" si="24"/>
        <v>9820505.8330000006</v>
      </c>
      <c r="DS29" s="1678" t="s">
        <v>949</v>
      </c>
      <c r="DT29" s="1679" t="s">
        <v>950</v>
      </c>
      <c r="DU29" s="1679" t="s">
        <v>447</v>
      </c>
      <c r="DV29" s="1679" t="s">
        <v>447</v>
      </c>
      <c r="DW29" s="1680">
        <v>0</v>
      </c>
      <c r="DX29" s="1680">
        <v>16766559895</v>
      </c>
      <c r="DY29" s="1680">
        <v>10847253624</v>
      </c>
      <c r="DZ29" s="1669">
        <f t="shared" si="26"/>
        <v>0</v>
      </c>
      <c r="EA29" s="1669">
        <f t="shared" si="27"/>
        <v>16766559.895</v>
      </c>
      <c r="EB29" s="1669">
        <f t="shared" si="28"/>
        <v>10847253.624</v>
      </c>
      <c r="EK29" s="1316" t="s">
        <v>949</v>
      </c>
      <c r="EL29" s="1316" t="s">
        <v>950</v>
      </c>
      <c r="EM29" s="1316" t="s">
        <v>447</v>
      </c>
      <c r="EN29" s="1316" t="s">
        <v>447</v>
      </c>
      <c r="EO29" s="1353">
        <v>0</v>
      </c>
      <c r="EP29" s="1353">
        <v>17207282894</v>
      </c>
      <c r="EQ29" s="1353">
        <v>13711589243</v>
      </c>
      <c r="ER29" s="1669">
        <f t="shared" si="32"/>
        <v>0</v>
      </c>
      <c r="ES29" s="1669">
        <f t="shared" si="33"/>
        <v>17207282.894000001</v>
      </c>
      <c r="ET29" s="1669">
        <f t="shared" si="34"/>
        <v>13711589.243000001</v>
      </c>
      <c r="FD29" s="1314" t="s">
        <v>949</v>
      </c>
      <c r="FE29" s="1314" t="s">
        <v>950</v>
      </c>
      <c r="FF29" s="1314" t="s">
        <v>447</v>
      </c>
      <c r="FG29" s="1314" t="s">
        <v>447</v>
      </c>
      <c r="FH29" s="244">
        <v>0</v>
      </c>
      <c r="FI29" s="244">
        <v>17207282894</v>
      </c>
      <c r="FJ29" s="244">
        <v>13711589243</v>
      </c>
      <c r="FK29" s="1676">
        <f t="shared" si="36"/>
        <v>0</v>
      </c>
      <c r="FL29" s="1676">
        <f t="shared" si="37"/>
        <v>17207282.894000001</v>
      </c>
      <c r="FM29" s="1676">
        <f t="shared" si="38"/>
        <v>13711589.243000001</v>
      </c>
    </row>
    <row r="30" spans="1:169" ht="15" x14ac:dyDescent="0.3">
      <c r="A30" s="1316" t="s">
        <v>963</v>
      </c>
      <c r="B30" s="1316" t="s">
        <v>964</v>
      </c>
      <c r="C30" s="1316" t="s">
        <v>447</v>
      </c>
      <c r="D30" s="1316" t="s">
        <v>447</v>
      </c>
      <c r="E30" s="1316" t="s">
        <v>547</v>
      </c>
      <c r="F30" s="1668">
        <v>0</v>
      </c>
      <c r="G30" s="1668">
        <v>123539428</v>
      </c>
      <c r="H30" s="1668">
        <v>123539428</v>
      </c>
      <c r="I30" s="1668">
        <f t="shared" si="0"/>
        <v>0</v>
      </c>
      <c r="J30" s="1668">
        <f t="shared" si="1"/>
        <v>123539.428</v>
      </c>
      <c r="K30" s="1668">
        <f t="shared" si="2"/>
        <v>123539.428</v>
      </c>
      <c r="Y30" s="1314" t="s">
        <v>955</v>
      </c>
      <c r="Z30" s="1316" t="s">
        <v>956</v>
      </c>
      <c r="AA30" s="1316" t="s">
        <v>447</v>
      </c>
      <c r="AB30" s="1316" t="s">
        <v>447</v>
      </c>
      <c r="AC30" s="1353">
        <v>7925135000</v>
      </c>
      <c r="AD30" s="1353">
        <v>0</v>
      </c>
      <c r="AE30" s="1353">
        <v>0</v>
      </c>
      <c r="AF30" s="1353">
        <f t="shared" si="6"/>
        <v>7925135</v>
      </c>
      <c r="AG30" s="1353">
        <f t="shared" si="7"/>
        <v>0</v>
      </c>
      <c r="AH30" s="1353">
        <f t="shared" si="8"/>
        <v>0</v>
      </c>
      <c r="AR30" s="1673" t="s">
        <v>953</v>
      </c>
      <c r="AS30" s="1673" t="s">
        <v>954</v>
      </c>
      <c r="AT30" s="1673" t="s">
        <v>447</v>
      </c>
      <c r="AU30" s="1674" t="s">
        <v>447</v>
      </c>
      <c r="AV30" s="1675">
        <v>0</v>
      </c>
      <c r="AW30" s="1675">
        <v>2792642807</v>
      </c>
      <c r="AX30" s="1675">
        <v>2460442807</v>
      </c>
      <c r="AY30" s="1669">
        <f t="shared" si="10"/>
        <v>0</v>
      </c>
      <c r="AZ30" s="1669">
        <f t="shared" si="11"/>
        <v>2792642.807</v>
      </c>
      <c r="BA30" s="1669">
        <f t="shared" si="12"/>
        <v>2460442.807</v>
      </c>
      <c r="BK30" s="1316" t="s">
        <v>951</v>
      </c>
      <c r="BL30" s="1316" t="s">
        <v>952</v>
      </c>
      <c r="BM30" s="1316" t="s">
        <v>447</v>
      </c>
      <c r="BN30" s="1316" t="s">
        <v>447</v>
      </c>
      <c r="BO30" s="1353">
        <v>0</v>
      </c>
      <c r="BP30" s="1353">
        <v>1749408971</v>
      </c>
      <c r="BQ30" s="1353">
        <v>1676728971</v>
      </c>
      <c r="BR30" s="1676">
        <f t="shared" si="14"/>
        <v>0</v>
      </c>
      <c r="BS30" s="1676">
        <f t="shared" si="15"/>
        <v>1749408.9709999999</v>
      </c>
      <c r="BT30" s="1676">
        <f t="shared" si="16"/>
        <v>1676728.9709999999</v>
      </c>
      <c r="CE30" s="1316" t="s">
        <v>951</v>
      </c>
      <c r="CF30" s="1316" t="s">
        <v>952</v>
      </c>
      <c r="CG30" s="1316" t="s">
        <v>447</v>
      </c>
      <c r="CH30" s="1316" t="s">
        <v>447</v>
      </c>
      <c r="CI30" s="1677">
        <v>7000000000</v>
      </c>
      <c r="CJ30" s="1677">
        <v>0</v>
      </c>
      <c r="CK30" s="1677">
        <v>0</v>
      </c>
      <c r="CL30" s="1676">
        <f t="shared" si="18"/>
        <v>7000000</v>
      </c>
      <c r="CM30" s="1676">
        <f t="shared" si="19"/>
        <v>0</v>
      </c>
      <c r="CN30" s="1676">
        <f t="shared" si="20"/>
        <v>0</v>
      </c>
      <c r="CY30" s="1316" t="s">
        <v>951</v>
      </c>
      <c r="CZ30" s="1316" t="s">
        <v>952</v>
      </c>
      <c r="DA30" s="1316" t="s">
        <v>447</v>
      </c>
      <c r="DB30" s="1316" t="s">
        <v>447</v>
      </c>
      <c r="DC30" s="1677">
        <v>7000000000</v>
      </c>
      <c r="DD30" s="1677">
        <v>0</v>
      </c>
      <c r="DE30" s="1677">
        <v>0</v>
      </c>
      <c r="DF30" s="1669">
        <f t="shared" si="22"/>
        <v>7000000</v>
      </c>
      <c r="DG30" s="1669">
        <f t="shared" si="23"/>
        <v>0</v>
      </c>
      <c r="DH30" s="1669">
        <f t="shared" si="24"/>
        <v>0</v>
      </c>
      <c r="DS30" s="1678" t="s">
        <v>951</v>
      </c>
      <c r="DT30" s="1679" t="s">
        <v>952</v>
      </c>
      <c r="DU30" s="1679" t="s">
        <v>447</v>
      </c>
      <c r="DV30" s="1679" t="s">
        <v>447</v>
      </c>
      <c r="DW30" s="1680">
        <v>22000000000</v>
      </c>
      <c r="DX30" s="1680">
        <v>0</v>
      </c>
      <c r="DY30" s="1680">
        <v>0</v>
      </c>
      <c r="DZ30" s="1669">
        <f t="shared" si="26"/>
        <v>22000000</v>
      </c>
      <c r="EA30" s="1669">
        <f t="shared" si="27"/>
        <v>0</v>
      </c>
      <c r="EB30" s="1669">
        <f t="shared" si="28"/>
        <v>0</v>
      </c>
      <c r="EK30" s="1316" t="s">
        <v>951</v>
      </c>
      <c r="EL30" s="1316" t="s">
        <v>952</v>
      </c>
      <c r="EM30" s="1316" t="s">
        <v>447</v>
      </c>
      <c r="EN30" s="1316" t="s">
        <v>447</v>
      </c>
      <c r="EO30" s="1353">
        <v>22000000000</v>
      </c>
      <c r="EP30" s="1353">
        <v>0</v>
      </c>
      <c r="EQ30" s="1353">
        <v>0</v>
      </c>
      <c r="ER30" s="1669">
        <f t="shared" si="32"/>
        <v>22000000</v>
      </c>
      <c r="ES30" s="1669">
        <f t="shared" si="33"/>
        <v>0</v>
      </c>
      <c r="ET30" s="1669">
        <f t="shared" si="34"/>
        <v>0</v>
      </c>
      <c r="FD30" s="1314" t="s">
        <v>951</v>
      </c>
      <c r="FE30" s="1314" t="s">
        <v>952</v>
      </c>
      <c r="FF30" s="1314" t="s">
        <v>447</v>
      </c>
      <c r="FG30" s="1314" t="s">
        <v>447</v>
      </c>
      <c r="FH30" s="244">
        <v>22000000000</v>
      </c>
      <c r="FI30" s="244">
        <v>0</v>
      </c>
      <c r="FJ30" s="244">
        <v>0</v>
      </c>
      <c r="FK30" s="1676">
        <f t="shared" si="36"/>
        <v>22000000</v>
      </c>
      <c r="FL30" s="1676">
        <f t="shared" si="37"/>
        <v>0</v>
      </c>
      <c r="FM30" s="1676">
        <f t="shared" si="38"/>
        <v>0</v>
      </c>
    </row>
    <row r="31" spans="1:169" ht="15" x14ac:dyDescent="0.3">
      <c r="A31" s="1316" t="s">
        <v>965</v>
      </c>
      <c r="B31" s="1316" t="s">
        <v>966</v>
      </c>
      <c r="C31" s="1316" t="s">
        <v>447</v>
      </c>
      <c r="D31" s="1316" t="s">
        <v>447</v>
      </c>
      <c r="E31" s="1316" t="s">
        <v>547</v>
      </c>
      <c r="F31" s="1668">
        <v>14656065000</v>
      </c>
      <c r="G31" s="1668">
        <v>0</v>
      </c>
      <c r="H31" s="1668">
        <v>0</v>
      </c>
      <c r="I31" s="1668">
        <f t="shared" si="0"/>
        <v>14656065</v>
      </c>
      <c r="J31" s="1668">
        <f t="shared" si="1"/>
        <v>0</v>
      </c>
      <c r="K31" s="1668">
        <f t="shared" si="2"/>
        <v>0</v>
      </c>
      <c r="Y31" s="1314" t="s">
        <v>955</v>
      </c>
      <c r="Z31" s="1316" t="s">
        <v>956</v>
      </c>
      <c r="AA31" s="1316" t="s">
        <v>447</v>
      </c>
      <c r="AB31" s="1316" t="s">
        <v>447</v>
      </c>
      <c r="AC31" s="1353">
        <v>0</v>
      </c>
      <c r="AD31" s="1353">
        <v>3470113168</v>
      </c>
      <c r="AE31" s="1353">
        <v>2201230694</v>
      </c>
      <c r="AF31" s="1353">
        <f t="shared" si="6"/>
        <v>0</v>
      </c>
      <c r="AG31" s="1353">
        <f t="shared" si="7"/>
        <v>3470113.1680000001</v>
      </c>
      <c r="AH31" s="1353">
        <f t="shared" si="8"/>
        <v>2201230.6940000001</v>
      </c>
      <c r="AR31" s="1673" t="s">
        <v>955</v>
      </c>
      <c r="AS31" s="1673" t="s">
        <v>956</v>
      </c>
      <c r="AT31" s="1673" t="s">
        <v>447</v>
      </c>
      <c r="AU31" s="1674" t="s">
        <v>447</v>
      </c>
      <c r="AV31" s="1675">
        <v>7925135000</v>
      </c>
      <c r="AW31" s="1675">
        <v>0</v>
      </c>
      <c r="AX31" s="1675">
        <v>0</v>
      </c>
      <c r="AY31" s="1669">
        <f t="shared" si="10"/>
        <v>7925135</v>
      </c>
      <c r="AZ31" s="1669">
        <f t="shared" si="11"/>
        <v>0</v>
      </c>
      <c r="BA31" s="1669">
        <f t="shared" si="12"/>
        <v>0</v>
      </c>
      <c r="BK31" s="1316" t="s">
        <v>953</v>
      </c>
      <c r="BL31" s="1316" t="s">
        <v>954</v>
      </c>
      <c r="BM31" s="1316" t="s">
        <v>447</v>
      </c>
      <c r="BN31" s="1316" t="s">
        <v>447</v>
      </c>
      <c r="BO31" s="1353">
        <v>5736407000</v>
      </c>
      <c r="BP31" s="1353">
        <v>0</v>
      </c>
      <c r="BQ31" s="1353">
        <v>0</v>
      </c>
      <c r="BR31" s="1676">
        <f t="shared" si="14"/>
        <v>5736407</v>
      </c>
      <c r="BS31" s="1676">
        <f t="shared" si="15"/>
        <v>0</v>
      </c>
      <c r="BT31" s="1676">
        <f t="shared" si="16"/>
        <v>0</v>
      </c>
      <c r="CE31" s="1316" t="s">
        <v>951</v>
      </c>
      <c r="CF31" s="1316" t="s">
        <v>952</v>
      </c>
      <c r="CG31" s="1316" t="s">
        <v>447</v>
      </c>
      <c r="CH31" s="1316" t="s">
        <v>447</v>
      </c>
      <c r="CI31" s="1677">
        <v>0</v>
      </c>
      <c r="CJ31" s="1677">
        <v>5590528466</v>
      </c>
      <c r="CK31" s="1677">
        <v>3161912497</v>
      </c>
      <c r="CL31" s="1676">
        <f t="shared" si="18"/>
        <v>0</v>
      </c>
      <c r="CM31" s="1676">
        <f t="shared" si="19"/>
        <v>5590528.466</v>
      </c>
      <c r="CN31" s="1676">
        <f t="shared" si="20"/>
        <v>3161912.497</v>
      </c>
      <c r="CY31" s="1316" t="s">
        <v>951</v>
      </c>
      <c r="CZ31" s="1316" t="s">
        <v>952</v>
      </c>
      <c r="DA31" s="1316" t="s">
        <v>447</v>
      </c>
      <c r="DB31" s="1316" t="s">
        <v>447</v>
      </c>
      <c r="DC31" s="1677">
        <v>0</v>
      </c>
      <c r="DD31" s="1677">
        <v>6483365190</v>
      </c>
      <c r="DE31" s="1677">
        <v>6483365190</v>
      </c>
      <c r="DF31" s="1669">
        <f t="shared" si="22"/>
        <v>0</v>
      </c>
      <c r="DG31" s="1669">
        <f t="shared" si="23"/>
        <v>6483365.1900000004</v>
      </c>
      <c r="DH31" s="1669">
        <f t="shared" si="24"/>
        <v>6483365.1900000004</v>
      </c>
      <c r="DS31" s="1678" t="s">
        <v>951</v>
      </c>
      <c r="DT31" s="1679" t="s">
        <v>952</v>
      </c>
      <c r="DU31" s="1679" t="s">
        <v>447</v>
      </c>
      <c r="DV31" s="1679" t="s">
        <v>447</v>
      </c>
      <c r="DW31" s="1680">
        <v>0</v>
      </c>
      <c r="DX31" s="1680">
        <v>7059839180</v>
      </c>
      <c r="DY31" s="1680">
        <v>6836519242</v>
      </c>
      <c r="DZ31" s="1669">
        <f t="shared" si="26"/>
        <v>0</v>
      </c>
      <c r="EA31" s="1669">
        <f t="shared" si="27"/>
        <v>7059839.1799999997</v>
      </c>
      <c r="EB31" s="1669">
        <f t="shared" si="28"/>
        <v>6836519.2419999996</v>
      </c>
      <c r="EK31" s="1316" t="s">
        <v>951</v>
      </c>
      <c r="EL31" s="1316" t="s">
        <v>952</v>
      </c>
      <c r="EM31" s="1316" t="s">
        <v>447</v>
      </c>
      <c r="EN31" s="1316" t="s">
        <v>447</v>
      </c>
      <c r="EO31" s="1353">
        <v>0</v>
      </c>
      <c r="EP31" s="1353">
        <v>7284802009</v>
      </c>
      <c r="EQ31" s="1353">
        <v>7209836489</v>
      </c>
      <c r="ER31" s="1669">
        <f t="shared" si="32"/>
        <v>0</v>
      </c>
      <c r="ES31" s="1669">
        <f t="shared" si="33"/>
        <v>7284802.0089999996</v>
      </c>
      <c r="ET31" s="1669">
        <f t="shared" si="34"/>
        <v>7209836.4890000001</v>
      </c>
      <c r="FD31" s="1314" t="s">
        <v>951</v>
      </c>
      <c r="FE31" s="1314" t="s">
        <v>952</v>
      </c>
      <c r="FF31" s="1314" t="s">
        <v>447</v>
      </c>
      <c r="FG31" s="1314" t="s">
        <v>447</v>
      </c>
      <c r="FH31" s="244">
        <v>0</v>
      </c>
      <c r="FI31" s="244">
        <v>8835664389</v>
      </c>
      <c r="FJ31" s="244">
        <v>8290698820</v>
      </c>
      <c r="FK31" s="1676">
        <f t="shared" si="36"/>
        <v>0</v>
      </c>
      <c r="FL31" s="1676">
        <f t="shared" si="37"/>
        <v>8835664.3890000004</v>
      </c>
      <c r="FM31" s="1676">
        <f t="shared" si="38"/>
        <v>8290698.8200000003</v>
      </c>
    </row>
    <row r="32" spans="1:169" ht="15" x14ac:dyDescent="0.3">
      <c r="A32" s="1316" t="s">
        <v>448</v>
      </c>
      <c r="B32" s="1316" t="s">
        <v>469</v>
      </c>
      <c r="C32" s="1316" t="s">
        <v>447</v>
      </c>
      <c r="D32" s="1316" t="s">
        <v>447</v>
      </c>
      <c r="E32" s="1316" t="s">
        <v>547</v>
      </c>
      <c r="F32" s="1668">
        <v>16934493000</v>
      </c>
      <c r="G32" s="1668">
        <v>0</v>
      </c>
      <c r="H32" s="1668">
        <v>0</v>
      </c>
      <c r="I32" s="1668">
        <f t="shared" si="0"/>
        <v>16934493</v>
      </c>
      <c r="J32" s="1668">
        <f t="shared" si="1"/>
        <v>0</v>
      </c>
      <c r="K32" s="1668">
        <f t="shared" si="2"/>
        <v>0</v>
      </c>
      <c r="Y32" s="1314" t="s">
        <v>957</v>
      </c>
      <c r="Z32" s="1316" t="s">
        <v>958</v>
      </c>
      <c r="AA32" s="1316" t="s">
        <v>447</v>
      </c>
      <c r="AB32" s="1316" t="s">
        <v>447</v>
      </c>
      <c r="AC32" s="1353">
        <v>1946254000</v>
      </c>
      <c r="AD32" s="1353">
        <v>0</v>
      </c>
      <c r="AE32" s="1353">
        <v>0</v>
      </c>
      <c r="AF32" s="1353">
        <f t="shared" si="6"/>
        <v>1946254</v>
      </c>
      <c r="AG32" s="1353">
        <f t="shared" si="7"/>
        <v>0</v>
      </c>
      <c r="AH32" s="1353">
        <f t="shared" si="8"/>
        <v>0</v>
      </c>
      <c r="AR32" s="1673" t="s">
        <v>955</v>
      </c>
      <c r="AS32" s="1673" t="s">
        <v>956</v>
      </c>
      <c r="AT32" s="1673" t="s">
        <v>447</v>
      </c>
      <c r="AU32" s="1674" t="s">
        <v>447</v>
      </c>
      <c r="AV32" s="1675">
        <v>0</v>
      </c>
      <c r="AW32" s="1675">
        <v>3470113168</v>
      </c>
      <c r="AX32" s="1675">
        <v>3470113168</v>
      </c>
      <c r="AY32" s="1669">
        <f t="shared" si="10"/>
        <v>0</v>
      </c>
      <c r="AZ32" s="1669">
        <f t="shared" si="11"/>
        <v>3470113.1680000001</v>
      </c>
      <c r="BA32" s="1669">
        <f t="shared" si="12"/>
        <v>3470113.1680000001</v>
      </c>
      <c r="BK32" s="1316" t="s">
        <v>953</v>
      </c>
      <c r="BL32" s="1316" t="s">
        <v>954</v>
      </c>
      <c r="BM32" s="1316" t="s">
        <v>447</v>
      </c>
      <c r="BN32" s="1316" t="s">
        <v>447</v>
      </c>
      <c r="BO32" s="1353">
        <v>0</v>
      </c>
      <c r="BP32" s="1353">
        <v>3955298048</v>
      </c>
      <c r="BQ32" s="1353">
        <v>3560698048</v>
      </c>
      <c r="BR32" s="1676">
        <f t="shared" si="14"/>
        <v>0</v>
      </c>
      <c r="BS32" s="1676">
        <f t="shared" si="15"/>
        <v>3955298.048</v>
      </c>
      <c r="BT32" s="1676">
        <f t="shared" si="16"/>
        <v>3560698.048</v>
      </c>
      <c r="CE32" s="1316" t="s">
        <v>953</v>
      </c>
      <c r="CF32" s="1316" t="s">
        <v>954</v>
      </c>
      <c r="CG32" s="1316" t="s">
        <v>447</v>
      </c>
      <c r="CH32" s="1316" t="s">
        <v>447</v>
      </c>
      <c r="CI32" s="1677">
        <v>5736407000</v>
      </c>
      <c r="CJ32" s="1677">
        <v>0</v>
      </c>
      <c r="CK32" s="1677">
        <v>0</v>
      </c>
      <c r="CL32" s="1676">
        <f t="shared" si="18"/>
        <v>5736407</v>
      </c>
      <c r="CM32" s="1676">
        <f t="shared" si="19"/>
        <v>0</v>
      </c>
      <c r="CN32" s="1676">
        <f t="shared" si="20"/>
        <v>0</v>
      </c>
      <c r="CY32" s="1316" t="s">
        <v>953</v>
      </c>
      <c r="CZ32" s="1316" t="s">
        <v>954</v>
      </c>
      <c r="DA32" s="1316" t="s">
        <v>447</v>
      </c>
      <c r="DB32" s="1316" t="s">
        <v>447</v>
      </c>
      <c r="DC32" s="1677">
        <v>15653724908</v>
      </c>
      <c r="DD32" s="1677">
        <v>0</v>
      </c>
      <c r="DE32" s="1677">
        <v>0</v>
      </c>
      <c r="DF32" s="1669">
        <f t="shared" si="22"/>
        <v>15653724.908</v>
      </c>
      <c r="DG32" s="1669">
        <f t="shared" si="23"/>
        <v>0</v>
      </c>
      <c r="DH32" s="1669">
        <f t="shared" si="24"/>
        <v>0</v>
      </c>
      <c r="DS32" s="1678" t="s">
        <v>953</v>
      </c>
      <c r="DT32" s="1679" t="s">
        <v>954</v>
      </c>
      <c r="DU32" s="1679" t="s">
        <v>447</v>
      </c>
      <c r="DV32" s="1679" t="s">
        <v>447</v>
      </c>
      <c r="DW32" s="1680">
        <v>15653724908</v>
      </c>
      <c r="DX32" s="1680">
        <v>0</v>
      </c>
      <c r="DY32" s="1680">
        <v>0</v>
      </c>
      <c r="DZ32" s="1669">
        <f t="shared" si="26"/>
        <v>15653724.908</v>
      </c>
      <c r="EA32" s="1669">
        <f t="shared" si="27"/>
        <v>0</v>
      </c>
      <c r="EB32" s="1669">
        <f t="shared" si="28"/>
        <v>0</v>
      </c>
      <c r="EK32" s="1316" t="s">
        <v>953</v>
      </c>
      <c r="EL32" s="1316" t="s">
        <v>954</v>
      </c>
      <c r="EM32" s="1316" t="s">
        <v>447</v>
      </c>
      <c r="EN32" s="1316" t="s">
        <v>447</v>
      </c>
      <c r="EO32" s="1353">
        <v>15653724908</v>
      </c>
      <c r="EP32" s="1353">
        <v>0</v>
      </c>
      <c r="EQ32" s="1353">
        <v>0</v>
      </c>
      <c r="ER32" s="1669">
        <f t="shared" si="32"/>
        <v>15653724.908</v>
      </c>
      <c r="ES32" s="1669">
        <f t="shared" si="33"/>
        <v>0</v>
      </c>
      <c r="ET32" s="1669">
        <f t="shared" si="34"/>
        <v>0</v>
      </c>
      <c r="FD32" s="1314" t="s">
        <v>953</v>
      </c>
      <c r="FE32" s="1314" t="s">
        <v>954</v>
      </c>
      <c r="FF32" s="1314" t="s">
        <v>447</v>
      </c>
      <c r="FG32" s="1314" t="s">
        <v>447</v>
      </c>
      <c r="FH32" s="244">
        <v>15653724908</v>
      </c>
      <c r="FI32" s="244">
        <v>0</v>
      </c>
      <c r="FJ32" s="244">
        <v>0</v>
      </c>
      <c r="FK32" s="1676">
        <f t="shared" si="36"/>
        <v>15653724.908</v>
      </c>
      <c r="FL32" s="1676">
        <f t="shared" si="37"/>
        <v>0</v>
      </c>
      <c r="FM32" s="1676">
        <f t="shared" si="38"/>
        <v>0</v>
      </c>
    </row>
    <row r="33" spans="1:169" ht="15" x14ac:dyDescent="0.3">
      <c r="A33" s="1316" t="s">
        <v>451</v>
      </c>
      <c r="B33" s="1316" t="s">
        <v>470</v>
      </c>
      <c r="C33" s="1316" t="s">
        <v>447</v>
      </c>
      <c r="D33" s="1316" t="s">
        <v>447</v>
      </c>
      <c r="E33" s="1316" t="s">
        <v>547</v>
      </c>
      <c r="F33" s="1668">
        <v>8635311000</v>
      </c>
      <c r="G33" s="1668">
        <v>0</v>
      </c>
      <c r="H33" s="1668">
        <v>0</v>
      </c>
      <c r="I33" s="1668">
        <f t="shared" si="0"/>
        <v>8635311</v>
      </c>
      <c r="J33" s="1668">
        <f t="shared" si="1"/>
        <v>0</v>
      </c>
      <c r="K33" s="1668">
        <f t="shared" si="2"/>
        <v>0</v>
      </c>
      <c r="Y33" s="1314" t="s">
        <v>957</v>
      </c>
      <c r="Z33" s="1316" t="s">
        <v>958</v>
      </c>
      <c r="AA33" s="1316" t="s">
        <v>447</v>
      </c>
      <c r="AB33" s="1316" t="s">
        <v>447</v>
      </c>
      <c r="AC33" s="1353">
        <v>0</v>
      </c>
      <c r="AD33" s="1353">
        <v>422592850</v>
      </c>
      <c r="AE33" s="1353">
        <v>363792850</v>
      </c>
      <c r="AF33" s="1353">
        <f t="shared" si="6"/>
        <v>0</v>
      </c>
      <c r="AG33" s="1353">
        <f t="shared" si="7"/>
        <v>422592.85</v>
      </c>
      <c r="AH33" s="1353">
        <f t="shared" si="8"/>
        <v>363792.85</v>
      </c>
      <c r="AR33" s="1673" t="s">
        <v>957</v>
      </c>
      <c r="AS33" s="1673" t="s">
        <v>958</v>
      </c>
      <c r="AT33" s="1673" t="s">
        <v>447</v>
      </c>
      <c r="AU33" s="1674" t="s">
        <v>447</v>
      </c>
      <c r="AV33" s="1675">
        <v>1946254000</v>
      </c>
      <c r="AW33" s="1675">
        <v>0</v>
      </c>
      <c r="AX33" s="1675">
        <v>0</v>
      </c>
      <c r="AY33" s="1669">
        <f t="shared" si="10"/>
        <v>1946254</v>
      </c>
      <c r="AZ33" s="1669">
        <f t="shared" si="11"/>
        <v>0</v>
      </c>
      <c r="BA33" s="1669">
        <f t="shared" si="12"/>
        <v>0</v>
      </c>
      <c r="BK33" s="1316" t="s">
        <v>955</v>
      </c>
      <c r="BL33" s="1316" t="s">
        <v>956</v>
      </c>
      <c r="BM33" s="1316" t="s">
        <v>447</v>
      </c>
      <c r="BN33" s="1316" t="s">
        <v>447</v>
      </c>
      <c r="BO33" s="1353">
        <v>7925135000</v>
      </c>
      <c r="BP33" s="1353">
        <v>0</v>
      </c>
      <c r="BQ33" s="1353">
        <v>0</v>
      </c>
      <c r="BR33" s="1676">
        <f t="shared" si="14"/>
        <v>7925135</v>
      </c>
      <c r="BS33" s="1676">
        <f t="shared" si="15"/>
        <v>0</v>
      </c>
      <c r="BT33" s="1676">
        <f t="shared" si="16"/>
        <v>0</v>
      </c>
      <c r="CE33" s="1316" t="s">
        <v>953</v>
      </c>
      <c r="CF33" s="1316" t="s">
        <v>954</v>
      </c>
      <c r="CG33" s="1316" t="s">
        <v>447</v>
      </c>
      <c r="CH33" s="1316" t="s">
        <v>447</v>
      </c>
      <c r="CI33" s="1677">
        <v>0</v>
      </c>
      <c r="CJ33" s="1677">
        <v>4917058850</v>
      </c>
      <c r="CK33" s="1677">
        <v>4653558850</v>
      </c>
      <c r="CL33" s="1676">
        <f t="shared" si="18"/>
        <v>0</v>
      </c>
      <c r="CM33" s="1676">
        <f t="shared" si="19"/>
        <v>4917058.8499999996</v>
      </c>
      <c r="CN33" s="1676">
        <f t="shared" si="20"/>
        <v>4653558.8499999996</v>
      </c>
      <c r="CY33" s="1316" t="s">
        <v>953</v>
      </c>
      <c r="CZ33" s="1316" t="s">
        <v>954</v>
      </c>
      <c r="DA33" s="1316" t="s">
        <v>447</v>
      </c>
      <c r="DB33" s="1316" t="s">
        <v>447</v>
      </c>
      <c r="DC33" s="1677">
        <v>0</v>
      </c>
      <c r="DD33" s="1677">
        <v>6195368136</v>
      </c>
      <c r="DE33" s="1677">
        <v>5454972136</v>
      </c>
      <c r="DF33" s="1669">
        <f t="shared" si="22"/>
        <v>0</v>
      </c>
      <c r="DG33" s="1669">
        <f t="shared" si="23"/>
        <v>6195368.1359999999</v>
      </c>
      <c r="DH33" s="1669">
        <f t="shared" si="24"/>
        <v>5454972.1359999999</v>
      </c>
      <c r="DS33" s="1678" t="s">
        <v>953</v>
      </c>
      <c r="DT33" s="1679" t="s">
        <v>954</v>
      </c>
      <c r="DU33" s="1679" t="s">
        <v>447</v>
      </c>
      <c r="DV33" s="1679" t="s">
        <v>447</v>
      </c>
      <c r="DW33" s="1680">
        <v>0</v>
      </c>
      <c r="DX33" s="1680">
        <v>8836471946</v>
      </c>
      <c r="DY33" s="1680">
        <v>7570111946</v>
      </c>
      <c r="DZ33" s="1669">
        <f t="shared" si="26"/>
        <v>0</v>
      </c>
      <c r="EA33" s="1669">
        <f t="shared" si="27"/>
        <v>8836471.9460000005</v>
      </c>
      <c r="EB33" s="1669">
        <f t="shared" si="28"/>
        <v>7570111.9460000005</v>
      </c>
      <c r="EK33" s="1316" t="s">
        <v>953</v>
      </c>
      <c r="EL33" s="1316" t="s">
        <v>954</v>
      </c>
      <c r="EM33" s="1316" t="s">
        <v>447</v>
      </c>
      <c r="EN33" s="1316" t="s">
        <v>447</v>
      </c>
      <c r="EO33" s="1353">
        <v>0</v>
      </c>
      <c r="EP33" s="1353">
        <v>10723897704</v>
      </c>
      <c r="EQ33" s="1353">
        <v>10097168104</v>
      </c>
      <c r="ER33" s="1669">
        <f t="shared" si="32"/>
        <v>0</v>
      </c>
      <c r="ES33" s="1669">
        <f t="shared" si="33"/>
        <v>10723897.704</v>
      </c>
      <c r="ET33" s="1669">
        <f t="shared" si="34"/>
        <v>10097168.104</v>
      </c>
      <c r="FD33" s="1314" t="s">
        <v>953</v>
      </c>
      <c r="FE33" s="1314" t="s">
        <v>954</v>
      </c>
      <c r="FF33" s="1314" t="s">
        <v>447</v>
      </c>
      <c r="FG33" s="1314" t="s">
        <v>447</v>
      </c>
      <c r="FH33" s="244">
        <v>0</v>
      </c>
      <c r="FI33" s="244">
        <v>12114075704</v>
      </c>
      <c r="FJ33" s="244">
        <v>10685876104</v>
      </c>
      <c r="FK33" s="1676">
        <f t="shared" si="36"/>
        <v>0</v>
      </c>
      <c r="FL33" s="1676">
        <f t="shared" si="37"/>
        <v>12114075.704</v>
      </c>
      <c r="FM33" s="1676">
        <f t="shared" si="38"/>
        <v>10685876.104</v>
      </c>
    </row>
    <row r="34" spans="1:169" ht="15" x14ac:dyDescent="0.3">
      <c r="A34" s="1316" t="s">
        <v>452</v>
      </c>
      <c r="B34" s="1316" t="s">
        <v>128</v>
      </c>
      <c r="C34" s="1316" t="s">
        <v>447</v>
      </c>
      <c r="D34" s="1316" t="s">
        <v>447</v>
      </c>
      <c r="E34" s="1316" t="s">
        <v>547</v>
      </c>
      <c r="F34" s="1668">
        <v>10000</v>
      </c>
      <c r="G34" s="1668">
        <v>0</v>
      </c>
      <c r="H34" s="1668">
        <v>0</v>
      </c>
      <c r="I34" s="1668">
        <f t="shared" si="0"/>
        <v>10</v>
      </c>
      <c r="J34" s="1668">
        <f t="shared" si="1"/>
        <v>0</v>
      </c>
      <c r="K34" s="1668">
        <f t="shared" si="2"/>
        <v>0</v>
      </c>
      <c r="Y34" s="1314" t="s">
        <v>959</v>
      </c>
      <c r="Z34" s="1316" t="s">
        <v>960</v>
      </c>
      <c r="AA34" s="1316" t="s">
        <v>447</v>
      </c>
      <c r="AB34" s="1316" t="s">
        <v>447</v>
      </c>
      <c r="AC34" s="1353">
        <v>2260410000</v>
      </c>
      <c r="AD34" s="1353">
        <v>0</v>
      </c>
      <c r="AE34" s="1353">
        <v>0</v>
      </c>
      <c r="AF34" s="1353">
        <f t="shared" si="6"/>
        <v>2260410</v>
      </c>
      <c r="AG34" s="1353">
        <f t="shared" si="7"/>
        <v>0</v>
      </c>
      <c r="AH34" s="1353">
        <f t="shared" si="8"/>
        <v>0</v>
      </c>
      <c r="AR34" s="1673" t="s">
        <v>957</v>
      </c>
      <c r="AS34" s="1673" t="s">
        <v>958</v>
      </c>
      <c r="AT34" s="1673" t="s">
        <v>447</v>
      </c>
      <c r="AU34" s="1674" t="s">
        <v>447</v>
      </c>
      <c r="AV34" s="1675">
        <v>0</v>
      </c>
      <c r="AW34" s="1675">
        <v>754744088</v>
      </c>
      <c r="AX34" s="1675">
        <v>711544088</v>
      </c>
      <c r="AY34" s="1669">
        <f t="shared" si="10"/>
        <v>0</v>
      </c>
      <c r="AZ34" s="1669">
        <f t="shared" si="11"/>
        <v>754744.08799999999</v>
      </c>
      <c r="BA34" s="1669">
        <f t="shared" si="12"/>
        <v>711544.08799999999</v>
      </c>
      <c r="BK34" s="1316" t="s">
        <v>955</v>
      </c>
      <c r="BL34" s="1316" t="s">
        <v>956</v>
      </c>
      <c r="BM34" s="1316" t="s">
        <v>447</v>
      </c>
      <c r="BN34" s="1316" t="s">
        <v>447</v>
      </c>
      <c r="BO34" s="1353">
        <v>0</v>
      </c>
      <c r="BP34" s="1353">
        <v>3470113168</v>
      </c>
      <c r="BQ34" s="1353">
        <v>3470113168</v>
      </c>
      <c r="BR34" s="1676">
        <f t="shared" si="14"/>
        <v>0</v>
      </c>
      <c r="BS34" s="1676">
        <f t="shared" si="15"/>
        <v>3470113.1680000001</v>
      </c>
      <c r="BT34" s="1676">
        <f t="shared" si="16"/>
        <v>3470113.1680000001</v>
      </c>
      <c r="CE34" s="1316" t="s">
        <v>955</v>
      </c>
      <c r="CF34" s="1316" t="s">
        <v>956</v>
      </c>
      <c r="CG34" s="1316" t="s">
        <v>447</v>
      </c>
      <c r="CH34" s="1316" t="s">
        <v>447</v>
      </c>
      <c r="CI34" s="1677">
        <v>7925135000</v>
      </c>
      <c r="CJ34" s="1677">
        <v>0</v>
      </c>
      <c r="CK34" s="1677">
        <v>0</v>
      </c>
      <c r="CL34" s="1676">
        <f t="shared" si="18"/>
        <v>7925135</v>
      </c>
      <c r="CM34" s="1676">
        <f t="shared" si="19"/>
        <v>0</v>
      </c>
      <c r="CN34" s="1676">
        <f t="shared" si="20"/>
        <v>0</v>
      </c>
      <c r="CY34" s="1316" t="s">
        <v>955</v>
      </c>
      <c r="CZ34" s="1316" t="s">
        <v>956</v>
      </c>
      <c r="DA34" s="1316" t="s">
        <v>447</v>
      </c>
      <c r="DB34" s="1316" t="s">
        <v>447</v>
      </c>
      <c r="DC34" s="1677">
        <v>12492413182</v>
      </c>
      <c r="DD34" s="1677">
        <v>0</v>
      </c>
      <c r="DE34" s="1677">
        <v>0</v>
      </c>
      <c r="DF34" s="1669">
        <f t="shared" si="22"/>
        <v>12492413.182</v>
      </c>
      <c r="DG34" s="1669">
        <f t="shared" si="23"/>
        <v>0</v>
      </c>
      <c r="DH34" s="1669">
        <f t="shared" si="24"/>
        <v>0</v>
      </c>
      <c r="DS34" s="1678" t="s">
        <v>955</v>
      </c>
      <c r="DT34" s="1679" t="s">
        <v>956</v>
      </c>
      <c r="DU34" s="1679" t="s">
        <v>447</v>
      </c>
      <c r="DV34" s="1679" t="s">
        <v>447</v>
      </c>
      <c r="DW34" s="1680">
        <v>12492413182</v>
      </c>
      <c r="DX34" s="1680">
        <v>0</v>
      </c>
      <c r="DY34" s="1680">
        <v>0</v>
      </c>
      <c r="DZ34" s="1669">
        <f t="shared" si="26"/>
        <v>12492413.182</v>
      </c>
      <c r="EA34" s="1669">
        <f t="shared" si="27"/>
        <v>0</v>
      </c>
      <c r="EB34" s="1669">
        <f t="shared" si="28"/>
        <v>0</v>
      </c>
      <c r="EK34" s="1316" t="s">
        <v>955</v>
      </c>
      <c r="EL34" s="1316" t="s">
        <v>956</v>
      </c>
      <c r="EM34" s="1316" t="s">
        <v>447</v>
      </c>
      <c r="EN34" s="1316" t="s">
        <v>447</v>
      </c>
      <c r="EO34" s="1353">
        <v>12492413182</v>
      </c>
      <c r="EP34" s="1353">
        <v>0</v>
      </c>
      <c r="EQ34" s="1353">
        <v>0</v>
      </c>
      <c r="ER34" s="1669">
        <f t="shared" si="32"/>
        <v>12492413.182</v>
      </c>
      <c r="ES34" s="1669">
        <f t="shared" si="33"/>
        <v>0</v>
      </c>
      <c r="ET34" s="1669">
        <f t="shared" si="34"/>
        <v>0</v>
      </c>
      <c r="FD34" s="1314" t="s">
        <v>955</v>
      </c>
      <c r="FE34" s="1314" t="s">
        <v>956</v>
      </c>
      <c r="FF34" s="1314" t="s">
        <v>447</v>
      </c>
      <c r="FG34" s="1314" t="s">
        <v>447</v>
      </c>
      <c r="FH34" s="244">
        <v>8943749808</v>
      </c>
      <c r="FI34" s="244">
        <v>0</v>
      </c>
      <c r="FJ34" s="244">
        <v>0</v>
      </c>
      <c r="FK34" s="1676">
        <f t="shared" si="36"/>
        <v>8943749.8080000002</v>
      </c>
      <c r="FL34" s="1676">
        <f t="shared" si="37"/>
        <v>0</v>
      </c>
      <c r="FM34" s="1676">
        <f t="shared" si="38"/>
        <v>0</v>
      </c>
    </row>
    <row r="35" spans="1:169" ht="15" x14ac:dyDescent="0.3">
      <c r="A35" s="1316" t="s">
        <v>452</v>
      </c>
      <c r="B35" s="1316" t="s">
        <v>128</v>
      </c>
      <c r="C35" s="1316" t="s">
        <v>447</v>
      </c>
      <c r="D35" s="1316" t="s">
        <v>447</v>
      </c>
      <c r="E35" s="1316" t="s">
        <v>547</v>
      </c>
      <c r="F35" s="1668">
        <v>0</v>
      </c>
      <c r="G35" s="1668">
        <v>18204215</v>
      </c>
      <c r="H35" s="1668">
        <v>18204215</v>
      </c>
      <c r="I35" s="1668">
        <f t="shared" si="0"/>
        <v>0</v>
      </c>
      <c r="J35" s="1668">
        <f t="shared" si="1"/>
        <v>18204.215</v>
      </c>
      <c r="K35" s="1668">
        <f t="shared" si="2"/>
        <v>18204.215</v>
      </c>
      <c r="Y35" s="1314" t="s">
        <v>959</v>
      </c>
      <c r="Z35" s="1316" t="s">
        <v>960</v>
      </c>
      <c r="AA35" s="1316" t="s">
        <v>447</v>
      </c>
      <c r="AB35" s="1316" t="s">
        <v>447</v>
      </c>
      <c r="AC35" s="1353">
        <v>0</v>
      </c>
      <c r="AD35" s="1353">
        <v>250665791</v>
      </c>
      <c r="AE35" s="1353">
        <v>119696250</v>
      </c>
      <c r="AF35" s="1353">
        <f t="shared" si="6"/>
        <v>0</v>
      </c>
      <c r="AG35" s="1353">
        <f t="shared" si="7"/>
        <v>250665.791</v>
      </c>
      <c r="AH35" s="1353">
        <f t="shared" si="8"/>
        <v>119696.25</v>
      </c>
      <c r="AR35" s="1673" t="s">
        <v>959</v>
      </c>
      <c r="AS35" s="1673" t="s">
        <v>960</v>
      </c>
      <c r="AT35" s="1673" t="s">
        <v>447</v>
      </c>
      <c r="AU35" s="1674" t="s">
        <v>447</v>
      </c>
      <c r="AV35" s="1675">
        <v>2260410000</v>
      </c>
      <c r="AW35" s="1675">
        <v>0</v>
      </c>
      <c r="AX35" s="1675">
        <v>0</v>
      </c>
      <c r="AY35" s="1669">
        <f t="shared" si="10"/>
        <v>2260410</v>
      </c>
      <c r="AZ35" s="1669">
        <f t="shared" si="11"/>
        <v>0</v>
      </c>
      <c r="BA35" s="1669">
        <f t="shared" si="12"/>
        <v>0</v>
      </c>
      <c r="BK35" s="1316" t="s">
        <v>957</v>
      </c>
      <c r="BL35" s="1316" t="s">
        <v>958</v>
      </c>
      <c r="BM35" s="1316" t="s">
        <v>447</v>
      </c>
      <c r="BN35" s="1316" t="s">
        <v>447</v>
      </c>
      <c r="BO35" s="1353">
        <v>1946254000</v>
      </c>
      <c r="BP35" s="1353">
        <v>0</v>
      </c>
      <c r="BQ35" s="1353">
        <v>0</v>
      </c>
      <c r="BR35" s="1676">
        <f t="shared" si="14"/>
        <v>1946254</v>
      </c>
      <c r="BS35" s="1676">
        <f t="shared" si="15"/>
        <v>0</v>
      </c>
      <c r="BT35" s="1676">
        <f t="shared" si="16"/>
        <v>0</v>
      </c>
      <c r="CE35" s="1316" t="s">
        <v>955</v>
      </c>
      <c r="CF35" s="1316" t="s">
        <v>956</v>
      </c>
      <c r="CG35" s="1316" t="s">
        <v>447</v>
      </c>
      <c r="CH35" s="1316" t="s">
        <v>447</v>
      </c>
      <c r="CI35" s="1677">
        <v>0</v>
      </c>
      <c r="CJ35" s="1677">
        <v>3801613168</v>
      </c>
      <c r="CK35" s="1677">
        <v>3801613168</v>
      </c>
      <c r="CL35" s="1676">
        <f t="shared" ref="CL35:CL51" si="39">+CI35/$CL$1*$CM$1</f>
        <v>0</v>
      </c>
      <c r="CM35" s="1676">
        <f t="shared" ref="CM35:CM51" si="40">+CJ35/$CL$1*$CM$1</f>
        <v>3801613.1680000001</v>
      </c>
      <c r="CN35" s="1676">
        <f t="shared" ref="CN35:CN51" si="41">+CK35/$CL$1*$CM$1</f>
        <v>3801613.1680000001</v>
      </c>
      <c r="CY35" s="1316" t="s">
        <v>955</v>
      </c>
      <c r="CZ35" s="1316" t="s">
        <v>956</v>
      </c>
      <c r="DA35" s="1316" t="s">
        <v>447</v>
      </c>
      <c r="DB35" s="1316" t="s">
        <v>447</v>
      </c>
      <c r="DC35" s="1677">
        <v>0</v>
      </c>
      <c r="DD35" s="1677">
        <v>3992413168</v>
      </c>
      <c r="DE35" s="1677">
        <v>3801613168</v>
      </c>
      <c r="DF35" s="1669">
        <f t="shared" ref="DF35:DF51" si="42">+DC35/$DG$1*$DH$1</f>
        <v>0</v>
      </c>
      <c r="DG35" s="1669">
        <f t="shared" ref="DG35:DG51" si="43">+DD35/$DG$1*$DH$1</f>
        <v>3992413.1680000001</v>
      </c>
      <c r="DH35" s="1669">
        <f t="shared" ref="DH35:DH51" si="44">+DE35/$DG$1*$DH$1</f>
        <v>3801613.1680000001</v>
      </c>
      <c r="DS35" s="1678" t="s">
        <v>955</v>
      </c>
      <c r="DT35" s="1679" t="s">
        <v>956</v>
      </c>
      <c r="DU35" s="1679" t="s">
        <v>447</v>
      </c>
      <c r="DV35" s="1679" t="s">
        <v>447</v>
      </c>
      <c r="DW35" s="1680">
        <v>0</v>
      </c>
      <c r="DX35" s="1680">
        <v>3992413168</v>
      </c>
      <c r="DY35" s="1680">
        <v>3801613168</v>
      </c>
      <c r="DZ35" s="1669">
        <f t="shared" ref="DZ35:DZ52" si="45">+DW35/$EA$1*$EB$1</f>
        <v>0</v>
      </c>
      <c r="EA35" s="1669">
        <f t="shared" ref="EA35:EA52" si="46">+DX35/$EA$1*$EB$1</f>
        <v>3992413.1680000001</v>
      </c>
      <c r="EB35" s="1669">
        <f t="shared" ref="EB35:EB52" si="47">+DY35/$EA$1*$EB$1</f>
        <v>3801613.1680000001</v>
      </c>
      <c r="EK35" s="1316" t="s">
        <v>955</v>
      </c>
      <c r="EL35" s="1316" t="s">
        <v>956</v>
      </c>
      <c r="EM35" s="1316" t="s">
        <v>447</v>
      </c>
      <c r="EN35" s="1316" t="s">
        <v>447</v>
      </c>
      <c r="EO35" s="1353">
        <v>0</v>
      </c>
      <c r="EP35" s="1353">
        <v>6158949808</v>
      </c>
      <c r="EQ35" s="1353">
        <v>3992413168</v>
      </c>
      <c r="ER35" s="1669">
        <f t="shared" si="32"/>
        <v>0</v>
      </c>
      <c r="ES35" s="1669">
        <f t="shared" si="33"/>
        <v>6158949.8080000002</v>
      </c>
      <c r="ET35" s="1669">
        <f t="shared" si="34"/>
        <v>3992413.1680000001</v>
      </c>
      <c r="FD35" s="1314" t="s">
        <v>955</v>
      </c>
      <c r="FE35" s="1314" t="s">
        <v>956</v>
      </c>
      <c r="FF35" s="1314" t="s">
        <v>447</v>
      </c>
      <c r="FG35" s="1314" t="s">
        <v>447</v>
      </c>
      <c r="FH35" s="244">
        <v>0</v>
      </c>
      <c r="FI35" s="244">
        <v>6943749808</v>
      </c>
      <c r="FJ35" s="244">
        <v>3992413168</v>
      </c>
      <c r="FK35" s="1676">
        <f t="shared" si="36"/>
        <v>0</v>
      </c>
      <c r="FL35" s="1676">
        <f t="shared" si="37"/>
        <v>6943749.8080000002</v>
      </c>
      <c r="FM35" s="1676">
        <f t="shared" si="38"/>
        <v>3992413.1680000001</v>
      </c>
    </row>
    <row r="36" spans="1:169" ht="15" x14ac:dyDescent="0.3">
      <c r="I36" s="1685">
        <f>SUM(I3:I35)</f>
        <v>271469048</v>
      </c>
      <c r="J36" s="1685">
        <f t="shared" ref="J36:K36" si="48">SUM(J3:J35)</f>
        <v>10929260.155999998</v>
      </c>
      <c r="K36" s="1685">
        <f t="shared" si="48"/>
        <v>5334671.1740000006</v>
      </c>
      <c r="Y36" s="1314" t="s">
        <v>961</v>
      </c>
      <c r="Z36" s="1316" t="s">
        <v>962</v>
      </c>
      <c r="AA36" s="1316" t="s">
        <v>447</v>
      </c>
      <c r="AB36" s="1316" t="s">
        <v>447</v>
      </c>
      <c r="AC36" s="1353">
        <v>21256852000</v>
      </c>
      <c r="AD36" s="1353">
        <v>0</v>
      </c>
      <c r="AE36" s="1353">
        <v>0</v>
      </c>
      <c r="AF36" s="1353">
        <f t="shared" si="6"/>
        <v>21256852</v>
      </c>
      <c r="AG36" s="1353">
        <f t="shared" si="7"/>
        <v>0</v>
      </c>
      <c r="AH36" s="1353">
        <f t="shared" si="8"/>
        <v>0</v>
      </c>
      <c r="AR36" s="1673" t="s">
        <v>959</v>
      </c>
      <c r="AS36" s="1673" t="s">
        <v>960</v>
      </c>
      <c r="AT36" s="1673" t="s">
        <v>447</v>
      </c>
      <c r="AU36" s="1674" t="s">
        <v>447</v>
      </c>
      <c r="AV36" s="1675">
        <v>0</v>
      </c>
      <c r="AW36" s="1675">
        <v>260665791</v>
      </c>
      <c r="AX36" s="1675">
        <v>260665791</v>
      </c>
      <c r="AY36" s="1669">
        <f t="shared" si="10"/>
        <v>0</v>
      </c>
      <c r="AZ36" s="1669">
        <f t="shared" si="11"/>
        <v>260665.791</v>
      </c>
      <c r="BA36" s="1669">
        <f t="shared" si="12"/>
        <v>260665.791</v>
      </c>
      <c r="BK36" s="1316" t="s">
        <v>957</v>
      </c>
      <c r="BL36" s="1316" t="s">
        <v>958</v>
      </c>
      <c r="BM36" s="1316" t="s">
        <v>447</v>
      </c>
      <c r="BN36" s="1316" t="s">
        <v>447</v>
      </c>
      <c r="BO36" s="1353">
        <v>0</v>
      </c>
      <c r="BP36" s="1353">
        <v>932169972</v>
      </c>
      <c r="BQ36" s="1353">
        <v>854169972</v>
      </c>
      <c r="BR36" s="1676">
        <f t="shared" si="14"/>
        <v>0</v>
      </c>
      <c r="BS36" s="1676">
        <f t="shared" si="15"/>
        <v>932169.97199999995</v>
      </c>
      <c r="BT36" s="1676">
        <f t="shared" si="16"/>
        <v>854169.97199999995</v>
      </c>
      <c r="CE36" s="1316" t="s">
        <v>957</v>
      </c>
      <c r="CF36" s="1316" t="s">
        <v>958</v>
      </c>
      <c r="CG36" s="1316" t="s">
        <v>447</v>
      </c>
      <c r="CH36" s="1316" t="s">
        <v>447</v>
      </c>
      <c r="CI36" s="1677">
        <v>1946254000</v>
      </c>
      <c r="CJ36" s="1677">
        <v>0</v>
      </c>
      <c r="CK36" s="1677">
        <v>0</v>
      </c>
      <c r="CL36" s="1676">
        <f t="shared" si="39"/>
        <v>1946254</v>
      </c>
      <c r="CM36" s="1676">
        <f t="shared" si="40"/>
        <v>0</v>
      </c>
      <c r="CN36" s="1676">
        <f t="shared" si="41"/>
        <v>0</v>
      </c>
      <c r="CY36" s="1316" t="s">
        <v>957</v>
      </c>
      <c r="CZ36" s="1316" t="s">
        <v>958</v>
      </c>
      <c r="DA36" s="1316" t="s">
        <v>447</v>
      </c>
      <c r="DB36" s="1316" t="s">
        <v>447</v>
      </c>
      <c r="DC36" s="1677">
        <v>5152457910</v>
      </c>
      <c r="DD36" s="1677">
        <v>0</v>
      </c>
      <c r="DE36" s="1677">
        <v>0</v>
      </c>
      <c r="DF36" s="1669">
        <f t="shared" si="42"/>
        <v>5152457.91</v>
      </c>
      <c r="DG36" s="1669">
        <f t="shared" si="43"/>
        <v>0</v>
      </c>
      <c r="DH36" s="1669">
        <f t="shared" si="44"/>
        <v>0</v>
      </c>
      <c r="DS36" s="1678" t="s">
        <v>957</v>
      </c>
      <c r="DT36" s="1679" t="s">
        <v>958</v>
      </c>
      <c r="DU36" s="1679" t="s">
        <v>447</v>
      </c>
      <c r="DV36" s="1679" t="s">
        <v>447</v>
      </c>
      <c r="DW36" s="1680">
        <v>5152457910</v>
      </c>
      <c r="DX36" s="1680">
        <v>0</v>
      </c>
      <c r="DY36" s="1680">
        <v>0</v>
      </c>
      <c r="DZ36" s="1669">
        <f t="shared" si="45"/>
        <v>5152457.91</v>
      </c>
      <c r="EA36" s="1669">
        <f t="shared" si="46"/>
        <v>0</v>
      </c>
      <c r="EB36" s="1669">
        <f t="shared" si="47"/>
        <v>0</v>
      </c>
      <c r="EK36" s="1316" t="s">
        <v>957</v>
      </c>
      <c r="EL36" s="1316" t="s">
        <v>958</v>
      </c>
      <c r="EM36" s="1316" t="s">
        <v>447</v>
      </c>
      <c r="EN36" s="1316" t="s">
        <v>447</v>
      </c>
      <c r="EO36" s="1353">
        <v>5152457910</v>
      </c>
      <c r="EP36" s="1353">
        <v>0</v>
      </c>
      <c r="EQ36" s="1353">
        <v>0</v>
      </c>
      <c r="ER36" s="1669">
        <f t="shared" si="32"/>
        <v>5152457.91</v>
      </c>
      <c r="ES36" s="1669">
        <f t="shared" si="33"/>
        <v>0</v>
      </c>
      <c r="ET36" s="1669">
        <f t="shared" si="34"/>
        <v>0</v>
      </c>
      <c r="FD36" s="1314" t="s">
        <v>957</v>
      </c>
      <c r="FE36" s="1314" t="s">
        <v>958</v>
      </c>
      <c r="FF36" s="1314" t="s">
        <v>447</v>
      </c>
      <c r="FG36" s="1314" t="s">
        <v>447</v>
      </c>
      <c r="FH36" s="244">
        <v>5152457910</v>
      </c>
      <c r="FI36" s="244">
        <v>0</v>
      </c>
      <c r="FJ36" s="244">
        <v>0</v>
      </c>
      <c r="FK36" s="1676">
        <f t="shared" si="36"/>
        <v>5152457.91</v>
      </c>
      <c r="FL36" s="1676">
        <f t="shared" si="37"/>
        <v>0</v>
      </c>
      <c r="FM36" s="1676">
        <f t="shared" si="38"/>
        <v>0</v>
      </c>
    </row>
    <row r="37" spans="1:169" ht="15" x14ac:dyDescent="0.3">
      <c r="Y37" s="1314" t="s">
        <v>963</v>
      </c>
      <c r="Z37" s="1316" t="s">
        <v>964</v>
      </c>
      <c r="AA37" s="1316" t="s">
        <v>447</v>
      </c>
      <c r="AB37" s="1316" t="s">
        <v>447</v>
      </c>
      <c r="AC37" s="1353">
        <v>17487115000</v>
      </c>
      <c r="AD37" s="1353">
        <v>0</v>
      </c>
      <c r="AE37" s="1353">
        <v>0</v>
      </c>
      <c r="AF37" s="1353">
        <f t="shared" si="6"/>
        <v>17487115</v>
      </c>
      <c r="AG37" s="1353">
        <f t="shared" si="7"/>
        <v>0</v>
      </c>
      <c r="AH37" s="1353">
        <f t="shared" si="8"/>
        <v>0</v>
      </c>
      <c r="AR37" s="1673" t="s">
        <v>961</v>
      </c>
      <c r="AS37" s="1673" t="s">
        <v>962</v>
      </c>
      <c r="AT37" s="1673" t="s">
        <v>447</v>
      </c>
      <c r="AU37" s="1674" t="s">
        <v>447</v>
      </c>
      <c r="AV37" s="1675">
        <v>21256852000</v>
      </c>
      <c r="AW37" s="1675">
        <v>0</v>
      </c>
      <c r="AX37" s="1675">
        <v>0</v>
      </c>
      <c r="AY37" s="1669">
        <f t="shared" si="10"/>
        <v>21256852</v>
      </c>
      <c r="AZ37" s="1669">
        <f t="shared" si="11"/>
        <v>0</v>
      </c>
      <c r="BA37" s="1669">
        <f t="shared" si="12"/>
        <v>0</v>
      </c>
      <c r="BK37" s="1316" t="s">
        <v>959</v>
      </c>
      <c r="BL37" s="1316" t="s">
        <v>960</v>
      </c>
      <c r="BM37" s="1316" t="s">
        <v>447</v>
      </c>
      <c r="BN37" s="1316" t="s">
        <v>447</v>
      </c>
      <c r="BO37" s="1353">
        <v>2260410000</v>
      </c>
      <c r="BP37" s="1353">
        <v>0</v>
      </c>
      <c r="BQ37" s="1353">
        <v>0</v>
      </c>
      <c r="BR37" s="1676">
        <f t="shared" si="14"/>
        <v>2260410</v>
      </c>
      <c r="BS37" s="1676">
        <f t="shared" si="15"/>
        <v>0</v>
      </c>
      <c r="BT37" s="1676">
        <f t="shared" si="16"/>
        <v>0</v>
      </c>
      <c r="CE37" s="1316" t="s">
        <v>957</v>
      </c>
      <c r="CF37" s="1316" t="s">
        <v>958</v>
      </c>
      <c r="CG37" s="1316" t="s">
        <v>447</v>
      </c>
      <c r="CH37" s="1316" t="s">
        <v>447</v>
      </c>
      <c r="CI37" s="1677">
        <v>0</v>
      </c>
      <c r="CJ37" s="1677">
        <v>1414502479</v>
      </c>
      <c r="CK37" s="1677">
        <v>1240487229</v>
      </c>
      <c r="CL37" s="1676">
        <f t="shared" si="39"/>
        <v>0</v>
      </c>
      <c r="CM37" s="1676">
        <f t="shared" si="40"/>
        <v>1414502.4790000001</v>
      </c>
      <c r="CN37" s="1676">
        <f t="shared" si="41"/>
        <v>1240487.2290000001</v>
      </c>
      <c r="CY37" s="1316" t="s">
        <v>957</v>
      </c>
      <c r="CZ37" s="1316" t="s">
        <v>958</v>
      </c>
      <c r="DA37" s="1316" t="s">
        <v>447</v>
      </c>
      <c r="DB37" s="1316" t="s">
        <v>447</v>
      </c>
      <c r="DC37" s="1677">
        <v>0</v>
      </c>
      <c r="DD37" s="1677">
        <v>2583236000</v>
      </c>
      <c r="DE37" s="1677">
        <v>1594015432</v>
      </c>
      <c r="DF37" s="1669">
        <f t="shared" si="42"/>
        <v>0</v>
      </c>
      <c r="DG37" s="1669">
        <f t="shared" si="43"/>
        <v>2583236</v>
      </c>
      <c r="DH37" s="1669">
        <f t="shared" si="44"/>
        <v>1594015.432</v>
      </c>
      <c r="DS37" s="1678" t="s">
        <v>957</v>
      </c>
      <c r="DT37" s="1679" t="s">
        <v>958</v>
      </c>
      <c r="DU37" s="1679" t="s">
        <v>447</v>
      </c>
      <c r="DV37" s="1679" t="s">
        <v>447</v>
      </c>
      <c r="DW37" s="1680">
        <v>0</v>
      </c>
      <c r="DX37" s="1680">
        <v>3660972187</v>
      </c>
      <c r="DY37" s="1680">
        <v>3452204672</v>
      </c>
      <c r="DZ37" s="1669">
        <f t="shared" si="45"/>
        <v>0</v>
      </c>
      <c r="EA37" s="1669">
        <f t="shared" si="46"/>
        <v>3660972.1869999999</v>
      </c>
      <c r="EB37" s="1669">
        <f t="shared" si="47"/>
        <v>3452204.6719999998</v>
      </c>
      <c r="EK37" s="1316" t="s">
        <v>957</v>
      </c>
      <c r="EL37" s="1316" t="s">
        <v>958</v>
      </c>
      <c r="EM37" s="1316" t="s">
        <v>447</v>
      </c>
      <c r="EN37" s="1316" t="s">
        <v>447</v>
      </c>
      <c r="EO37" s="1353">
        <v>0</v>
      </c>
      <c r="EP37" s="1353">
        <v>3708096341</v>
      </c>
      <c r="EQ37" s="1353">
        <v>3652476341</v>
      </c>
      <c r="ER37" s="1669">
        <f t="shared" si="32"/>
        <v>0</v>
      </c>
      <c r="ES37" s="1669">
        <f t="shared" si="33"/>
        <v>3708096.341</v>
      </c>
      <c r="ET37" s="1669">
        <f t="shared" si="34"/>
        <v>3652476.341</v>
      </c>
      <c r="FD37" s="1314" t="s">
        <v>957</v>
      </c>
      <c r="FE37" s="1314" t="s">
        <v>958</v>
      </c>
      <c r="FF37" s="1314" t="s">
        <v>447</v>
      </c>
      <c r="FG37" s="1314" t="s">
        <v>447</v>
      </c>
      <c r="FH37" s="244">
        <v>0</v>
      </c>
      <c r="FI37" s="244">
        <v>3751656341</v>
      </c>
      <c r="FJ37" s="244">
        <v>3652476341</v>
      </c>
      <c r="FK37" s="1676">
        <f t="shared" si="36"/>
        <v>0</v>
      </c>
      <c r="FL37" s="1676">
        <f t="shared" si="37"/>
        <v>3751656.341</v>
      </c>
      <c r="FM37" s="1676">
        <f t="shared" si="38"/>
        <v>3652476.341</v>
      </c>
    </row>
    <row r="38" spans="1:169" ht="15" x14ac:dyDescent="0.3">
      <c r="Y38" s="1314" t="s">
        <v>963</v>
      </c>
      <c r="Z38" s="1316" t="s">
        <v>964</v>
      </c>
      <c r="AA38" s="1316" t="s">
        <v>447</v>
      </c>
      <c r="AB38" s="1316" t="s">
        <v>447</v>
      </c>
      <c r="AC38" s="1353">
        <v>0</v>
      </c>
      <c r="AD38" s="1353">
        <v>3887822429</v>
      </c>
      <c r="AE38" s="1353">
        <v>2260536644</v>
      </c>
      <c r="AF38" s="1353">
        <f t="shared" si="6"/>
        <v>0</v>
      </c>
      <c r="AG38" s="1353">
        <f t="shared" si="7"/>
        <v>3887822.429</v>
      </c>
      <c r="AH38" s="1353">
        <f t="shared" si="8"/>
        <v>2260536.6439999999</v>
      </c>
      <c r="AR38" s="1673" t="s">
        <v>963</v>
      </c>
      <c r="AS38" s="1673" t="s">
        <v>964</v>
      </c>
      <c r="AT38" s="1673" t="s">
        <v>447</v>
      </c>
      <c r="AU38" s="1674" t="s">
        <v>447</v>
      </c>
      <c r="AV38" s="1675">
        <v>17487115000</v>
      </c>
      <c r="AW38" s="1675">
        <v>0</v>
      </c>
      <c r="AX38" s="1675">
        <v>0</v>
      </c>
      <c r="AY38" s="1669">
        <f t="shared" si="10"/>
        <v>17487115</v>
      </c>
      <c r="AZ38" s="1669">
        <f t="shared" si="11"/>
        <v>0</v>
      </c>
      <c r="BA38" s="1669">
        <f t="shared" si="12"/>
        <v>0</v>
      </c>
      <c r="BK38" s="1316" t="s">
        <v>959</v>
      </c>
      <c r="BL38" s="1316" t="s">
        <v>960</v>
      </c>
      <c r="BM38" s="1316" t="s">
        <v>447</v>
      </c>
      <c r="BN38" s="1316" t="s">
        <v>447</v>
      </c>
      <c r="BO38" s="1353">
        <v>0</v>
      </c>
      <c r="BP38" s="1353">
        <v>302326791</v>
      </c>
      <c r="BQ38" s="1353">
        <v>302326791</v>
      </c>
      <c r="BR38" s="1676">
        <f t="shared" si="14"/>
        <v>0</v>
      </c>
      <c r="BS38" s="1676">
        <f t="shared" si="15"/>
        <v>302326.79100000003</v>
      </c>
      <c r="BT38" s="1676">
        <f t="shared" si="16"/>
        <v>302326.79100000003</v>
      </c>
      <c r="CE38" s="1316" t="s">
        <v>959</v>
      </c>
      <c r="CF38" s="1316" t="s">
        <v>960</v>
      </c>
      <c r="CG38" s="1316" t="s">
        <v>447</v>
      </c>
      <c r="CH38" s="1316" t="s">
        <v>447</v>
      </c>
      <c r="CI38" s="1677">
        <v>2260410000</v>
      </c>
      <c r="CJ38" s="1677">
        <v>0</v>
      </c>
      <c r="CK38" s="1677">
        <v>0</v>
      </c>
      <c r="CL38" s="1676">
        <f t="shared" si="39"/>
        <v>2260410</v>
      </c>
      <c r="CM38" s="1676">
        <f t="shared" si="40"/>
        <v>0</v>
      </c>
      <c r="CN38" s="1676">
        <f t="shared" si="41"/>
        <v>0</v>
      </c>
      <c r="CY38" s="1316" t="s">
        <v>959</v>
      </c>
      <c r="CZ38" s="1316" t="s">
        <v>960</v>
      </c>
      <c r="DA38" s="1316" t="s">
        <v>447</v>
      </c>
      <c r="DB38" s="1316" t="s">
        <v>447</v>
      </c>
      <c r="DC38" s="1677">
        <v>3219610000</v>
      </c>
      <c r="DD38" s="1677">
        <v>0</v>
      </c>
      <c r="DE38" s="1677">
        <v>0</v>
      </c>
      <c r="DF38" s="1669">
        <f t="shared" si="42"/>
        <v>3219610</v>
      </c>
      <c r="DG38" s="1669">
        <f t="shared" si="43"/>
        <v>0</v>
      </c>
      <c r="DH38" s="1669">
        <f t="shared" si="44"/>
        <v>0</v>
      </c>
      <c r="DS38" s="1678" t="s">
        <v>959</v>
      </c>
      <c r="DT38" s="1679" t="s">
        <v>960</v>
      </c>
      <c r="DU38" s="1679" t="s">
        <v>447</v>
      </c>
      <c r="DV38" s="1679" t="s">
        <v>447</v>
      </c>
      <c r="DW38" s="1680">
        <v>3219610000</v>
      </c>
      <c r="DX38" s="1680">
        <v>0</v>
      </c>
      <c r="DY38" s="1680">
        <v>0</v>
      </c>
      <c r="DZ38" s="1669">
        <f t="shared" si="45"/>
        <v>3219610</v>
      </c>
      <c r="EA38" s="1669">
        <f t="shared" si="46"/>
        <v>0</v>
      </c>
      <c r="EB38" s="1669">
        <f t="shared" si="47"/>
        <v>0</v>
      </c>
      <c r="EK38" s="1316" t="s">
        <v>959</v>
      </c>
      <c r="EL38" s="1316" t="s">
        <v>960</v>
      </c>
      <c r="EM38" s="1316" t="s">
        <v>447</v>
      </c>
      <c r="EN38" s="1316" t="s">
        <v>447</v>
      </c>
      <c r="EO38" s="1353">
        <v>3219610000</v>
      </c>
      <c r="EP38" s="1353">
        <v>0</v>
      </c>
      <c r="EQ38" s="1353">
        <v>0</v>
      </c>
      <c r="ER38" s="1669">
        <f t="shared" si="32"/>
        <v>3219610</v>
      </c>
      <c r="ES38" s="1669">
        <f t="shared" si="33"/>
        <v>0</v>
      </c>
      <c r="ET38" s="1669">
        <f t="shared" si="34"/>
        <v>0</v>
      </c>
      <c r="FD38" s="1314" t="s">
        <v>959</v>
      </c>
      <c r="FE38" s="1314" t="s">
        <v>960</v>
      </c>
      <c r="FF38" s="1314" t="s">
        <v>447</v>
      </c>
      <c r="FG38" s="1314" t="s">
        <v>447</v>
      </c>
      <c r="FH38" s="244">
        <v>3219610000</v>
      </c>
      <c r="FI38" s="244">
        <v>0</v>
      </c>
      <c r="FJ38" s="244">
        <v>0</v>
      </c>
      <c r="FK38" s="1676">
        <f t="shared" si="36"/>
        <v>3219610</v>
      </c>
      <c r="FL38" s="1676">
        <f t="shared" si="37"/>
        <v>0</v>
      </c>
      <c r="FM38" s="1676">
        <f t="shared" si="38"/>
        <v>0</v>
      </c>
    </row>
    <row r="39" spans="1:169" ht="15" x14ac:dyDescent="0.3">
      <c r="Y39" s="1314" t="s">
        <v>965</v>
      </c>
      <c r="Z39" s="1316" t="s">
        <v>966</v>
      </c>
      <c r="AA39" s="1316" t="s">
        <v>447</v>
      </c>
      <c r="AB39" s="1316" t="s">
        <v>447</v>
      </c>
      <c r="AC39" s="1353">
        <v>14656065000</v>
      </c>
      <c r="AD39" s="1353">
        <v>0</v>
      </c>
      <c r="AE39" s="1353">
        <v>0</v>
      </c>
      <c r="AF39" s="1353">
        <f t="shared" si="6"/>
        <v>14656065</v>
      </c>
      <c r="AG39" s="1353">
        <f t="shared" si="7"/>
        <v>0</v>
      </c>
      <c r="AH39" s="1353">
        <f t="shared" si="8"/>
        <v>0</v>
      </c>
      <c r="AR39" s="1673" t="s">
        <v>963</v>
      </c>
      <c r="AS39" s="1673" t="s">
        <v>964</v>
      </c>
      <c r="AT39" s="1673" t="s">
        <v>447</v>
      </c>
      <c r="AU39" s="1674" t="s">
        <v>447</v>
      </c>
      <c r="AV39" s="1675">
        <v>0</v>
      </c>
      <c r="AW39" s="1675">
        <v>5116917460</v>
      </c>
      <c r="AX39" s="1675">
        <v>3775609035</v>
      </c>
      <c r="AY39" s="1669">
        <f t="shared" si="10"/>
        <v>0</v>
      </c>
      <c r="AZ39" s="1669">
        <f t="shared" si="11"/>
        <v>5116917.46</v>
      </c>
      <c r="BA39" s="1669">
        <f t="shared" si="12"/>
        <v>3775609.0350000001</v>
      </c>
      <c r="BK39" s="1316" t="s">
        <v>961</v>
      </c>
      <c r="BL39" s="1316" t="s">
        <v>962</v>
      </c>
      <c r="BM39" s="1316" t="s">
        <v>447</v>
      </c>
      <c r="BN39" s="1316" t="s">
        <v>447</v>
      </c>
      <c r="BO39" s="1353">
        <v>21256852000</v>
      </c>
      <c r="BP39" s="1353">
        <v>0</v>
      </c>
      <c r="BQ39" s="1353">
        <v>0</v>
      </c>
      <c r="BR39" s="1676">
        <f t="shared" si="14"/>
        <v>21256852</v>
      </c>
      <c r="BS39" s="1676">
        <f t="shared" si="15"/>
        <v>0</v>
      </c>
      <c r="BT39" s="1676">
        <f t="shared" si="16"/>
        <v>0</v>
      </c>
      <c r="CE39" s="1316" t="s">
        <v>959</v>
      </c>
      <c r="CF39" s="1316" t="s">
        <v>960</v>
      </c>
      <c r="CG39" s="1316" t="s">
        <v>447</v>
      </c>
      <c r="CH39" s="1316" t="s">
        <v>447</v>
      </c>
      <c r="CI39" s="1677">
        <v>0</v>
      </c>
      <c r="CJ39" s="1677">
        <v>504690468</v>
      </c>
      <c r="CK39" s="1677">
        <v>504690468</v>
      </c>
      <c r="CL39" s="1676">
        <f t="shared" si="39"/>
        <v>0</v>
      </c>
      <c r="CM39" s="1676">
        <f t="shared" si="40"/>
        <v>504690.46799999999</v>
      </c>
      <c r="CN39" s="1676">
        <f t="shared" si="41"/>
        <v>504690.46799999999</v>
      </c>
      <c r="CY39" s="1316" t="s">
        <v>959</v>
      </c>
      <c r="CZ39" s="1316" t="s">
        <v>960</v>
      </c>
      <c r="DA39" s="1316" t="s">
        <v>447</v>
      </c>
      <c r="DB39" s="1316" t="s">
        <v>447</v>
      </c>
      <c r="DC39" s="1677">
        <v>0</v>
      </c>
      <c r="DD39" s="1677">
        <v>853619269</v>
      </c>
      <c r="DE39" s="1677">
        <v>588985276</v>
      </c>
      <c r="DF39" s="1669">
        <f t="shared" si="42"/>
        <v>0</v>
      </c>
      <c r="DG39" s="1669">
        <f t="shared" si="43"/>
        <v>853619.26899999997</v>
      </c>
      <c r="DH39" s="1669">
        <f t="shared" si="44"/>
        <v>588985.27599999995</v>
      </c>
      <c r="DS39" s="1678" t="s">
        <v>959</v>
      </c>
      <c r="DT39" s="1679" t="s">
        <v>960</v>
      </c>
      <c r="DU39" s="1679" t="s">
        <v>447</v>
      </c>
      <c r="DV39" s="1679" t="s">
        <v>447</v>
      </c>
      <c r="DW39" s="1680">
        <v>0</v>
      </c>
      <c r="DX39" s="1680">
        <v>1393338800</v>
      </c>
      <c r="DY39" s="1680">
        <v>1191649425</v>
      </c>
      <c r="DZ39" s="1669">
        <f t="shared" si="45"/>
        <v>0</v>
      </c>
      <c r="EA39" s="1669">
        <f t="shared" si="46"/>
        <v>1393338.8</v>
      </c>
      <c r="EB39" s="1669">
        <f t="shared" si="47"/>
        <v>1191649.425</v>
      </c>
      <c r="EK39" s="1316" t="s">
        <v>959</v>
      </c>
      <c r="EL39" s="1316" t="s">
        <v>960</v>
      </c>
      <c r="EM39" s="1316" t="s">
        <v>447</v>
      </c>
      <c r="EN39" s="1316" t="s">
        <v>447</v>
      </c>
      <c r="EO39" s="1353">
        <v>0</v>
      </c>
      <c r="EP39" s="1353">
        <v>1877843789</v>
      </c>
      <c r="EQ39" s="1353">
        <v>1793511684</v>
      </c>
      <c r="ER39" s="1669">
        <f t="shared" si="32"/>
        <v>0</v>
      </c>
      <c r="ES39" s="1669">
        <f t="shared" si="33"/>
        <v>1877843.7890000001</v>
      </c>
      <c r="ET39" s="1669">
        <f t="shared" si="34"/>
        <v>1793511.6839999999</v>
      </c>
      <c r="FD39" s="1314" t="s">
        <v>959</v>
      </c>
      <c r="FE39" s="1314" t="s">
        <v>960</v>
      </c>
      <c r="FF39" s="1314" t="s">
        <v>447</v>
      </c>
      <c r="FG39" s="1314" t="s">
        <v>447</v>
      </c>
      <c r="FH39" s="244">
        <v>0</v>
      </c>
      <c r="FI39" s="244">
        <v>2307092928</v>
      </c>
      <c r="FJ39" s="244">
        <v>2236624823</v>
      </c>
      <c r="FK39" s="1676">
        <f t="shared" si="36"/>
        <v>0</v>
      </c>
      <c r="FL39" s="1676">
        <f t="shared" si="37"/>
        <v>2307092.9279999998</v>
      </c>
      <c r="FM39" s="1676">
        <f t="shared" si="38"/>
        <v>2236624.8229999999</v>
      </c>
    </row>
    <row r="40" spans="1:169" ht="15" x14ac:dyDescent="0.3">
      <c r="Y40" s="1314" t="s">
        <v>965</v>
      </c>
      <c r="Z40" s="1316" t="s">
        <v>966</v>
      </c>
      <c r="AA40" s="1316" t="s">
        <v>447</v>
      </c>
      <c r="AB40" s="1316" t="s">
        <v>447</v>
      </c>
      <c r="AC40" s="1353">
        <v>0</v>
      </c>
      <c r="AD40" s="1353">
        <v>93732000</v>
      </c>
      <c r="AE40" s="1353">
        <v>0</v>
      </c>
      <c r="AF40" s="1353">
        <f t="shared" si="6"/>
        <v>0</v>
      </c>
      <c r="AG40" s="1353">
        <f t="shared" si="7"/>
        <v>93732</v>
      </c>
      <c r="AH40" s="1353">
        <f t="shared" si="8"/>
        <v>0</v>
      </c>
      <c r="AR40" s="1673" t="s">
        <v>965</v>
      </c>
      <c r="AS40" s="1673" t="s">
        <v>966</v>
      </c>
      <c r="AT40" s="1673" t="s">
        <v>447</v>
      </c>
      <c r="AU40" s="1674" t="s">
        <v>447</v>
      </c>
      <c r="AV40" s="1675">
        <v>14616065000</v>
      </c>
      <c r="AW40" s="1675">
        <v>0</v>
      </c>
      <c r="AX40" s="1675">
        <v>0</v>
      </c>
      <c r="AY40" s="1669">
        <f t="shared" si="10"/>
        <v>14616065</v>
      </c>
      <c r="AZ40" s="1669">
        <f t="shared" si="11"/>
        <v>0</v>
      </c>
      <c r="BA40" s="1669">
        <f t="shared" si="12"/>
        <v>0</v>
      </c>
      <c r="BK40" s="1316" t="s">
        <v>963</v>
      </c>
      <c r="BL40" s="1316" t="s">
        <v>964</v>
      </c>
      <c r="BM40" s="1316" t="s">
        <v>447</v>
      </c>
      <c r="BN40" s="1316" t="s">
        <v>447</v>
      </c>
      <c r="BO40" s="1353">
        <v>17487115000</v>
      </c>
      <c r="BP40" s="1353">
        <v>0</v>
      </c>
      <c r="BQ40" s="1353">
        <v>0</v>
      </c>
      <c r="BR40" s="1676">
        <f t="shared" si="14"/>
        <v>17487115</v>
      </c>
      <c r="BS40" s="1676">
        <f t="shared" si="15"/>
        <v>0</v>
      </c>
      <c r="BT40" s="1676">
        <f t="shared" si="16"/>
        <v>0</v>
      </c>
      <c r="CE40" s="1316" t="s">
        <v>961</v>
      </c>
      <c r="CF40" s="1316" t="s">
        <v>962</v>
      </c>
      <c r="CG40" s="1316" t="s">
        <v>447</v>
      </c>
      <c r="CH40" s="1316" t="s">
        <v>447</v>
      </c>
      <c r="CI40" s="1677">
        <v>21256852000</v>
      </c>
      <c r="CJ40" s="1677">
        <v>0</v>
      </c>
      <c r="CK40" s="1677">
        <v>0</v>
      </c>
      <c r="CL40" s="1676">
        <f t="shared" si="39"/>
        <v>21256852</v>
      </c>
      <c r="CM40" s="1676">
        <f t="shared" si="40"/>
        <v>0</v>
      </c>
      <c r="CN40" s="1676">
        <f t="shared" si="41"/>
        <v>0</v>
      </c>
      <c r="CY40" s="1316" t="s">
        <v>961</v>
      </c>
      <c r="CZ40" s="1316" t="s">
        <v>962</v>
      </c>
      <c r="DA40" s="1316" t="s">
        <v>447</v>
      </c>
      <c r="DB40" s="1316" t="s">
        <v>447</v>
      </c>
      <c r="DC40" s="1677">
        <v>21256852000</v>
      </c>
      <c r="DD40" s="1677">
        <v>0</v>
      </c>
      <c r="DE40" s="1677">
        <v>0</v>
      </c>
      <c r="DF40" s="1669">
        <f t="shared" si="42"/>
        <v>21256852</v>
      </c>
      <c r="DG40" s="1669">
        <f t="shared" si="43"/>
        <v>0</v>
      </c>
      <c r="DH40" s="1669">
        <f t="shared" si="44"/>
        <v>0</v>
      </c>
      <c r="DS40" s="1678" t="s">
        <v>961</v>
      </c>
      <c r="DT40" s="1679" t="s">
        <v>962</v>
      </c>
      <c r="DU40" s="1679" t="s">
        <v>447</v>
      </c>
      <c r="DV40" s="1679" t="s">
        <v>447</v>
      </c>
      <c r="DW40" s="1680">
        <v>21256852000</v>
      </c>
      <c r="DX40" s="1680">
        <v>0</v>
      </c>
      <c r="DY40" s="1680">
        <v>0</v>
      </c>
      <c r="DZ40" s="1669">
        <f t="shared" si="45"/>
        <v>21256852</v>
      </c>
      <c r="EA40" s="1669">
        <f t="shared" si="46"/>
        <v>0</v>
      </c>
      <c r="EB40" s="1669">
        <f t="shared" si="47"/>
        <v>0</v>
      </c>
      <c r="EK40" s="1316" t="s">
        <v>961</v>
      </c>
      <c r="EL40" s="1316" t="s">
        <v>962</v>
      </c>
      <c r="EM40" s="1316" t="s">
        <v>447</v>
      </c>
      <c r="EN40" s="1316" t="s">
        <v>447</v>
      </c>
      <c r="EO40" s="1353">
        <v>21256852000</v>
      </c>
      <c r="EP40" s="1353">
        <v>0</v>
      </c>
      <c r="EQ40" s="1353">
        <v>0</v>
      </c>
      <c r="ER40" s="1669">
        <f t="shared" si="32"/>
        <v>21256852</v>
      </c>
      <c r="ES40" s="1669">
        <f t="shared" si="33"/>
        <v>0</v>
      </c>
      <c r="ET40" s="1669">
        <f t="shared" si="34"/>
        <v>0</v>
      </c>
      <c r="FD40" s="1314" t="s">
        <v>961</v>
      </c>
      <c r="FE40" s="1314" t="s">
        <v>962</v>
      </c>
      <c r="FF40" s="1314" t="s">
        <v>447</v>
      </c>
      <c r="FG40" s="1314" t="s">
        <v>447</v>
      </c>
      <c r="FH40" s="244">
        <v>21256852000</v>
      </c>
      <c r="FI40" s="244">
        <v>0</v>
      </c>
      <c r="FJ40" s="244">
        <v>0</v>
      </c>
      <c r="FK40" s="1676">
        <f t="shared" si="36"/>
        <v>21256852</v>
      </c>
      <c r="FL40" s="1676">
        <f t="shared" si="37"/>
        <v>0</v>
      </c>
      <c r="FM40" s="1676">
        <f t="shared" si="38"/>
        <v>0</v>
      </c>
    </row>
    <row r="41" spans="1:169" ht="15" x14ac:dyDescent="0.3">
      <c r="Y41" s="1314" t="s">
        <v>448</v>
      </c>
      <c r="Z41" s="1316" t="s">
        <v>469</v>
      </c>
      <c r="AA41" s="1316" t="s">
        <v>447</v>
      </c>
      <c r="AB41" s="1316" t="s">
        <v>447</v>
      </c>
      <c r="AC41" s="1353">
        <v>16934493000</v>
      </c>
      <c r="AD41" s="1353">
        <v>0</v>
      </c>
      <c r="AE41" s="1353">
        <v>0</v>
      </c>
      <c r="AF41" s="1353">
        <f t="shared" si="6"/>
        <v>16934493</v>
      </c>
      <c r="AG41" s="1353">
        <f t="shared" si="7"/>
        <v>0</v>
      </c>
      <c r="AH41" s="1353">
        <f t="shared" si="8"/>
        <v>0</v>
      </c>
      <c r="AR41" s="1673" t="s">
        <v>965</v>
      </c>
      <c r="AS41" s="1673" t="s">
        <v>966</v>
      </c>
      <c r="AT41" s="1673" t="s">
        <v>447</v>
      </c>
      <c r="AU41" s="1674" t="s">
        <v>447</v>
      </c>
      <c r="AV41" s="1675">
        <v>0</v>
      </c>
      <c r="AW41" s="1675">
        <v>93732000</v>
      </c>
      <c r="AX41" s="1675">
        <v>0</v>
      </c>
      <c r="AY41" s="1669">
        <f t="shared" si="10"/>
        <v>0</v>
      </c>
      <c r="AZ41" s="1669">
        <f t="shared" si="11"/>
        <v>93732</v>
      </c>
      <c r="BA41" s="1669">
        <f t="shared" si="12"/>
        <v>0</v>
      </c>
      <c r="BK41" s="1316" t="s">
        <v>963</v>
      </c>
      <c r="BL41" s="1316" t="s">
        <v>964</v>
      </c>
      <c r="BM41" s="1316" t="s">
        <v>447</v>
      </c>
      <c r="BN41" s="1316" t="s">
        <v>447</v>
      </c>
      <c r="BO41" s="1353">
        <v>0</v>
      </c>
      <c r="BP41" s="1353">
        <v>6292093483</v>
      </c>
      <c r="BQ41" s="1353">
        <v>5327512237</v>
      </c>
      <c r="BR41" s="1676">
        <f t="shared" si="14"/>
        <v>0</v>
      </c>
      <c r="BS41" s="1676">
        <f t="shared" si="15"/>
        <v>6292093.483</v>
      </c>
      <c r="BT41" s="1676">
        <f t="shared" si="16"/>
        <v>5327512.2369999997</v>
      </c>
      <c r="CE41" s="1316" t="s">
        <v>961</v>
      </c>
      <c r="CF41" s="1316" t="s">
        <v>962</v>
      </c>
      <c r="CG41" s="1316" t="s">
        <v>447</v>
      </c>
      <c r="CH41" s="1316" t="s">
        <v>447</v>
      </c>
      <c r="CI41" s="1677">
        <v>0</v>
      </c>
      <c r="CJ41" s="1677">
        <v>195251725</v>
      </c>
      <c r="CK41" s="1677">
        <v>0</v>
      </c>
      <c r="CL41" s="1676">
        <f t="shared" si="39"/>
        <v>0</v>
      </c>
      <c r="CM41" s="1676">
        <f t="shared" si="40"/>
        <v>195251.72500000001</v>
      </c>
      <c r="CN41" s="1676">
        <f t="shared" si="41"/>
        <v>0</v>
      </c>
      <c r="CY41" s="1316" t="s">
        <v>961</v>
      </c>
      <c r="CZ41" s="1316" t="s">
        <v>962</v>
      </c>
      <c r="DA41" s="1316" t="s">
        <v>447</v>
      </c>
      <c r="DB41" s="1316" t="s">
        <v>447</v>
      </c>
      <c r="DC41" s="1677">
        <v>0</v>
      </c>
      <c r="DD41" s="1677">
        <v>1168087192</v>
      </c>
      <c r="DE41" s="1677">
        <v>750119142</v>
      </c>
      <c r="DF41" s="1669">
        <f t="shared" si="42"/>
        <v>0</v>
      </c>
      <c r="DG41" s="1669">
        <f t="shared" si="43"/>
        <v>1168087.192</v>
      </c>
      <c r="DH41" s="1669">
        <f t="shared" si="44"/>
        <v>750119.14199999999</v>
      </c>
      <c r="DS41" s="1678" t="s">
        <v>961</v>
      </c>
      <c r="DT41" s="1679" t="s">
        <v>962</v>
      </c>
      <c r="DU41" s="1679" t="s">
        <v>447</v>
      </c>
      <c r="DV41" s="1679" t="s">
        <v>447</v>
      </c>
      <c r="DW41" s="1680">
        <v>0</v>
      </c>
      <c r="DX41" s="1680">
        <v>1730314400</v>
      </c>
      <c r="DY41" s="1680">
        <v>1386831152</v>
      </c>
      <c r="DZ41" s="1669">
        <f t="shared" si="45"/>
        <v>0</v>
      </c>
      <c r="EA41" s="1669">
        <f t="shared" si="46"/>
        <v>1730314.4</v>
      </c>
      <c r="EB41" s="1669">
        <f t="shared" si="47"/>
        <v>1386831.152</v>
      </c>
      <c r="EK41" s="1316" t="s">
        <v>961</v>
      </c>
      <c r="EL41" s="1316" t="s">
        <v>962</v>
      </c>
      <c r="EM41" s="1316" t="s">
        <v>447</v>
      </c>
      <c r="EN41" s="1316" t="s">
        <v>447</v>
      </c>
      <c r="EO41" s="1353">
        <v>0</v>
      </c>
      <c r="EP41" s="1353">
        <v>1770314400</v>
      </c>
      <c r="EQ41" s="1353">
        <v>1461469400</v>
      </c>
      <c r="ER41" s="1669">
        <f t="shared" si="32"/>
        <v>0</v>
      </c>
      <c r="ES41" s="1669">
        <f t="shared" si="33"/>
        <v>1770314.4</v>
      </c>
      <c r="ET41" s="1669">
        <f t="shared" si="34"/>
        <v>1461469.4</v>
      </c>
      <c r="FD41" s="1314" t="s">
        <v>961</v>
      </c>
      <c r="FE41" s="1314" t="s">
        <v>962</v>
      </c>
      <c r="FF41" s="1314" t="s">
        <v>447</v>
      </c>
      <c r="FG41" s="1314" t="s">
        <v>447</v>
      </c>
      <c r="FH41" s="244">
        <v>0</v>
      </c>
      <c r="FI41" s="244">
        <v>2196936626</v>
      </c>
      <c r="FJ41" s="244">
        <v>2196936626</v>
      </c>
      <c r="FK41" s="1676">
        <f t="shared" si="36"/>
        <v>0</v>
      </c>
      <c r="FL41" s="1676">
        <f t="shared" si="37"/>
        <v>2196936.6260000002</v>
      </c>
      <c r="FM41" s="1676">
        <f t="shared" si="38"/>
        <v>2196936.6260000002</v>
      </c>
    </row>
    <row r="42" spans="1:169" ht="15" x14ac:dyDescent="0.3">
      <c r="Y42" s="1314" t="s">
        <v>451</v>
      </c>
      <c r="Z42" s="1316" t="s">
        <v>470</v>
      </c>
      <c r="AA42" s="1316" t="s">
        <v>447</v>
      </c>
      <c r="AB42" s="1316" t="s">
        <v>447</v>
      </c>
      <c r="AC42" s="1353">
        <v>8635311000</v>
      </c>
      <c r="AD42" s="1353">
        <v>0</v>
      </c>
      <c r="AE42" s="1353">
        <v>0</v>
      </c>
      <c r="AF42" s="1353">
        <f t="shared" si="6"/>
        <v>8635311</v>
      </c>
      <c r="AG42" s="1353">
        <f t="shared" si="7"/>
        <v>0</v>
      </c>
      <c r="AH42" s="1353">
        <f t="shared" si="8"/>
        <v>0</v>
      </c>
      <c r="AR42" s="1673" t="s">
        <v>448</v>
      </c>
      <c r="AS42" s="1673" t="s">
        <v>469</v>
      </c>
      <c r="AT42" s="1673" t="s">
        <v>447</v>
      </c>
      <c r="AU42" s="1674" t="s">
        <v>447</v>
      </c>
      <c r="AV42" s="1675">
        <v>16934493000</v>
      </c>
      <c r="AW42" s="1675">
        <v>0</v>
      </c>
      <c r="AX42" s="1675">
        <v>0</v>
      </c>
      <c r="AY42" s="1669">
        <f t="shared" si="10"/>
        <v>16934493</v>
      </c>
      <c r="AZ42" s="1669">
        <f t="shared" si="11"/>
        <v>0</v>
      </c>
      <c r="BA42" s="1669">
        <f t="shared" si="12"/>
        <v>0</v>
      </c>
      <c r="BK42" s="1316" t="s">
        <v>965</v>
      </c>
      <c r="BL42" s="1316" t="s">
        <v>966</v>
      </c>
      <c r="BM42" s="1316" t="s">
        <v>447</v>
      </c>
      <c r="BN42" s="1316" t="s">
        <v>447</v>
      </c>
      <c r="BO42" s="1353">
        <v>14616065000</v>
      </c>
      <c r="BP42" s="1353">
        <v>0</v>
      </c>
      <c r="BQ42" s="1353">
        <v>0</v>
      </c>
      <c r="BR42" s="1676">
        <f t="shared" si="14"/>
        <v>14616065</v>
      </c>
      <c r="BS42" s="1676">
        <f t="shared" si="15"/>
        <v>0</v>
      </c>
      <c r="BT42" s="1676">
        <f t="shared" si="16"/>
        <v>0</v>
      </c>
      <c r="CE42" s="1316" t="s">
        <v>963</v>
      </c>
      <c r="CF42" s="1316" t="s">
        <v>964</v>
      </c>
      <c r="CG42" s="1316" t="s">
        <v>447</v>
      </c>
      <c r="CH42" s="1316" t="s">
        <v>447</v>
      </c>
      <c r="CI42" s="1677">
        <v>17487115000</v>
      </c>
      <c r="CJ42" s="1677">
        <v>0</v>
      </c>
      <c r="CK42" s="1677">
        <v>0</v>
      </c>
      <c r="CL42" s="1676">
        <f t="shared" si="39"/>
        <v>17487115</v>
      </c>
      <c r="CM42" s="1676">
        <f t="shared" si="40"/>
        <v>0</v>
      </c>
      <c r="CN42" s="1676">
        <f t="shared" si="41"/>
        <v>0</v>
      </c>
      <c r="CY42" s="1316" t="s">
        <v>963</v>
      </c>
      <c r="CZ42" s="1316" t="s">
        <v>964</v>
      </c>
      <c r="DA42" s="1316" t="s">
        <v>447</v>
      </c>
      <c r="DB42" s="1316" t="s">
        <v>447</v>
      </c>
      <c r="DC42" s="1677">
        <v>33837115000</v>
      </c>
      <c r="DD42" s="1677">
        <v>0</v>
      </c>
      <c r="DE42" s="1677">
        <v>0</v>
      </c>
      <c r="DF42" s="1669">
        <f t="shared" si="42"/>
        <v>33837115</v>
      </c>
      <c r="DG42" s="1669">
        <f t="shared" si="43"/>
        <v>0</v>
      </c>
      <c r="DH42" s="1669">
        <f t="shared" si="44"/>
        <v>0</v>
      </c>
      <c r="DS42" s="1678" t="s">
        <v>963</v>
      </c>
      <c r="DT42" s="1679" t="s">
        <v>964</v>
      </c>
      <c r="DU42" s="1679" t="s">
        <v>447</v>
      </c>
      <c r="DV42" s="1679" t="s">
        <v>447</v>
      </c>
      <c r="DW42" s="1680">
        <v>33837115000</v>
      </c>
      <c r="DX42" s="1680">
        <v>0</v>
      </c>
      <c r="DY42" s="1680">
        <v>0</v>
      </c>
      <c r="DZ42" s="1669">
        <f t="shared" si="45"/>
        <v>33837115</v>
      </c>
      <c r="EA42" s="1669">
        <f t="shared" si="46"/>
        <v>0</v>
      </c>
      <c r="EB42" s="1669">
        <f t="shared" si="47"/>
        <v>0</v>
      </c>
      <c r="EK42" s="1316" t="s">
        <v>963</v>
      </c>
      <c r="EL42" s="1316" t="s">
        <v>964</v>
      </c>
      <c r="EM42" s="1316" t="s">
        <v>447</v>
      </c>
      <c r="EN42" s="1316" t="s">
        <v>447</v>
      </c>
      <c r="EO42" s="1353">
        <v>33837115000</v>
      </c>
      <c r="EP42" s="1353">
        <v>0</v>
      </c>
      <c r="EQ42" s="1353">
        <v>0</v>
      </c>
      <c r="ER42" s="1669">
        <f t="shared" si="32"/>
        <v>33837115</v>
      </c>
      <c r="ES42" s="1669">
        <f t="shared" si="33"/>
        <v>0</v>
      </c>
      <c r="ET42" s="1669">
        <f t="shared" si="34"/>
        <v>0</v>
      </c>
      <c r="FD42" s="1314" t="s">
        <v>963</v>
      </c>
      <c r="FE42" s="1314" t="s">
        <v>964</v>
      </c>
      <c r="FF42" s="1314" t="s">
        <v>447</v>
      </c>
      <c r="FG42" s="1314" t="s">
        <v>447</v>
      </c>
      <c r="FH42" s="244">
        <v>37385778374</v>
      </c>
      <c r="FI42" s="244">
        <v>0</v>
      </c>
      <c r="FJ42" s="244">
        <v>0</v>
      </c>
      <c r="FK42" s="1676">
        <f t="shared" si="36"/>
        <v>37385778.373999998</v>
      </c>
      <c r="FL42" s="1676">
        <f t="shared" si="37"/>
        <v>0</v>
      </c>
      <c r="FM42" s="1676">
        <f t="shared" si="38"/>
        <v>0</v>
      </c>
    </row>
    <row r="43" spans="1:169" ht="15" x14ac:dyDescent="0.3">
      <c r="Y43" s="1314" t="s">
        <v>452</v>
      </c>
      <c r="Z43" s="1316" t="s">
        <v>128</v>
      </c>
      <c r="AA43" s="1316" t="s">
        <v>447</v>
      </c>
      <c r="AB43" s="1316" t="s">
        <v>447</v>
      </c>
      <c r="AC43" s="1353">
        <v>10000</v>
      </c>
      <c r="AD43" s="1353">
        <v>0</v>
      </c>
      <c r="AE43" s="1353">
        <v>0</v>
      </c>
      <c r="AF43" s="1353">
        <f t="shared" si="6"/>
        <v>10</v>
      </c>
      <c r="AG43" s="1353">
        <f t="shared" si="7"/>
        <v>0</v>
      </c>
      <c r="AH43" s="1353">
        <f t="shared" si="8"/>
        <v>0</v>
      </c>
      <c r="AR43" s="1673" t="s">
        <v>451</v>
      </c>
      <c r="AS43" s="1673" t="s">
        <v>470</v>
      </c>
      <c r="AT43" s="1673" t="s">
        <v>447</v>
      </c>
      <c r="AU43" s="1674" t="s">
        <v>447</v>
      </c>
      <c r="AV43" s="1675">
        <v>8635311000</v>
      </c>
      <c r="AW43" s="1675">
        <v>0</v>
      </c>
      <c r="AX43" s="1675">
        <v>0</v>
      </c>
      <c r="AY43" s="1669">
        <f t="shared" si="10"/>
        <v>8635311</v>
      </c>
      <c r="AZ43" s="1669">
        <f t="shared" si="11"/>
        <v>0</v>
      </c>
      <c r="BA43" s="1669">
        <f t="shared" si="12"/>
        <v>0</v>
      </c>
      <c r="BK43" s="1316" t="s">
        <v>965</v>
      </c>
      <c r="BL43" s="1316" t="s">
        <v>966</v>
      </c>
      <c r="BM43" s="1316" t="s">
        <v>447</v>
      </c>
      <c r="BN43" s="1316" t="s">
        <v>447</v>
      </c>
      <c r="BO43" s="1353">
        <v>0</v>
      </c>
      <c r="BP43" s="1353">
        <v>93732000</v>
      </c>
      <c r="BQ43" s="1353">
        <v>0</v>
      </c>
      <c r="BR43" s="1676">
        <f t="shared" si="14"/>
        <v>0</v>
      </c>
      <c r="BS43" s="1676">
        <f t="shared" si="15"/>
        <v>93732</v>
      </c>
      <c r="BT43" s="1676">
        <f t="shared" si="16"/>
        <v>0</v>
      </c>
      <c r="CE43" s="1316" t="s">
        <v>963</v>
      </c>
      <c r="CF43" s="1316" t="s">
        <v>964</v>
      </c>
      <c r="CG43" s="1316" t="s">
        <v>447</v>
      </c>
      <c r="CH43" s="1316" t="s">
        <v>447</v>
      </c>
      <c r="CI43" s="1677">
        <v>0</v>
      </c>
      <c r="CJ43" s="1677">
        <v>9681038924</v>
      </c>
      <c r="CK43" s="1677">
        <v>6541475004</v>
      </c>
      <c r="CL43" s="1676">
        <f t="shared" si="39"/>
        <v>0</v>
      </c>
      <c r="CM43" s="1676">
        <f t="shared" si="40"/>
        <v>9681038.9240000006</v>
      </c>
      <c r="CN43" s="1676">
        <f t="shared" si="41"/>
        <v>6541475.0039999997</v>
      </c>
      <c r="CY43" s="1316" t="s">
        <v>963</v>
      </c>
      <c r="CZ43" s="1316" t="s">
        <v>964</v>
      </c>
      <c r="DA43" s="1316" t="s">
        <v>447</v>
      </c>
      <c r="DB43" s="1316" t="s">
        <v>447</v>
      </c>
      <c r="DC43" s="1677">
        <v>0</v>
      </c>
      <c r="DD43" s="1677">
        <v>17274325208</v>
      </c>
      <c r="DE43" s="1677">
        <v>8638127995</v>
      </c>
      <c r="DF43" s="1669">
        <f t="shared" si="42"/>
        <v>0</v>
      </c>
      <c r="DG43" s="1669">
        <f t="shared" si="43"/>
        <v>17274325.208000001</v>
      </c>
      <c r="DH43" s="1669">
        <f t="shared" si="44"/>
        <v>8638127.9949999992</v>
      </c>
      <c r="DS43" s="1678" t="s">
        <v>963</v>
      </c>
      <c r="DT43" s="1679" t="s">
        <v>964</v>
      </c>
      <c r="DU43" s="1679" t="s">
        <v>447</v>
      </c>
      <c r="DV43" s="1679" t="s">
        <v>447</v>
      </c>
      <c r="DW43" s="1680">
        <v>0</v>
      </c>
      <c r="DX43" s="1680">
        <v>24347288983</v>
      </c>
      <c r="DY43" s="1680">
        <v>20044251962</v>
      </c>
      <c r="DZ43" s="1669">
        <f t="shared" si="45"/>
        <v>0</v>
      </c>
      <c r="EA43" s="1669">
        <f t="shared" si="46"/>
        <v>24347288.982999999</v>
      </c>
      <c r="EB43" s="1669">
        <f t="shared" si="47"/>
        <v>20044251.962000001</v>
      </c>
      <c r="EK43" s="1316" t="s">
        <v>963</v>
      </c>
      <c r="EL43" s="1316" t="s">
        <v>964</v>
      </c>
      <c r="EM43" s="1316" t="s">
        <v>447</v>
      </c>
      <c r="EN43" s="1316" t="s">
        <v>447</v>
      </c>
      <c r="EO43" s="1353">
        <v>0</v>
      </c>
      <c r="EP43" s="1353">
        <v>27865378439</v>
      </c>
      <c r="EQ43" s="1353">
        <v>24210354076</v>
      </c>
      <c r="ER43" s="1669">
        <f t="shared" si="32"/>
        <v>0</v>
      </c>
      <c r="ES43" s="1669">
        <f t="shared" si="33"/>
        <v>27865378.438999999</v>
      </c>
      <c r="ET43" s="1669">
        <f t="shared" si="34"/>
        <v>24210354.076000001</v>
      </c>
      <c r="FD43" s="1314" t="s">
        <v>963</v>
      </c>
      <c r="FE43" s="1314" t="s">
        <v>964</v>
      </c>
      <c r="FF43" s="1314" t="s">
        <v>447</v>
      </c>
      <c r="FG43" s="1314" t="s">
        <v>447</v>
      </c>
      <c r="FH43" s="244">
        <v>0</v>
      </c>
      <c r="FI43" s="244">
        <v>32623397488</v>
      </c>
      <c r="FJ43" s="244">
        <v>28408401210</v>
      </c>
      <c r="FK43" s="1676">
        <f t="shared" si="36"/>
        <v>0</v>
      </c>
      <c r="FL43" s="1676">
        <f t="shared" si="37"/>
        <v>32623397.488000002</v>
      </c>
      <c r="FM43" s="1676">
        <f t="shared" si="38"/>
        <v>28408401.210000001</v>
      </c>
    </row>
    <row r="44" spans="1:169" ht="15" x14ac:dyDescent="0.3">
      <c r="Y44" s="1314" t="s">
        <v>452</v>
      </c>
      <c r="Z44" s="1316" t="s">
        <v>128</v>
      </c>
      <c r="AA44" s="1316" t="s">
        <v>447</v>
      </c>
      <c r="AB44" s="1316" t="s">
        <v>447</v>
      </c>
      <c r="AC44" s="1353">
        <v>0</v>
      </c>
      <c r="AD44" s="1353">
        <v>18204215</v>
      </c>
      <c r="AE44" s="1353">
        <v>18204215</v>
      </c>
      <c r="AF44" s="1353">
        <f t="shared" si="6"/>
        <v>0</v>
      </c>
      <c r="AG44" s="1353">
        <f t="shared" si="7"/>
        <v>18204.215</v>
      </c>
      <c r="AH44" s="1353">
        <f t="shared" si="8"/>
        <v>18204.215</v>
      </c>
      <c r="AR44" s="1673" t="s">
        <v>451</v>
      </c>
      <c r="AS44" s="1673" t="s">
        <v>470</v>
      </c>
      <c r="AT44" s="1673" t="s">
        <v>447</v>
      </c>
      <c r="AU44" s="1674" t="s">
        <v>447</v>
      </c>
      <c r="AV44" s="1675">
        <v>0</v>
      </c>
      <c r="AW44" s="1675">
        <v>128012751</v>
      </c>
      <c r="AX44" s="1675">
        <v>128012751</v>
      </c>
      <c r="AY44" s="1669">
        <f t="shared" si="10"/>
        <v>0</v>
      </c>
      <c r="AZ44" s="1669">
        <f t="shared" si="11"/>
        <v>128012.751</v>
      </c>
      <c r="BA44" s="1669">
        <f t="shared" si="12"/>
        <v>128012.751</v>
      </c>
      <c r="BK44" s="1316" t="s">
        <v>448</v>
      </c>
      <c r="BL44" s="1316" t="s">
        <v>469</v>
      </c>
      <c r="BM44" s="1316" t="s">
        <v>447</v>
      </c>
      <c r="BN44" s="1316" t="s">
        <v>447</v>
      </c>
      <c r="BO44" s="1353">
        <v>16934493000</v>
      </c>
      <c r="BP44" s="1353">
        <v>0</v>
      </c>
      <c r="BQ44" s="1353">
        <v>0</v>
      </c>
      <c r="BR44" s="1676">
        <f t="shared" si="14"/>
        <v>16934493</v>
      </c>
      <c r="BS44" s="1676">
        <f t="shared" si="15"/>
        <v>0</v>
      </c>
      <c r="BT44" s="1676">
        <f t="shared" si="16"/>
        <v>0</v>
      </c>
      <c r="CE44" s="1316" t="s">
        <v>965</v>
      </c>
      <c r="CF44" s="1316" t="s">
        <v>966</v>
      </c>
      <c r="CG44" s="1316" t="s">
        <v>447</v>
      </c>
      <c r="CH44" s="1316" t="s">
        <v>447</v>
      </c>
      <c r="CI44" s="1677">
        <v>13367065000</v>
      </c>
      <c r="CJ44" s="1677">
        <v>0</v>
      </c>
      <c r="CK44" s="1677">
        <v>0</v>
      </c>
      <c r="CL44" s="1676">
        <f t="shared" si="39"/>
        <v>13367065</v>
      </c>
      <c r="CM44" s="1676">
        <f t="shared" si="40"/>
        <v>0</v>
      </c>
      <c r="CN44" s="1676">
        <f t="shared" si="41"/>
        <v>0</v>
      </c>
      <c r="CY44" s="1316" t="s">
        <v>965</v>
      </c>
      <c r="CZ44" s="1316" t="s">
        <v>966</v>
      </c>
      <c r="DA44" s="1316" t="s">
        <v>447</v>
      </c>
      <c r="DB44" s="1316" t="s">
        <v>447</v>
      </c>
      <c r="DC44" s="1677">
        <v>13367065000</v>
      </c>
      <c r="DD44" s="1677">
        <v>0</v>
      </c>
      <c r="DE44" s="1677">
        <v>0</v>
      </c>
      <c r="DF44" s="1669">
        <f t="shared" si="42"/>
        <v>13367065</v>
      </c>
      <c r="DG44" s="1669">
        <f t="shared" si="43"/>
        <v>0</v>
      </c>
      <c r="DH44" s="1669">
        <f t="shared" si="44"/>
        <v>0</v>
      </c>
      <c r="DS44" s="1678" t="s">
        <v>965</v>
      </c>
      <c r="DT44" s="1679" t="s">
        <v>966</v>
      </c>
      <c r="DU44" s="1679" t="s">
        <v>447</v>
      </c>
      <c r="DV44" s="1679" t="s">
        <v>447</v>
      </c>
      <c r="DW44" s="1680">
        <v>13367065000</v>
      </c>
      <c r="DX44" s="1680">
        <v>0</v>
      </c>
      <c r="DY44" s="1680">
        <v>0</v>
      </c>
      <c r="DZ44" s="1669">
        <f t="shared" si="45"/>
        <v>13367065</v>
      </c>
      <c r="EA44" s="1669">
        <f t="shared" si="46"/>
        <v>0</v>
      </c>
      <c r="EB44" s="1669">
        <f t="shared" si="47"/>
        <v>0</v>
      </c>
      <c r="EK44" s="1316" t="s">
        <v>965</v>
      </c>
      <c r="EL44" s="1316" t="s">
        <v>966</v>
      </c>
      <c r="EM44" s="1316" t="s">
        <v>447</v>
      </c>
      <c r="EN44" s="1316" t="s">
        <v>447</v>
      </c>
      <c r="EO44" s="1353">
        <v>13367065000</v>
      </c>
      <c r="EP44" s="1353">
        <v>0</v>
      </c>
      <c r="EQ44" s="1353">
        <v>0</v>
      </c>
      <c r="ER44" s="1669">
        <f t="shared" si="32"/>
        <v>13367065</v>
      </c>
      <c r="ES44" s="1669">
        <f t="shared" si="33"/>
        <v>0</v>
      </c>
      <c r="ET44" s="1669">
        <f t="shared" si="34"/>
        <v>0</v>
      </c>
      <c r="FD44" s="1314" t="s">
        <v>965</v>
      </c>
      <c r="FE44" s="1314" t="s">
        <v>966</v>
      </c>
      <c r="FF44" s="1314" t="s">
        <v>447</v>
      </c>
      <c r="FG44" s="1314" t="s">
        <v>447</v>
      </c>
      <c r="FH44" s="244">
        <v>13367065000</v>
      </c>
      <c r="FI44" s="244">
        <v>0</v>
      </c>
      <c r="FJ44" s="244">
        <v>0</v>
      </c>
      <c r="FK44" s="1676">
        <f t="shared" si="36"/>
        <v>13367065</v>
      </c>
      <c r="FL44" s="1676">
        <f t="shared" si="37"/>
        <v>0</v>
      </c>
      <c r="FM44" s="1676">
        <f t="shared" si="38"/>
        <v>0</v>
      </c>
    </row>
    <row r="45" spans="1:169" ht="15" x14ac:dyDescent="0.3">
      <c r="AR45" s="1673" t="s">
        <v>452</v>
      </c>
      <c r="AS45" s="1673" t="s">
        <v>128</v>
      </c>
      <c r="AT45" s="1673" t="s">
        <v>447</v>
      </c>
      <c r="AU45" s="1674" t="s">
        <v>447</v>
      </c>
      <c r="AV45" s="1675">
        <v>18205000</v>
      </c>
      <c r="AW45" s="1675">
        <v>0</v>
      </c>
      <c r="AX45" s="1675">
        <v>0</v>
      </c>
      <c r="AY45" s="1669">
        <f t="shared" si="10"/>
        <v>18205</v>
      </c>
      <c r="AZ45" s="1669">
        <f t="shared" si="11"/>
        <v>0</v>
      </c>
      <c r="BA45" s="1669">
        <f t="shared" si="12"/>
        <v>0</v>
      </c>
      <c r="BK45" s="1316" t="s">
        <v>451</v>
      </c>
      <c r="BL45" s="1316" t="s">
        <v>470</v>
      </c>
      <c r="BM45" s="1316" t="s">
        <v>447</v>
      </c>
      <c r="BN45" s="1316" t="s">
        <v>447</v>
      </c>
      <c r="BO45" s="1353">
        <v>8635311000</v>
      </c>
      <c r="BP45" s="1353">
        <v>0</v>
      </c>
      <c r="BQ45" s="1353">
        <v>0</v>
      </c>
      <c r="BR45" s="1676">
        <f t="shared" si="14"/>
        <v>8635311</v>
      </c>
      <c r="BS45" s="1676">
        <f t="shared" si="15"/>
        <v>0</v>
      </c>
      <c r="BT45" s="1676">
        <f t="shared" si="16"/>
        <v>0</v>
      </c>
      <c r="CE45" s="1316" t="s">
        <v>965</v>
      </c>
      <c r="CF45" s="1316" t="s">
        <v>966</v>
      </c>
      <c r="CG45" s="1316" t="s">
        <v>447</v>
      </c>
      <c r="CH45" s="1316" t="s">
        <v>447</v>
      </c>
      <c r="CI45" s="1677">
        <v>0</v>
      </c>
      <c r="CJ45" s="1677">
        <v>93732000</v>
      </c>
      <c r="CK45" s="1677">
        <v>0</v>
      </c>
      <c r="CL45" s="1676">
        <f t="shared" si="39"/>
        <v>0</v>
      </c>
      <c r="CM45" s="1676">
        <f t="shared" si="40"/>
        <v>93732</v>
      </c>
      <c r="CN45" s="1676">
        <f t="shared" si="41"/>
        <v>0</v>
      </c>
      <c r="CY45" s="1316" t="s">
        <v>965</v>
      </c>
      <c r="CZ45" s="1316" t="s">
        <v>966</v>
      </c>
      <c r="DA45" s="1316" t="s">
        <v>447</v>
      </c>
      <c r="DB45" s="1316" t="s">
        <v>447</v>
      </c>
      <c r="DC45" s="1677">
        <v>0</v>
      </c>
      <c r="DD45" s="1677">
        <v>93732000</v>
      </c>
      <c r="DE45" s="1677">
        <v>0</v>
      </c>
      <c r="DF45" s="1669">
        <f t="shared" si="42"/>
        <v>0</v>
      </c>
      <c r="DG45" s="1669">
        <f t="shared" si="43"/>
        <v>93732</v>
      </c>
      <c r="DH45" s="1669">
        <f t="shared" si="44"/>
        <v>0</v>
      </c>
      <c r="DS45" s="1678" t="s">
        <v>965</v>
      </c>
      <c r="DT45" s="1679" t="s">
        <v>966</v>
      </c>
      <c r="DU45" s="1679" t="s">
        <v>447</v>
      </c>
      <c r="DV45" s="1679" t="s">
        <v>447</v>
      </c>
      <c r="DW45" s="1680">
        <v>0</v>
      </c>
      <c r="DX45" s="1680">
        <v>93732000</v>
      </c>
      <c r="DY45" s="1680">
        <v>0</v>
      </c>
      <c r="DZ45" s="1669">
        <f t="shared" si="45"/>
        <v>0</v>
      </c>
      <c r="EA45" s="1669">
        <f t="shared" si="46"/>
        <v>93732</v>
      </c>
      <c r="EB45" s="1669">
        <f t="shared" si="47"/>
        <v>0</v>
      </c>
      <c r="EK45" s="1316" t="s">
        <v>965</v>
      </c>
      <c r="EL45" s="1316" t="s">
        <v>966</v>
      </c>
      <c r="EM45" s="1316" t="s">
        <v>447</v>
      </c>
      <c r="EN45" s="1316" t="s">
        <v>447</v>
      </c>
      <c r="EO45" s="1353">
        <v>0</v>
      </c>
      <c r="EP45" s="1353">
        <v>93732000</v>
      </c>
      <c r="EQ45" s="1353">
        <v>0</v>
      </c>
      <c r="ER45" s="1669">
        <f t="shared" si="32"/>
        <v>0</v>
      </c>
      <c r="ES45" s="1669">
        <f t="shared" si="33"/>
        <v>93732</v>
      </c>
      <c r="ET45" s="1669">
        <f t="shared" si="34"/>
        <v>0</v>
      </c>
      <c r="FD45" s="1314" t="s">
        <v>965</v>
      </c>
      <c r="FE45" s="1314" t="s">
        <v>966</v>
      </c>
      <c r="FF45" s="1314" t="s">
        <v>447</v>
      </c>
      <c r="FG45" s="1314" t="s">
        <v>447</v>
      </c>
      <c r="FH45" s="244">
        <v>0</v>
      </c>
      <c r="FI45" s="244">
        <v>5309309240</v>
      </c>
      <c r="FJ45" s="244">
        <v>0</v>
      </c>
      <c r="FK45" s="1676">
        <f t="shared" si="36"/>
        <v>0</v>
      </c>
      <c r="FL45" s="1676">
        <f t="shared" si="37"/>
        <v>5309309.24</v>
      </c>
      <c r="FM45" s="1676">
        <f t="shared" si="38"/>
        <v>0</v>
      </c>
    </row>
    <row r="46" spans="1:169" ht="15" x14ac:dyDescent="0.3">
      <c r="AR46" s="1673" t="s">
        <v>452</v>
      </c>
      <c r="AS46" s="1673" t="s">
        <v>128</v>
      </c>
      <c r="AT46" s="1673" t="s">
        <v>447</v>
      </c>
      <c r="AU46" s="1674" t="s">
        <v>447</v>
      </c>
      <c r="AV46" s="1675">
        <v>0</v>
      </c>
      <c r="AW46" s="1675">
        <v>18204215</v>
      </c>
      <c r="AX46" s="1675">
        <v>18204215</v>
      </c>
      <c r="AY46" s="1669">
        <f t="shared" si="10"/>
        <v>0</v>
      </c>
      <c r="AZ46" s="1669">
        <f t="shared" si="11"/>
        <v>18204.215</v>
      </c>
      <c r="BA46" s="1669">
        <f t="shared" si="12"/>
        <v>18204.215</v>
      </c>
      <c r="BK46" s="1316" t="s">
        <v>451</v>
      </c>
      <c r="BL46" s="1316" t="s">
        <v>470</v>
      </c>
      <c r="BM46" s="1316" t="s">
        <v>447</v>
      </c>
      <c r="BN46" s="1316" t="s">
        <v>447</v>
      </c>
      <c r="BO46" s="1353">
        <v>0</v>
      </c>
      <c r="BP46" s="1353">
        <v>1167961576</v>
      </c>
      <c r="BQ46" s="1353">
        <v>1167961576</v>
      </c>
      <c r="BR46" s="1676">
        <f t="shared" si="14"/>
        <v>0</v>
      </c>
      <c r="BS46" s="1676">
        <f t="shared" si="15"/>
        <v>1167961.5759999999</v>
      </c>
      <c r="BT46" s="1676">
        <f t="shared" si="16"/>
        <v>1167961.5759999999</v>
      </c>
      <c r="CE46" s="1316" t="s">
        <v>448</v>
      </c>
      <c r="CF46" s="1316" t="s">
        <v>469</v>
      </c>
      <c r="CG46" s="1316" t="s">
        <v>447</v>
      </c>
      <c r="CH46" s="1316" t="s">
        <v>447</v>
      </c>
      <c r="CI46" s="1677">
        <v>16934493000</v>
      </c>
      <c r="CJ46" s="1677">
        <v>0</v>
      </c>
      <c r="CK46" s="1677">
        <v>0</v>
      </c>
      <c r="CL46" s="1676">
        <f t="shared" si="39"/>
        <v>16934493</v>
      </c>
      <c r="CM46" s="1676">
        <f t="shared" si="40"/>
        <v>0</v>
      </c>
      <c r="CN46" s="1676">
        <f t="shared" si="41"/>
        <v>0</v>
      </c>
      <c r="CY46" s="1316" t="s">
        <v>448</v>
      </c>
      <c r="CZ46" s="1316" t="s">
        <v>469</v>
      </c>
      <c r="DA46" s="1316" t="s">
        <v>447</v>
      </c>
      <c r="DB46" s="1316" t="s">
        <v>447</v>
      </c>
      <c r="DC46" s="1677">
        <v>16934493000</v>
      </c>
      <c r="DD46" s="1677">
        <v>0</v>
      </c>
      <c r="DE46" s="1677">
        <v>0</v>
      </c>
      <c r="DF46" s="1669">
        <f t="shared" si="42"/>
        <v>16934493</v>
      </c>
      <c r="DG46" s="1669">
        <f t="shared" si="43"/>
        <v>0</v>
      </c>
      <c r="DH46" s="1669">
        <f t="shared" si="44"/>
        <v>0</v>
      </c>
      <c r="DS46" s="1678" t="s">
        <v>448</v>
      </c>
      <c r="DT46" s="1679" t="s">
        <v>469</v>
      </c>
      <c r="DU46" s="1679" t="s">
        <v>447</v>
      </c>
      <c r="DV46" s="1679" t="s">
        <v>447</v>
      </c>
      <c r="DW46" s="1680">
        <v>16934493000</v>
      </c>
      <c r="DX46" s="1680">
        <v>0</v>
      </c>
      <c r="DY46" s="1680">
        <v>0</v>
      </c>
      <c r="DZ46" s="1669">
        <f t="shared" si="45"/>
        <v>16934493</v>
      </c>
      <c r="EA46" s="1669">
        <f t="shared" si="46"/>
        <v>0</v>
      </c>
      <c r="EB46" s="1669">
        <f t="shared" si="47"/>
        <v>0</v>
      </c>
      <c r="EK46" s="1316" t="s">
        <v>448</v>
      </c>
      <c r="EL46" s="1316" t="s">
        <v>469</v>
      </c>
      <c r="EM46" s="1316" t="s">
        <v>447</v>
      </c>
      <c r="EN46" s="1316" t="s">
        <v>447</v>
      </c>
      <c r="EO46" s="1353">
        <v>16934493000</v>
      </c>
      <c r="EP46" s="1353">
        <v>0</v>
      </c>
      <c r="EQ46" s="1353">
        <v>0</v>
      </c>
      <c r="ER46" s="1669">
        <f t="shared" si="32"/>
        <v>16934493</v>
      </c>
      <c r="ES46" s="1669">
        <f t="shared" si="33"/>
        <v>0</v>
      </c>
      <c r="ET46" s="1669">
        <f t="shared" si="34"/>
        <v>0</v>
      </c>
      <c r="FD46" s="1314" t="s">
        <v>448</v>
      </c>
      <c r="FE46" s="1314" t="s">
        <v>469</v>
      </c>
      <c r="FF46" s="1314" t="s">
        <v>447</v>
      </c>
      <c r="FG46" s="1314" t="s">
        <v>447</v>
      </c>
      <c r="FH46" s="244">
        <v>16934493000</v>
      </c>
      <c r="FI46" s="244">
        <v>0</v>
      </c>
      <c r="FJ46" s="244">
        <v>0</v>
      </c>
      <c r="FK46" s="1676">
        <f t="shared" si="36"/>
        <v>16934493</v>
      </c>
      <c r="FL46" s="1676">
        <f t="shared" si="37"/>
        <v>0</v>
      </c>
      <c r="FM46" s="1676">
        <f t="shared" si="38"/>
        <v>0</v>
      </c>
    </row>
    <row r="47" spans="1:169" ht="15" x14ac:dyDescent="0.3">
      <c r="AY47" s="1681">
        <f>SUM(AY3:AY46)</f>
        <v>271447243</v>
      </c>
      <c r="AZ47" s="1681">
        <f>SUM(AZ3:AZ46)</f>
        <v>86985254.733999997</v>
      </c>
      <c r="BA47" s="1681">
        <f>SUM(BA3:BA46)</f>
        <v>79096089.287</v>
      </c>
      <c r="BK47" s="1316" t="s">
        <v>452</v>
      </c>
      <c r="BL47" s="1316" t="s">
        <v>128</v>
      </c>
      <c r="BM47" s="1316" t="s">
        <v>447</v>
      </c>
      <c r="BN47" s="1316" t="s">
        <v>447</v>
      </c>
      <c r="BO47" s="1353">
        <v>18205000</v>
      </c>
      <c r="BP47" s="1353">
        <v>0</v>
      </c>
      <c r="BQ47" s="1353">
        <v>0</v>
      </c>
      <c r="BR47" s="1676">
        <f t="shared" si="14"/>
        <v>18205</v>
      </c>
      <c r="BS47" s="1676">
        <f t="shared" si="15"/>
        <v>0</v>
      </c>
      <c r="BT47" s="1676">
        <f t="shared" si="16"/>
        <v>0</v>
      </c>
      <c r="CE47" s="1316" t="s">
        <v>451</v>
      </c>
      <c r="CF47" s="1316" t="s">
        <v>470</v>
      </c>
      <c r="CG47" s="1316" t="s">
        <v>447</v>
      </c>
      <c r="CH47" s="1316" t="s">
        <v>447</v>
      </c>
      <c r="CI47" s="1677">
        <v>8635311000</v>
      </c>
      <c r="CJ47" s="1677">
        <v>0</v>
      </c>
      <c r="CK47" s="1677">
        <v>0</v>
      </c>
      <c r="CL47" s="1676">
        <f t="shared" si="39"/>
        <v>8635311</v>
      </c>
      <c r="CM47" s="1676">
        <f t="shared" si="40"/>
        <v>0</v>
      </c>
      <c r="CN47" s="1676">
        <f t="shared" si="41"/>
        <v>0</v>
      </c>
      <c r="CY47" s="1316" t="s">
        <v>451</v>
      </c>
      <c r="CZ47" s="1316" t="s">
        <v>470</v>
      </c>
      <c r="DA47" s="1316" t="s">
        <v>447</v>
      </c>
      <c r="DB47" s="1316" t="s">
        <v>447</v>
      </c>
      <c r="DC47" s="1677">
        <v>8635311000</v>
      </c>
      <c r="DD47" s="1677">
        <v>0</v>
      </c>
      <c r="DE47" s="1677">
        <v>0</v>
      </c>
      <c r="DF47" s="1669">
        <f t="shared" si="42"/>
        <v>8635311</v>
      </c>
      <c r="DG47" s="1669">
        <f t="shared" si="43"/>
        <v>0</v>
      </c>
      <c r="DH47" s="1669">
        <f t="shared" si="44"/>
        <v>0</v>
      </c>
      <c r="DS47" s="1678" t="s">
        <v>448</v>
      </c>
      <c r="DT47" s="1679" t="s">
        <v>469</v>
      </c>
      <c r="DU47" s="1679" t="s">
        <v>447</v>
      </c>
      <c r="DV47" s="1679" t="s">
        <v>447</v>
      </c>
      <c r="DW47" s="1680">
        <v>0</v>
      </c>
      <c r="DX47" s="1680">
        <v>16934493000</v>
      </c>
      <c r="DY47" s="1680">
        <v>7465274223</v>
      </c>
      <c r="DZ47" s="1669">
        <f t="shared" si="45"/>
        <v>0</v>
      </c>
      <c r="EA47" s="1669">
        <f t="shared" si="46"/>
        <v>16934493</v>
      </c>
      <c r="EB47" s="1669">
        <f t="shared" si="47"/>
        <v>7465274.2230000002</v>
      </c>
      <c r="EK47" s="1316" t="s">
        <v>448</v>
      </c>
      <c r="EL47" s="1316" t="s">
        <v>469</v>
      </c>
      <c r="EM47" s="1316" t="s">
        <v>447</v>
      </c>
      <c r="EN47" s="1316" t="s">
        <v>447</v>
      </c>
      <c r="EO47" s="1353">
        <v>0</v>
      </c>
      <c r="EP47" s="1353">
        <v>16934493000</v>
      </c>
      <c r="EQ47" s="1353">
        <v>10483114302</v>
      </c>
      <c r="ER47" s="1669">
        <f t="shared" si="32"/>
        <v>0</v>
      </c>
      <c r="ES47" s="1669">
        <f t="shared" si="33"/>
        <v>16934493</v>
      </c>
      <c r="ET47" s="1669">
        <f t="shared" si="34"/>
        <v>10483114.301999999</v>
      </c>
      <c r="FD47" s="1314" t="s">
        <v>448</v>
      </c>
      <c r="FE47" s="1314" t="s">
        <v>469</v>
      </c>
      <c r="FF47" s="1314" t="s">
        <v>447</v>
      </c>
      <c r="FG47" s="1314" t="s">
        <v>447</v>
      </c>
      <c r="FH47" s="244">
        <v>0</v>
      </c>
      <c r="FI47" s="244">
        <v>16934493000</v>
      </c>
      <c r="FJ47" s="244">
        <v>12090974628</v>
      </c>
      <c r="FK47" s="1676">
        <f t="shared" si="36"/>
        <v>0</v>
      </c>
      <c r="FL47" s="1676">
        <f t="shared" si="37"/>
        <v>16934493</v>
      </c>
      <c r="FM47" s="1676">
        <f t="shared" si="38"/>
        <v>12090974.628</v>
      </c>
    </row>
    <row r="48" spans="1:169" ht="15" x14ac:dyDescent="0.3">
      <c r="AY48" s="1684"/>
      <c r="AZ48" s="1684"/>
      <c r="BA48" s="1684"/>
      <c r="BK48" s="1316" t="s">
        <v>452</v>
      </c>
      <c r="BL48" s="1316" t="s">
        <v>128</v>
      </c>
      <c r="BM48" s="1316" t="s">
        <v>447</v>
      </c>
      <c r="BN48" s="1316" t="s">
        <v>447</v>
      </c>
      <c r="BO48" s="1353">
        <v>0</v>
      </c>
      <c r="BP48" s="1353">
        <v>18204215</v>
      </c>
      <c r="BQ48" s="1353">
        <v>18204215</v>
      </c>
      <c r="BR48" s="1676">
        <f t="shared" si="14"/>
        <v>0</v>
      </c>
      <c r="BS48" s="1676">
        <f t="shared" si="15"/>
        <v>18204.215</v>
      </c>
      <c r="BT48" s="1676">
        <f t="shared" si="16"/>
        <v>18204.215</v>
      </c>
      <c r="CE48" s="1316" t="s">
        <v>451</v>
      </c>
      <c r="CF48" s="1316" t="s">
        <v>470</v>
      </c>
      <c r="CG48" s="1316" t="s">
        <v>447</v>
      </c>
      <c r="CH48" s="1316" t="s">
        <v>447</v>
      </c>
      <c r="CI48" s="1677">
        <v>0</v>
      </c>
      <c r="CJ48" s="1677">
        <v>2049690495</v>
      </c>
      <c r="CK48" s="1677">
        <v>2049690495</v>
      </c>
      <c r="CL48" s="1676">
        <f t="shared" si="39"/>
        <v>0</v>
      </c>
      <c r="CM48" s="1676">
        <f t="shared" si="40"/>
        <v>2049690.4950000001</v>
      </c>
      <c r="CN48" s="1676">
        <f t="shared" si="41"/>
        <v>2049690.4950000001</v>
      </c>
      <c r="CY48" s="1316" t="s">
        <v>451</v>
      </c>
      <c r="CZ48" s="1316" t="s">
        <v>470</v>
      </c>
      <c r="DA48" s="1316" t="s">
        <v>447</v>
      </c>
      <c r="DB48" s="1316" t="s">
        <v>447</v>
      </c>
      <c r="DC48" s="1677">
        <v>0</v>
      </c>
      <c r="DD48" s="1677">
        <v>2361913695</v>
      </c>
      <c r="DE48" s="1677">
        <v>2361913695</v>
      </c>
      <c r="DF48" s="1669">
        <f t="shared" si="42"/>
        <v>0</v>
      </c>
      <c r="DG48" s="1669">
        <f t="shared" si="43"/>
        <v>2361913.6949999998</v>
      </c>
      <c r="DH48" s="1669">
        <f t="shared" si="44"/>
        <v>2361913.6949999998</v>
      </c>
      <c r="DS48" s="1678" t="s">
        <v>451</v>
      </c>
      <c r="DT48" s="1679" t="s">
        <v>470</v>
      </c>
      <c r="DU48" s="1679" t="s">
        <v>447</v>
      </c>
      <c r="DV48" s="1679" t="s">
        <v>447</v>
      </c>
      <c r="DW48" s="1680">
        <v>8635311000</v>
      </c>
      <c r="DX48" s="1680">
        <v>0</v>
      </c>
      <c r="DY48" s="1680">
        <v>0</v>
      </c>
      <c r="DZ48" s="1669">
        <f t="shared" si="45"/>
        <v>8635311</v>
      </c>
      <c r="EA48" s="1669">
        <f t="shared" si="46"/>
        <v>0</v>
      </c>
      <c r="EB48" s="1669">
        <f t="shared" si="47"/>
        <v>0</v>
      </c>
      <c r="EK48" s="1316" t="s">
        <v>451</v>
      </c>
      <c r="EL48" s="1316" t="s">
        <v>470</v>
      </c>
      <c r="EM48" s="1316" t="s">
        <v>447</v>
      </c>
      <c r="EN48" s="1316" t="s">
        <v>447</v>
      </c>
      <c r="EO48" s="1353">
        <v>8635311000</v>
      </c>
      <c r="EP48" s="1353">
        <v>0</v>
      </c>
      <c r="EQ48" s="1353">
        <v>0</v>
      </c>
      <c r="ER48" s="1669">
        <f t="shared" si="32"/>
        <v>8635311</v>
      </c>
      <c r="ES48" s="1669">
        <f t="shared" si="33"/>
        <v>0</v>
      </c>
      <c r="ET48" s="1669">
        <f t="shared" si="34"/>
        <v>0</v>
      </c>
      <c r="FD48" s="1314" t="s">
        <v>451</v>
      </c>
      <c r="FE48" s="1314" t="s">
        <v>470</v>
      </c>
      <c r="FF48" s="1314" t="s">
        <v>447</v>
      </c>
      <c r="FG48" s="1314" t="s">
        <v>447</v>
      </c>
      <c r="FH48" s="244">
        <v>8635311000</v>
      </c>
      <c r="FI48" s="244">
        <v>0</v>
      </c>
      <c r="FJ48" s="244">
        <v>0</v>
      </c>
      <c r="FK48" s="1676">
        <f t="shared" si="36"/>
        <v>8635311</v>
      </c>
      <c r="FL48" s="1676">
        <f t="shared" si="37"/>
        <v>0</v>
      </c>
      <c r="FM48" s="1676">
        <f t="shared" si="38"/>
        <v>0</v>
      </c>
    </row>
    <row r="49" spans="83:169" ht="15" x14ac:dyDescent="0.3">
      <c r="CE49" s="1316" t="s">
        <v>1032</v>
      </c>
      <c r="CF49" s="1316" t="s">
        <v>1033</v>
      </c>
      <c r="CG49" s="1316" t="s">
        <v>447</v>
      </c>
      <c r="CH49" s="1316" t="s">
        <v>447</v>
      </c>
      <c r="CI49" s="1677">
        <v>1249000000</v>
      </c>
      <c r="CJ49" s="1677">
        <v>0</v>
      </c>
      <c r="CK49" s="1677">
        <v>0</v>
      </c>
      <c r="CL49" s="1676">
        <f t="shared" si="39"/>
        <v>1249000</v>
      </c>
      <c r="CM49" s="1676">
        <f t="shared" si="40"/>
        <v>0</v>
      </c>
      <c r="CN49" s="1676">
        <f t="shared" si="41"/>
        <v>0</v>
      </c>
      <c r="CY49" s="1316" t="s">
        <v>1032</v>
      </c>
      <c r="CZ49" s="1316" t="s">
        <v>1033</v>
      </c>
      <c r="DA49" s="1316" t="s">
        <v>447</v>
      </c>
      <c r="DB49" s="1316" t="s">
        <v>447</v>
      </c>
      <c r="DC49" s="1677">
        <v>1249000000</v>
      </c>
      <c r="DD49" s="1677">
        <v>0</v>
      </c>
      <c r="DE49" s="1677">
        <v>0</v>
      </c>
      <c r="DF49" s="1669">
        <f t="shared" si="42"/>
        <v>1249000</v>
      </c>
      <c r="DG49" s="1669">
        <f t="shared" si="43"/>
        <v>0</v>
      </c>
      <c r="DH49" s="1669">
        <f t="shared" si="44"/>
        <v>0</v>
      </c>
      <c r="DS49" s="1678" t="s">
        <v>451</v>
      </c>
      <c r="DT49" s="1679" t="s">
        <v>470</v>
      </c>
      <c r="DU49" s="1679" t="s">
        <v>447</v>
      </c>
      <c r="DV49" s="1679" t="s">
        <v>447</v>
      </c>
      <c r="DW49" s="1680">
        <v>0</v>
      </c>
      <c r="DX49" s="1680">
        <v>2435362552</v>
      </c>
      <c r="DY49" s="1680">
        <v>2430257666</v>
      </c>
      <c r="DZ49" s="1669">
        <f t="shared" si="45"/>
        <v>0</v>
      </c>
      <c r="EA49" s="1669">
        <f t="shared" si="46"/>
        <v>2435362.5520000001</v>
      </c>
      <c r="EB49" s="1669">
        <f t="shared" si="47"/>
        <v>2430257.6660000002</v>
      </c>
      <c r="EK49" s="1316" t="s">
        <v>451</v>
      </c>
      <c r="EL49" s="1316" t="s">
        <v>470</v>
      </c>
      <c r="EM49" s="1316" t="s">
        <v>447</v>
      </c>
      <c r="EN49" s="1316" t="s">
        <v>447</v>
      </c>
      <c r="EO49" s="1353">
        <v>0</v>
      </c>
      <c r="EP49" s="1353">
        <v>2509485677</v>
      </c>
      <c r="EQ49" s="1353">
        <v>2438887856</v>
      </c>
      <c r="ER49" s="1669">
        <f t="shared" si="32"/>
        <v>0</v>
      </c>
      <c r="ES49" s="1669">
        <f t="shared" si="33"/>
        <v>2509485.6770000001</v>
      </c>
      <c r="ET49" s="1669">
        <f t="shared" si="34"/>
        <v>2438887.8560000001</v>
      </c>
      <c r="FD49" s="1314" t="s">
        <v>451</v>
      </c>
      <c r="FE49" s="1314" t="s">
        <v>470</v>
      </c>
      <c r="FF49" s="1314" t="s">
        <v>447</v>
      </c>
      <c r="FG49" s="1314" t="s">
        <v>447</v>
      </c>
      <c r="FH49" s="244">
        <v>0</v>
      </c>
      <c r="FI49" s="244">
        <v>3666663216</v>
      </c>
      <c r="FJ49" s="244">
        <v>2649707437</v>
      </c>
      <c r="FK49" s="1676">
        <f t="shared" si="36"/>
        <v>0</v>
      </c>
      <c r="FL49" s="1676">
        <f t="shared" si="37"/>
        <v>3666663.216</v>
      </c>
      <c r="FM49" s="1676">
        <f t="shared" si="38"/>
        <v>2649707.4369999999</v>
      </c>
    </row>
    <row r="50" spans="83:169" ht="15" x14ac:dyDescent="0.3">
      <c r="CE50" s="1316" t="s">
        <v>452</v>
      </c>
      <c r="CF50" s="1316" t="s">
        <v>128</v>
      </c>
      <c r="CG50" s="1316" t="s">
        <v>447</v>
      </c>
      <c r="CH50" s="1316" t="s">
        <v>447</v>
      </c>
      <c r="CI50" s="1677">
        <v>18205000</v>
      </c>
      <c r="CJ50" s="1677">
        <v>0</v>
      </c>
      <c r="CK50" s="1677">
        <v>0</v>
      </c>
      <c r="CL50" s="1676">
        <f t="shared" si="39"/>
        <v>18205</v>
      </c>
      <c r="CM50" s="1676">
        <f t="shared" si="40"/>
        <v>0</v>
      </c>
      <c r="CN50" s="1676">
        <f t="shared" si="41"/>
        <v>0</v>
      </c>
      <c r="CY50" s="1316" t="s">
        <v>452</v>
      </c>
      <c r="CZ50" s="1316" t="s">
        <v>128</v>
      </c>
      <c r="DA50" s="1316" t="s">
        <v>447</v>
      </c>
      <c r="DB50" s="1316" t="s">
        <v>447</v>
      </c>
      <c r="DC50" s="1677">
        <v>18205000</v>
      </c>
      <c r="DD50" s="1677">
        <v>0</v>
      </c>
      <c r="DE50" s="1677">
        <v>0</v>
      </c>
      <c r="DF50" s="1669">
        <f t="shared" si="42"/>
        <v>18205</v>
      </c>
      <c r="DG50" s="1669">
        <f t="shared" si="43"/>
        <v>0</v>
      </c>
      <c r="DH50" s="1669">
        <f t="shared" si="44"/>
        <v>0</v>
      </c>
      <c r="DS50" s="1678" t="s">
        <v>1032</v>
      </c>
      <c r="DT50" s="1679" t="s">
        <v>1033</v>
      </c>
      <c r="DU50" s="1679" t="s">
        <v>447</v>
      </c>
      <c r="DV50" s="1679" t="s">
        <v>447</v>
      </c>
      <c r="DW50" s="1680">
        <v>1249000000</v>
      </c>
      <c r="DX50" s="1680">
        <v>0</v>
      </c>
      <c r="DY50" s="1680">
        <v>0</v>
      </c>
      <c r="DZ50" s="1669">
        <f t="shared" si="45"/>
        <v>1249000</v>
      </c>
      <c r="EA50" s="1669">
        <f t="shared" si="46"/>
        <v>0</v>
      </c>
      <c r="EB50" s="1669">
        <f t="shared" si="47"/>
        <v>0</v>
      </c>
      <c r="EK50" s="1316" t="s">
        <v>1032</v>
      </c>
      <c r="EL50" s="1316" t="s">
        <v>1033</v>
      </c>
      <c r="EM50" s="1316" t="s">
        <v>447</v>
      </c>
      <c r="EN50" s="1316" t="s">
        <v>447</v>
      </c>
      <c r="EO50" s="1353">
        <v>1249000000</v>
      </c>
      <c r="EP50" s="1353">
        <v>0</v>
      </c>
      <c r="EQ50" s="1353">
        <v>0</v>
      </c>
      <c r="ER50" s="1669">
        <f t="shared" si="32"/>
        <v>1249000</v>
      </c>
      <c r="ES50" s="1669">
        <f t="shared" si="33"/>
        <v>0</v>
      </c>
      <c r="ET50" s="1669">
        <f t="shared" si="34"/>
        <v>0</v>
      </c>
      <c r="FD50" s="1314" t="s">
        <v>1032</v>
      </c>
      <c r="FE50" s="1314" t="s">
        <v>1033</v>
      </c>
      <c r="FF50" s="1314" t="s">
        <v>447</v>
      </c>
      <c r="FG50" s="1314" t="s">
        <v>447</v>
      </c>
      <c r="FH50" s="244">
        <v>1249000000</v>
      </c>
      <c r="FI50" s="244">
        <v>0</v>
      </c>
      <c r="FJ50" s="244">
        <v>0</v>
      </c>
      <c r="FK50" s="1676">
        <f t="shared" si="36"/>
        <v>1249000</v>
      </c>
      <c r="FL50" s="1676">
        <f t="shared" si="37"/>
        <v>0</v>
      </c>
      <c r="FM50" s="1676">
        <f t="shared" si="38"/>
        <v>0</v>
      </c>
    </row>
    <row r="51" spans="83:169" ht="15" x14ac:dyDescent="0.3">
      <c r="CE51" s="1316" t="s">
        <v>452</v>
      </c>
      <c r="CF51" s="1316" t="s">
        <v>128</v>
      </c>
      <c r="CG51" s="1316" t="s">
        <v>447</v>
      </c>
      <c r="CH51" s="1316" t="s">
        <v>447</v>
      </c>
      <c r="CI51" s="1677">
        <v>0</v>
      </c>
      <c r="CJ51" s="1677">
        <v>18204215</v>
      </c>
      <c r="CK51" s="1677">
        <v>18204215</v>
      </c>
      <c r="CL51" s="1676">
        <f t="shared" si="39"/>
        <v>0</v>
      </c>
      <c r="CM51" s="1676">
        <f t="shared" si="40"/>
        <v>18204.215</v>
      </c>
      <c r="CN51" s="1676">
        <f t="shared" si="41"/>
        <v>18204.215</v>
      </c>
      <c r="CY51" s="1316" t="s">
        <v>452</v>
      </c>
      <c r="CZ51" s="1316" t="s">
        <v>128</v>
      </c>
      <c r="DA51" s="1316" t="s">
        <v>447</v>
      </c>
      <c r="DB51" s="1316" t="s">
        <v>447</v>
      </c>
      <c r="DC51" s="1677">
        <v>0</v>
      </c>
      <c r="DD51" s="1677">
        <v>18204215</v>
      </c>
      <c r="DE51" s="1677">
        <v>18204215</v>
      </c>
      <c r="DF51" s="1669">
        <f t="shared" si="42"/>
        <v>0</v>
      </c>
      <c r="DG51" s="1669">
        <f t="shared" si="43"/>
        <v>18204.215</v>
      </c>
      <c r="DH51" s="1669">
        <f t="shared" si="44"/>
        <v>18204.215</v>
      </c>
      <c r="DS51" s="1678" t="s">
        <v>452</v>
      </c>
      <c r="DT51" s="1679" t="s">
        <v>128</v>
      </c>
      <c r="DU51" s="1679" t="s">
        <v>447</v>
      </c>
      <c r="DV51" s="1679" t="s">
        <v>447</v>
      </c>
      <c r="DW51" s="1680">
        <v>18205000</v>
      </c>
      <c r="DX51" s="1680">
        <v>0</v>
      </c>
      <c r="DY51" s="1680">
        <v>0</v>
      </c>
      <c r="DZ51" s="1669">
        <f t="shared" si="45"/>
        <v>18205</v>
      </c>
      <c r="EA51" s="1669">
        <f t="shared" si="46"/>
        <v>0</v>
      </c>
      <c r="EB51" s="1669">
        <f t="shared" si="47"/>
        <v>0</v>
      </c>
      <c r="EK51" s="1316" t="s">
        <v>452</v>
      </c>
      <c r="EL51" s="1316" t="s">
        <v>128</v>
      </c>
      <c r="EM51" s="1316" t="s">
        <v>447</v>
      </c>
      <c r="EN51" s="1316" t="s">
        <v>447</v>
      </c>
      <c r="EO51" s="1353">
        <v>18205000</v>
      </c>
      <c r="EP51" s="1353">
        <v>0</v>
      </c>
      <c r="EQ51" s="1353">
        <v>0</v>
      </c>
      <c r="ER51" s="1669">
        <f t="shared" si="32"/>
        <v>18205</v>
      </c>
      <c r="ES51" s="1669">
        <f t="shared" si="33"/>
        <v>0</v>
      </c>
      <c r="ET51" s="1669">
        <f t="shared" si="34"/>
        <v>0</v>
      </c>
      <c r="FD51" s="1314" t="s">
        <v>452</v>
      </c>
      <c r="FE51" s="1314" t="s">
        <v>128</v>
      </c>
      <c r="FF51" s="1314" t="s">
        <v>447</v>
      </c>
      <c r="FG51" s="1314" t="s">
        <v>447</v>
      </c>
      <c r="FH51" s="244">
        <v>18205000</v>
      </c>
      <c r="FI51" s="244">
        <v>0</v>
      </c>
      <c r="FJ51" s="244">
        <v>0</v>
      </c>
      <c r="FK51" s="1676">
        <f t="shared" si="36"/>
        <v>18205</v>
      </c>
      <c r="FL51" s="1676">
        <f t="shared" si="37"/>
        <v>0</v>
      </c>
      <c r="FM51" s="1676">
        <f t="shared" si="38"/>
        <v>0</v>
      </c>
    </row>
    <row r="52" spans="83:169" ht="15" x14ac:dyDescent="0.3">
      <c r="CE52" s="430"/>
      <c r="CF52" s="430"/>
      <c r="CG52" s="430"/>
      <c r="CH52" s="430"/>
      <c r="CI52" s="1686"/>
      <c r="CJ52" s="1686"/>
      <c r="CK52" s="1686"/>
      <c r="DS52" s="1678" t="s">
        <v>452</v>
      </c>
      <c r="DT52" s="1679" t="s">
        <v>128</v>
      </c>
      <c r="DU52" s="1679" t="s">
        <v>447</v>
      </c>
      <c r="DV52" s="1679" t="s">
        <v>447</v>
      </c>
      <c r="DW52" s="1680">
        <v>0</v>
      </c>
      <c r="DX52" s="1680">
        <v>18204215</v>
      </c>
      <c r="DY52" s="1680">
        <v>18204215</v>
      </c>
      <c r="DZ52" s="1669">
        <f t="shared" si="45"/>
        <v>0</v>
      </c>
      <c r="EA52" s="1669">
        <f t="shared" si="46"/>
        <v>18204.215</v>
      </c>
      <c r="EB52" s="1669">
        <f t="shared" si="47"/>
        <v>18204.215</v>
      </c>
      <c r="EK52" s="1316" t="s">
        <v>452</v>
      </c>
      <c r="EL52" s="1316" t="s">
        <v>128</v>
      </c>
      <c r="EM52" s="1316" t="s">
        <v>447</v>
      </c>
      <c r="EN52" s="1316" t="s">
        <v>447</v>
      </c>
      <c r="EO52" s="1353">
        <v>0</v>
      </c>
      <c r="EP52" s="1353">
        <v>18204215</v>
      </c>
      <c r="EQ52" s="1353">
        <v>18204215</v>
      </c>
      <c r="ER52" s="1669">
        <f t="shared" si="32"/>
        <v>0</v>
      </c>
      <c r="ES52" s="1669">
        <f t="shared" si="33"/>
        <v>18204.215</v>
      </c>
      <c r="ET52" s="1669">
        <f t="shared" si="34"/>
        <v>18204.215</v>
      </c>
      <c r="FD52" s="1314" t="s">
        <v>452</v>
      </c>
      <c r="FE52" s="1314" t="s">
        <v>128</v>
      </c>
      <c r="FF52" s="1314" t="s">
        <v>447</v>
      </c>
      <c r="FG52" s="1314" t="s">
        <v>447</v>
      </c>
      <c r="FH52" s="244">
        <v>0</v>
      </c>
      <c r="FI52" s="244">
        <v>18204215</v>
      </c>
      <c r="FJ52" s="244">
        <v>18204215</v>
      </c>
      <c r="FK52" s="1676">
        <f t="shared" si="36"/>
        <v>0</v>
      </c>
      <c r="FL52" s="1676">
        <f t="shared" si="37"/>
        <v>18204.215</v>
      </c>
      <c r="FM52" s="1676">
        <f t="shared" si="38"/>
        <v>18204.215</v>
      </c>
    </row>
    <row r="53" spans="83:169" ht="15" x14ac:dyDescent="0.3">
      <c r="EB53" s="1681"/>
      <c r="ER53" s="1681">
        <f>SUM(ER3:ER52)</f>
        <v>371478226</v>
      </c>
      <c r="ES53" s="1681">
        <f>SUM(ES3:ES52)</f>
        <v>228204593.94399998</v>
      </c>
      <c r="ET53" s="1681">
        <f>SUM(ET3:ET52)</f>
        <v>208985942.63299996</v>
      </c>
      <c r="FD53" s="1611"/>
      <c r="FE53" s="1611"/>
      <c r="FF53" s="1611"/>
      <c r="FG53" s="1611"/>
      <c r="FK53" s="1676">
        <f t="shared" si="36"/>
        <v>0</v>
      </c>
      <c r="FL53" s="1676">
        <f t="shared" si="37"/>
        <v>0</v>
      </c>
      <c r="FM53" s="1676">
        <f t="shared" si="38"/>
        <v>0</v>
      </c>
    </row>
    <row r="54" spans="83:169" x14ac:dyDescent="0.3">
      <c r="ET54" s="1684">
        <f ca="1">+ET53-'Prog 03'!J11</f>
        <v>-16265569.860000044</v>
      </c>
    </row>
    <row r="55" spans="83:169" x14ac:dyDescent="0.3">
      <c r="EB55" s="1684"/>
    </row>
  </sheetData>
  <mergeCells count="14">
    <mergeCell ref="A1:D1"/>
    <mergeCell ref="N1:T1"/>
    <mergeCell ref="Y1:AE1"/>
    <mergeCell ref="CY1:DE1"/>
    <mergeCell ref="CQ1:CU1"/>
    <mergeCell ref="BD1:BG1"/>
    <mergeCell ref="BK1:BQ1"/>
    <mergeCell ref="AJ1:AM1"/>
    <mergeCell ref="AR1:AU1"/>
    <mergeCell ref="EW1:EZ1"/>
    <mergeCell ref="FD1:FK1"/>
    <mergeCell ref="ED1:EH1"/>
    <mergeCell ref="EK1:ER1"/>
    <mergeCell ref="DS1:DY1"/>
  </mergeCell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9A46"/>
    <pageSetUpPr fitToPage="1"/>
  </sheetPr>
  <dimension ref="A1:BY140"/>
  <sheetViews>
    <sheetView zoomScale="70" zoomScaleNormal="70" workbookViewId="0">
      <selection activeCell="P76" sqref="P76"/>
    </sheetView>
  </sheetViews>
  <sheetFormatPr baseColWidth="10" defaultColWidth="11.42578125" defaultRowHeight="12.75" x14ac:dyDescent="0.2"/>
  <cols>
    <col min="1" max="1" width="13.7109375" style="311" customWidth="1"/>
    <col min="2" max="2" width="5.7109375" style="8" customWidth="1"/>
    <col min="3" max="3" width="6.5703125" style="10" customWidth="1"/>
    <col min="4" max="4" width="6.7109375" style="12" customWidth="1"/>
    <col min="5" max="5" width="9.7109375" style="14" hidden="1" customWidth="1"/>
    <col min="6" max="6" width="13.5703125" style="645" hidden="1" customWidth="1"/>
    <col min="7" max="7" width="56.7109375" style="1" customWidth="1"/>
    <col min="8" max="10" width="19.7109375" style="6" customWidth="1"/>
    <col min="11" max="11" width="19.7109375" style="687" customWidth="1"/>
    <col min="12" max="12" width="19.7109375" style="6" hidden="1" customWidth="1"/>
    <col min="13" max="13" width="19.7109375" style="598" hidden="1" customWidth="1"/>
    <col min="14" max="14" width="19.7109375" style="6" hidden="1" customWidth="1"/>
    <col min="15" max="15" width="19.7109375" style="598" hidden="1" customWidth="1"/>
    <col min="16" max="16" width="19.7109375" style="824" customWidth="1"/>
    <col min="17" max="17" width="19.7109375" style="834" customWidth="1"/>
    <col min="18" max="18" width="19.7109375" style="684" customWidth="1"/>
    <col min="19" max="19" width="19.7109375" style="684" hidden="1" customWidth="1"/>
    <col min="20" max="25" width="19.7109375" style="6" hidden="1" customWidth="1"/>
    <col min="26" max="27" width="19.85546875" style="6" hidden="1" customWidth="1"/>
    <col min="28" max="39" width="19.7109375" style="6" hidden="1" customWidth="1"/>
    <col min="40" max="40" width="5.5703125" style="176" customWidth="1"/>
    <col min="41" max="41" width="16.7109375" style="239" customWidth="1"/>
    <col min="42" max="42" width="19" style="239" customWidth="1"/>
    <col min="43" max="43" width="42.7109375" style="239" customWidth="1"/>
    <col min="44" max="44" width="28.85546875" style="239" customWidth="1"/>
    <col min="45" max="46" width="28.85546875" style="5" customWidth="1"/>
    <col min="47" max="16384" width="11.42578125" style="5"/>
  </cols>
  <sheetData>
    <row r="1" spans="1:77" s="74" customFormat="1" ht="15" customHeight="1" thickBot="1" x14ac:dyDescent="0.3"/>
    <row r="2" spans="1:77" ht="21" thickBot="1" x14ac:dyDescent="0.35">
      <c r="B2" s="1960" t="s">
        <v>285</v>
      </c>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406"/>
      <c r="AD2" s="352"/>
      <c r="AE2" s="1452"/>
      <c r="AF2" s="533"/>
      <c r="AG2" s="1579"/>
      <c r="AH2" s="599"/>
      <c r="AI2" s="1756"/>
      <c r="AJ2" s="635"/>
      <c r="AK2" s="707"/>
      <c r="AL2" s="750"/>
      <c r="AM2" s="769"/>
    </row>
    <row r="3" spans="1:77" s="1791" customFormat="1" hidden="1" x14ac:dyDescent="0.2">
      <c r="A3" s="1788"/>
      <c r="B3" s="1963"/>
      <c r="C3" s="1964"/>
      <c r="D3" s="1964"/>
      <c r="E3" s="1964"/>
      <c r="F3" s="1964"/>
      <c r="G3" s="1964"/>
      <c r="H3" s="1964"/>
      <c r="I3" s="1964"/>
      <c r="J3" s="1964"/>
      <c r="K3" s="1964"/>
      <c r="L3" s="1964"/>
      <c r="M3" s="1964"/>
      <c r="N3" s="1964"/>
      <c r="O3" s="1964"/>
      <c r="P3" s="1964"/>
      <c r="Q3" s="1964"/>
      <c r="R3" s="1964"/>
      <c r="S3" s="1789" t="s">
        <v>273</v>
      </c>
      <c r="T3" s="1789" t="s">
        <v>127</v>
      </c>
      <c r="U3" s="1789" t="s">
        <v>273</v>
      </c>
      <c r="V3" s="1789" t="s">
        <v>127</v>
      </c>
      <c r="W3" s="1789" t="s">
        <v>273</v>
      </c>
      <c r="X3" s="1789" t="s">
        <v>127</v>
      </c>
      <c r="Y3" s="1789" t="s">
        <v>273</v>
      </c>
      <c r="Z3" s="1789" t="s">
        <v>127</v>
      </c>
      <c r="AA3" s="1789" t="s">
        <v>273</v>
      </c>
      <c r="AB3" s="1789" t="s">
        <v>127</v>
      </c>
      <c r="AC3" s="1789" t="s">
        <v>273</v>
      </c>
      <c r="AD3" s="1789" t="s">
        <v>127</v>
      </c>
      <c r="AE3" s="1789" t="s">
        <v>273</v>
      </c>
      <c r="AF3" s="1789" t="s">
        <v>127</v>
      </c>
      <c r="AG3" s="1789" t="s">
        <v>273</v>
      </c>
      <c r="AH3" s="1789" t="s">
        <v>127</v>
      </c>
      <c r="AI3" s="1789" t="s">
        <v>273</v>
      </c>
      <c r="AJ3" s="1789" t="s">
        <v>127</v>
      </c>
      <c r="AK3" s="1789"/>
      <c r="AL3" s="1789"/>
      <c r="AM3" s="1789"/>
      <c r="AN3" s="1401"/>
      <c r="AO3" s="1790"/>
      <c r="AP3" s="1790"/>
      <c r="AQ3" s="1790"/>
      <c r="AR3" s="1790"/>
    </row>
    <row r="4" spans="1:77" s="56" customFormat="1" ht="13.5" hidden="1" thickBot="1" x14ac:dyDescent="0.25">
      <c r="A4" s="312"/>
      <c r="B4" s="146"/>
      <c r="C4" s="148"/>
      <c r="D4" s="148"/>
      <c r="E4" s="148"/>
      <c r="F4" s="148"/>
      <c r="G4" s="148"/>
      <c r="H4" s="148"/>
      <c r="I4" s="148"/>
      <c r="J4" s="148"/>
      <c r="K4" s="672"/>
      <c r="L4" s="148"/>
      <c r="M4" s="590"/>
      <c r="N4" s="148"/>
      <c r="O4" s="590"/>
      <c r="P4" s="814"/>
      <c r="Q4" s="825"/>
      <c r="R4" s="590"/>
      <c r="S4" s="590"/>
      <c r="T4" s="57"/>
      <c r="U4" s="57"/>
      <c r="V4" s="57"/>
      <c r="W4" s="57"/>
      <c r="X4" s="57"/>
      <c r="Y4" s="57"/>
      <c r="Z4" s="57"/>
      <c r="AA4" s="57"/>
      <c r="AB4" s="57"/>
      <c r="AC4" s="57"/>
      <c r="AD4" s="57"/>
      <c r="AE4" s="57"/>
      <c r="AF4" s="57"/>
      <c r="AG4" s="57"/>
      <c r="AH4" s="57"/>
      <c r="AI4" s="57"/>
      <c r="AJ4" s="57"/>
      <c r="AK4" s="57"/>
      <c r="AL4" s="57"/>
      <c r="AM4" s="147"/>
      <c r="AN4" s="5"/>
      <c r="AO4" s="239"/>
      <c r="AP4" s="239"/>
      <c r="AQ4" s="239"/>
      <c r="AR4" s="239"/>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row>
    <row r="5" spans="1:77" ht="21" thickBot="1" x14ac:dyDescent="0.35">
      <c r="B5" s="1794" t="s">
        <v>245</v>
      </c>
      <c r="C5" s="1795"/>
      <c r="D5" s="1795"/>
      <c r="E5" s="1795"/>
      <c r="F5" s="1795"/>
      <c r="G5" s="1795"/>
      <c r="H5" s="1795"/>
      <c r="I5" s="1795"/>
      <c r="J5" s="1795"/>
      <c r="K5" s="1795"/>
      <c r="L5" s="1795"/>
      <c r="M5" s="1795"/>
      <c r="N5" s="1795"/>
      <c r="O5" s="1795"/>
      <c r="P5" s="1795"/>
      <c r="Q5" s="1795"/>
      <c r="R5" s="1795"/>
      <c r="S5" s="1795"/>
      <c r="T5" s="1795"/>
      <c r="U5" s="1795"/>
      <c r="V5" s="1795"/>
      <c r="W5" s="1795"/>
      <c r="X5" s="1795"/>
      <c r="Y5" s="1795"/>
      <c r="Z5" s="1795"/>
      <c r="AA5" s="1795"/>
      <c r="AB5" s="1795"/>
      <c r="AC5" s="1406"/>
      <c r="AD5" s="352"/>
      <c r="AE5" s="1452"/>
      <c r="AF5" s="533"/>
      <c r="AG5" s="1579"/>
      <c r="AH5" s="599"/>
      <c r="AI5" s="1756"/>
      <c r="AJ5" s="635"/>
      <c r="AK5" s="707"/>
      <c r="AL5" s="750"/>
      <c r="AM5" s="769"/>
    </row>
    <row r="6" spans="1:77" ht="18.75" thickBot="1" x14ac:dyDescent="0.3">
      <c r="B6" s="1965" t="s">
        <v>283</v>
      </c>
      <c r="C6" s="1966"/>
      <c r="D6" s="1966"/>
      <c r="E6" s="1966"/>
      <c r="F6" s="1966"/>
      <c r="G6" s="1967"/>
      <c r="H6" s="1961" t="s">
        <v>942</v>
      </c>
      <c r="I6" s="1962"/>
      <c r="J6" s="1962"/>
      <c r="K6" s="1962"/>
      <c r="L6" s="1962"/>
      <c r="M6" s="1962"/>
      <c r="N6" s="1962"/>
      <c r="O6" s="1962"/>
      <c r="P6" s="1970" t="s">
        <v>707</v>
      </c>
      <c r="Q6" s="1971"/>
      <c r="R6" s="1972"/>
      <c r="S6" s="1952"/>
      <c r="T6" s="1953"/>
      <c r="U6" s="1952"/>
      <c r="V6" s="1953"/>
      <c r="W6" s="1952"/>
      <c r="X6" s="1953"/>
      <c r="Y6" s="1952"/>
      <c r="Z6" s="1953"/>
      <c r="AA6" s="1341"/>
      <c r="AB6" s="1342"/>
      <c r="AC6" s="1408"/>
      <c r="AD6" s="1538"/>
      <c r="AE6" s="1956"/>
      <c r="AF6" s="1957"/>
      <c r="AG6" s="1952"/>
      <c r="AH6" s="1953"/>
      <c r="AI6" s="1757"/>
      <c r="AJ6" s="1581"/>
      <c r="AK6" s="836"/>
      <c r="AL6" s="802"/>
      <c r="AM6" s="836"/>
      <c r="AN6" s="239"/>
    </row>
    <row r="7" spans="1:77" ht="16.5" thickBot="1" x14ac:dyDescent="0.3">
      <c r="B7" s="1968"/>
      <c r="C7" s="1969"/>
      <c r="D7" s="1969"/>
      <c r="E7" s="1969"/>
      <c r="F7" s="1969"/>
      <c r="G7" s="1969"/>
      <c r="H7" s="63" t="s">
        <v>130</v>
      </c>
      <c r="I7" s="50" t="s">
        <v>131</v>
      </c>
      <c r="J7" s="51" t="s">
        <v>132</v>
      </c>
      <c r="K7" s="697" t="s">
        <v>133</v>
      </c>
      <c r="L7" s="50" t="s">
        <v>789</v>
      </c>
      <c r="M7" s="688" t="s">
        <v>791</v>
      </c>
      <c r="N7" s="50" t="s">
        <v>790</v>
      </c>
      <c r="O7" s="591" t="s">
        <v>792</v>
      </c>
      <c r="P7" s="815" t="s">
        <v>130</v>
      </c>
      <c r="Q7" s="826" t="s">
        <v>131</v>
      </c>
      <c r="R7" s="673" t="s">
        <v>134</v>
      </c>
      <c r="S7" s="1952" t="s">
        <v>0</v>
      </c>
      <c r="T7" s="1953"/>
      <c r="U7" s="1952" t="s">
        <v>137</v>
      </c>
      <c r="V7" s="1953"/>
      <c r="W7" s="1952" t="s">
        <v>6</v>
      </c>
      <c r="X7" s="1953"/>
      <c r="Y7" s="1952" t="s">
        <v>7</v>
      </c>
      <c r="Z7" s="1953"/>
      <c r="AA7" s="1952" t="s">
        <v>8</v>
      </c>
      <c r="AB7" s="1953"/>
      <c r="AC7" s="1952" t="s">
        <v>9</v>
      </c>
      <c r="AD7" s="1958"/>
      <c r="AE7" s="1954" t="s">
        <v>79</v>
      </c>
      <c r="AF7" s="1955"/>
      <c r="AG7" s="1956" t="s">
        <v>10</v>
      </c>
      <c r="AH7" s="1959"/>
      <c r="AI7" s="1952" t="s">
        <v>11</v>
      </c>
      <c r="AJ7" s="1953"/>
      <c r="AK7" s="836" t="s">
        <v>12</v>
      </c>
      <c r="AL7" s="802" t="s">
        <v>13</v>
      </c>
      <c r="AM7" s="836" t="s">
        <v>14</v>
      </c>
      <c r="AN7" s="239"/>
    </row>
    <row r="8" spans="1:77" ht="76.5" customHeight="1" thickBot="1" x14ac:dyDescent="0.25">
      <c r="B8" s="1968"/>
      <c r="C8" s="1969"/>
      <c r="D8" s="1969"/>
      <c r="E8" s="1969"/>
      <c r="F8" s="1969"/>
      <c r="G8" s="1969"/>
      <c r="H8" s="345" t="s">
        <v>944</v>
      </c>
      <c r="I8" s="346" t="s">
        <v>943</v>
      </c>
      <c r="J8" s="346" t="s">
        <v>1059</v>
      </c>
      <c r="K8" s="698" t="s">
        <v>1060</v>
      </c>
      <c r="L8" s="346" t="s">
        <v>814</v>
      </c>
      <c r="M8" s="689" t="s">
        <v>813</v>
      </c>
      <c r="N8" s="346" t="s">
        <v>811</v>
      </c>
      <c r="O8" s="592" t="s">
        <v>812</v>
      </c>
      <c r="P8" s="816" t="s">
        <v>1061</v>
      </c>
      <c r="Q8" s="827" t="s">
        <v>1062</v>
      </c>
      <c r="R8" s="674" t="s">
        <v>1063</v>
      </c>
      <c r="S8" s="102" t="s">
        <v>941</v>
      </c>
      <c r="T8" s="138" t="s">
        <v>709</v>
      </c>
      <c r="U8" s="102" t="s">
        <v>941</v>
      </c>
      <c r="V8" s="138" t="s">
        <v>709</v>
      </c>
      <c r="W8" s="373" t="s">
        <v>941</v>
      </c>
      <c r="X8" s="1251" t="s">
        <v>708</v>
      </c>
      <c r="Y8" s="373" t="s">
        <v>941</v>
      </c>
      <c r="Z8" s="840" t="s">
        <v>708</v>
      </c>
      <c r="AA8" s="373" t="s">
        <v>941</v>
      </c>
      <c r="AB8" s="126" t="s">
        <v>708</v>
      </c>
      <c r="AC8" s="373" t="s">
        <v>941</v>
      </c>
      <c r="AD8" s="375" t="s">
        <v>708</v>
      </c>
      <c r="AE8" s="102" t="s">
        <v>941</v>
      </c>
      <c r="AF8" s="1124" t="s">
        <v>708</v>
      </c>
      <c r="AG8" s="102" t="s">
        <v>941</v>
      </c>
      <c r="AH8" s="126" t="s">
        <v>708</v>
      </c>
      <c r="AI8" s="373" t="s">
        <v>941</v>
      </c>
      <c r="AJ8" s="126" t="s">
        <v>708</v>
      </c>
      <c r="AK8" s="138" t="s">
        <v>708</v>
      </c>
      <c r="AL8" s="373" t="s">
        <v>708</v>
      </c>
      <c r="AM8" s="138" t="s">
        <v>708</v>
      </c>
      <c r="AN8" s="239"/>
      <c r="AS8" s="239"/>
    </row>
    <row r="9" spans="1:77" s="398" customFormat="1" ht="20.100000000000001" customHeight="1" x14ac:dyDescent="0.2">
      <c r="A9" s="397"/>
      <c r="B9" s="393" t="s">
        <v>91</v>
      </c>
      <c r="C9" s="394" t="s">
        <v>92</v>
      </c>
      <c r="D9" s="395" t="s">
        <v>93</v>
      </c>
      <c r="E9" s="395" t="s">
        <v>94</v>
      </c>
      <c r="F9" s="640"/>
      <c r="G9" s="526" t="s">
        <v>287</v>
      </c>
      <c r="H9" s="525">
        <f>+H34+H70+H10</f>
        <v>113525861</v>
      </c>
      <c r="I9" s="310">
        <f>+I10+I32+I34+I70</f>
        <v>34923399</v>
      </c>
      <c r="J9" s="310">
        <f ca="1">+J10+J32+J34+J70</f>
        <v>11523725</v>
      </c>
      <c r="K9" s="699">
        <f ca="1">IFERROR(J9/I9,"0.00%")</f>
        <v>0.32997146125438709</v>
      </c>
      <c r="L9" s="310">
        <f>+L10+L32+L34+L70</f>
        <v>11523725</v>
      </c>
      <c r="M9" s="690">
        <f>IFERROR(L9/I9,0)</f>
        <v>0.32997146125438709</v>
      </c>
      <c r="N9" s="525">
        <f>+I9-L9</f>
        <v>23399674</v>
      </c>
      <c r="O9" s="593">
        <f>+IFERROR(N9/I9,0)</f>
        <v>0.67002853874561297</v>
      </c>
      <c r="P9" s="811">
        <f>+P10+P32+P34+P70</f>
        <v>72898247.119629994</v>
      </c>
      <c r="Q9" s="1451">
        <f ca="1">+Q10+Q32+Q34</f>
        <v>1587151.4810000001</v>
      </c>
      <c r="R9" s="675">
        <f ca="1">IFERROR(Q9/P9,"0.00%")</f>
        <v>2.1772148765050525E-2</v>
      </c>
      <c r="S9" s="396">
        <v>0</v>
      </c>
      <c r="T9" s="804">
        <v>0</v>
      </c>
      <c r="U9" s="804">
        <v>0</v>
      </c>
      <c r="V9" s="804">
        <f ca="1">+V34+V70+V10</f>
        <v>0</v>
      </c>
      <c r="W9" s="1115">
        <v>0</v>
      </c>
      <c r="X9" s="1252">
        <v>0</v>
      </c>
      <c r="Y9" s="804">
        <f>+Y34+Y70+Y10</f>
        <v>0</v>
      </c>
      <c r="Z9" s="804">
        <f>+Z34+Z70+Z10</f>
        <v>0</v>
      </c>
      <c r="AA9" s="639">
        <v>0</v>
      </c>
      <c r="AB9" s="1252">
        <f>+AB34+AB70+AB10+AB32</f>
        <v>1463703.165</v>
      </c>
      <c r="AC9" s="639">
        <v>0</v>
      </c>
      <c r="AD9" s="1541">
        <f>+AD34+AD70+AD10+AD32</f>
        <v>123448.31599999999</v>
      </c>
      <c r="AE9" s="1545">
        <f>+AE10+AE32+AE34+AE70</f>
        <v>4150429</v>
      </c>
      <c r="AF9" s="1706">
        <v>0</v>
      </c>
      <c r="AG9" s="1545">
        <v>0</v>
      </c>
      <c r="AH9" s="1546">
        <v>0</v>
      </c>
      <c r="AI9" s="1787">
        <f>+AI53</f>
        <v>7373296</v>
      </c>
      <c r="AJ9" s="1252">
        <v>0</v>
      </c>
      <c r="AK9" s="804">
        <f>+AK34</f>
        <v>4635810</v>
      </c>
      <c r="AL9" s="639">
        <v>0</v>
      </c>
      <c r="AM9" s="804">
        <f>+AM35</f>
        <v>33073588</v>
      </c>
      <c r="AN9" s="239"/>
      <c r="AO9" s="239"/>
      <c r="AP9" s="239"/>
      <c r="AQ9" s="239"/>
      <c r="AR9" s="239"/>
      <c r="AS9" s="239"/>
    </row>
    <row r="10" spans="1:77" ht="15" hidden="1" customHeight="1" x14ac:dyDescent="0.2">
      <c r="B10" s="20">
        <v>24</v>
      </c>
      <c r="C10" s="21" t="s">
        <v>2</v>
      </c>
      <c r="D10" s="22"/>
      <c r="E10" s="23"/>
      <c r="F10" s="189"/>
      <c r="G10" s="527" t="s">
        <v>210</v>
      </c>
      <c r="H10" s="219">
        <f>+H11</f>
        <v>0</v>
      </c>
      <c r="I10" s="16">
        <f>+I11</f>
        <v>0</v>
      </c>
      <c r="J10" s="19">
        <f>+J11</f>
        <v>0</v>
      </c>
      <c r="K10" s="314" t="str">
        <f>IFERROR(J10/I10,"0,0%")</f>
        <v>0,0%</v>
      </c>
      <c r="L10" s="359">
        <f>+L11</f>
        <v>0</v>
      </c>
      <c r="M10" s="691">
        <f>IFERROR(L10/I10,0)</f>
        <v>0</v>
      </c>
      <c r="N10" s="359">
        <v>0</v>
      </c>
      <c r="O10" s="314">
        <f>+IFERROR(N10/I10,0)</f>
        <v>0</v>
      </c>
      <c r="P10" s="817">
        <f>+P11</f>
        <v>0</v>
      </c>
      <c r="Q10" s="828">
        <f>+Q11</f>
        <v>0</v>
      </c>
      <c r="R10" s="676" t="str">
        <f>IFERROR(Q10/P10,"0.00%")</f>
        <v>0.00%</v>
      </c>
      <c r="S10" s="805">
        <v>0</v>
      </c>
      <c r="T10" s="805">
        <f t="shared" ref="T10:AD10" si="0">+T11</f>
        <v>0</v>
      </c>
      <c r="U10" s="805">
        <v>0</v>
      </c>
      <c r="V10" s="805">
        <f t="shared" si="0"/>
        <v>0</v>
      </c>
      <c r="W10" s="238">
        <v>0</v>
      </c>
      <c r="X10" s="1253">
        <v>0</v>
      </c>
      <c r="Y10" s="805">
        <f t="shared" si="0"/>
        <v>0</v>
      </c>
      <c r="Z10" s="805">
        <f t="shared" si="0"/>
        <v>0</v>
      </c>
      <c r="AA10" s="368">
        <v>0</v>
      </c>
      <c r="AB10" s="1253">
        <v>0</v>
      </c>
      <c r="AC10" s="368">
        <v>0</v>
      </c>
      <c r="AD10" s="238">
        <f t="shared" si="0"/>
        <v>0</v>
      </c>
      <c r="AE10" s="242">
        <v>0</v>
      </c>
      <c r="AF10" s="238">
        <v>0</v>
      </c>
      <c r="AG10" s="242">
        <v>0</v>
      </c>
      <c r="AH10" s="1253">
        <f>+AH11</f>
        <v>0</v>
      </c>
      <c r="AI10" s="1539">
        <v>0</v>
      </c>
      <c r="AJ10" s="1253">
        <v>0</v>
      </c>
      <c r="AK10" s="805">
        <v>0</v>
      </c>
      <c r="AL10" s="368">
        <v>0</v>
      </c>
      <c r="AM10" s="805">
        <v>0</v>
      </c>
      <c r="AS10" s="239"/>
    </row>
    <row r="11" spans="1:77" ht="15" hidden="1" customHeight="1" x14ac:dyDescent="0.2">
      <c r="B11" s="20"/>
      <c r="C11" s="26" t="s">
        <v>164</v>
      </c>
      <c r="D11" s="27"/>
      <c r="E11" s="23"/>
      <c r="F11" s="189"/>
      <c r="G11" s="527" t="s">
        <v>86</v>
      </c>
      <c r="H11" s="219">
        <v>0</v>
      </c>
      <c r="I11" s="16">
        <v>0</v>
      </c>
      <c r="J11" s="16">
        <v>0</v>
      </c>
      <c r="K11" s="314" t="str">
        <f>IFERROR(J11/I11,"0,0%")</f>
        <v>0,0%</v>
      </c>
      <c r="L11" s="359">
        <v>0</v>
      </c>
      <c r="M11" s="691">
        <f>IFERROR(L11/I11,0)</f>
        <v>0</v>
      </c>
      <c r="N11" s="359">
        <v>0</v>
      </c>
      <c r="O11" s="314">
        <f>+IFERROR(N11/I11,0)</f>
        <v>0</v>
      </c>
      <c r="P11" s="818">
        <f>+SUM(P12:P31)</f>
        <v>0</v>
      </c>
      <c r="Q11" s="829">
        <f>SUM(Q12:Q31)</f>
        <v>0</v>
      </c>
      <c r="R11" s="676" t="str">
        <f>IFERROR(Q11/P11,"0.00%")</f>
        <v>0.00%</v>
      </c>
      <c r="S11" s="805">
        <v>0</v>
      </c>
      <c r="T11" s="805">
        <v>0</v>
      </c>
      <c r="U11" s="805">
        <v>0</v>
      </c>
      <c r="V11" s="805">
        <v>0</v>
      </c>
      <c r="W11" s="238">
        <v>0</v>
      </c>
      <c r="X11" s="1253">
        <v>0</v>
      </c>
      <c r="Y11" s="805">
        <v>0</v>
      </c>
      <c r="Z11" s="805">
        <v>0</v>
      </c>
      <c r="AA11" s="368">
        <v>0</v>
      </c>
      <c r="AB11" s="1253">
        <v>0</v>
      </c>
      <c r="AC11" s="368">
        <v>0</v>
      </c>
      <c r="AD11" s="238">
        <v>0</v>
      </c>
      <c r="AE11" s="242">
        <v>0</v>
      </c>
      <c r="AF11" s="238">
        <v>0</v>
      </c>
      <c r="AG11" s="242">
        <v>0</v>
      </c>
      <c r="AH11" s="1253">
        <f>SUM(AH12:AH31)</f>
        <v>0</v>
      </c>
      <c r="AI11" s="1539">
        <v>0</v>
      </c>
      <c r="AJ11" s="1253">
        <v>0</v>
      </c>
      <c r="AK11" s="805">
        <v>0</v>
      </c>
      <c r="AL11" s="368">
        <v>0</v>
      </c>
      <c r="AM11" s="805">
        <v>0</v>
      </c>
    </row>
    <row r="12" spans="1:77" ht="15" hidden="1" customHeight="1" x14ac:dyDescent="0.2">
      <c r="B12" s="24"/>
      <c r="C12" s="125"/>
      <c r="D12" s="313">
        <v>4</v>
      </c>
      <c r="E12" s="25"/>
      <c r="F12" s="190">
        <v>2402004</v>
      </c>
      <c r="G12" s="528" t="s">
        <v>293</v>
      </c>
      <c r="H12" s="542">
        <v>0</v>
      </c>
      <c r="I12" s="18">
        <v>0</v>
      </c>
      <c r="J12" s="18">
        <v>0</v>
      </c>
      <c r="K12" s="362" t="str">
        <f>IFERROR(J12/I12,"0,00%")</f>
        <v>0,00%</v>
      </c>
      <c r="L12" s="97">
        <v>0</v>
      </c>
      <c r="M12" s="692">
        <f>IFERROR(L12/I12,0)</f>
        <v>0</v>
      </c>
      <c r="N12" s="97">
        <v>0</v>
      </c>
      <c r="O12" s="594">
        <f>+IFERROR(N12/I12,0)</f>
        <v>0</v>
      </c>
      <c r="P12" s="819">
        <v>0</v>
      </c>
      <c r="Q12" s="830">
        <f t="shared" ref="Q12:Q31" si="1">SUMIF($S$3:$AM$3,"SI",S12:AM12)</f>
        <v>0</v>
      </c>
      <c r="R12" s="677" t="str">
        <f>IFERROR(Q12/P12,"0,0%")</f>
        <v>0,0%</v>
      </c>
      <c r="S12" s="806">
        <v>0</v>
      </c>
      <c r="T12" s="837">
        <v>0</v>
      </c>
      <c r="U12" s="819">
        <v>0</v>
      </c>
      <c r="V12" s="1118">
        <v>0</v>
      </c>
      <c r="W12" s="1258">
        <v>0</v>
      </c>
      <c r="X12" s="1254">
        <v>0</v>
      </c>
      <c r="Y12" s="837">
        <v>0</v>
      </c>
      <c r="Z12" s="837">
        <v>0</v>
      </c>
      <c r="AA12" s="543">
        <v>0</v>
      </c>
      <c r="AB12" s="1254">
        <v>0</v>
      </c>
      <c r="AC12" s="543">
        <v>0</v>
      </c>
      <c r="AD12" s="1258">
        <v>0</v>
      </c>
      <c r="AE12" s="1544">
        <v>0</v>
      </c>
      <c r="AF12" s="1258">
        <v>0</v>
      </c>
      <c r="AG12" s="1544">
        <v>0</v>
      </c>
      <c r="AH12" s="1254">
        <v>0</v>
      </c>
      <c r="AI12" s="1540">
        <v>0</v>
      </c>
      <c r="AJ12" s="1254">
        <v>0</v>
      </c>
      <c r="AK12" s="837">
        <v>0</v>
      </c>
      <c r="AL12" s="543">
        <v>0</v>
      </c>
      <c r="AM12" s="837">
        <v>0</v>
      </c>
    </row>
    <row r="13" spans="1:77" ht="15" hidden="1" customHeight="1" x14ac:dyDescent="0.2">
      <c r="B13" s="24"/>
      <c r="C13" s="125"/>
      <c r="D13" s="544" t="s">
        <v>336</v>
      </c>
      <c r="E13" s="25"/>
      <c r="F13" s="642">
        <v>2402006</v>
      </c>
      <c r="G13" s="528" t="s">
        <v>316</v>
      </c>
      <c r="H13" s="218">
        <v>0</v>
      </c>
      <c r="I13" s="18">
        <v>0</v>
      </c>
      <c r="J13" s="18">
        <v>0</v>
      </c>
      <c r="K13" s="362" t="str">
        <f t="shared" ref="K13:K31" si="2">IFERROR(J13/I13,"0,00%")</f>
        <v>0,00%</v>
      </c>
      <c r="L13" s="97">
        <v>0</v>
      </c>
      <c r="M13" s="692">
        <f t="shared" ref="M13:M31" si="3">IFERROR(L13/I13,0)</f>
        <v>0</v>
      </c>
      <c r="N13" s="97">
        <v>0</v>
      </c>
      <c r="O13" s="594">
        <f t="shared" ref="O13:O27" si="4">+IFERROR(N13/I13,0)</f>
        <v>0</v>
      </c>
      <c r="P13" s="819">
        <v>0</v>
      </c>
      <c r="Q13" s="830">
        <f t="shared" si="1"/>
        <v>0</v>
      </c>
      <c r="R13" s="677" t="str">
        <f t="shared" ref="R13:R31" si="5">IFERROR(Q13/P13,"0,0%")</f>
        <v>0,0%</v>
      </c>
      <c r="S13" s="806">
        <v>0</v>
      </c>
      <c r="T13" s="837">
        <v>0</v>
      </c>
      <c r="U13" s="819">
        <v>0</v>
      </c>
      <c r="V13" s="1118">
        <v>0</v>
      </c>
      <c r="W13" s="1258">
        <v>0</v>
      </c>
      <c r="X13" s="1254">
        <v>0</v>
      </c>
      <c r="Y13" s="837">
        <v>0</v>
      </c>
      <c r="Z13" s="837">
        <v>0</v>
      </c>
      <c r="AA13" s="543">
        <v>0</v>
      </c>
      <c r="AB13" s="1254">
        <v>0</v>
      </c>
      <c r="AC13" s="543">
        <v>0</v>
      </c>
      <c r="AD13" s="1258">
        <v>0</v>
      </c>
      <c r="AE13" s="1544">
        <v>0</v>
      </c>
      <c r="AF13" s="1258">
        <v>0</v>
      </c>
      <c r="AG13" s="1544">
        <v>0</v>
      </c>
      <c r="AH13" s="1254">
        <v>0</v>
      </c>
      <c r="AI13" s="1540">
        <v>0</v>
      </c>
      <c r="AJ13" s="1254">
        <v>0</v>
      </c>
      <c r="AK13" s="837">
        <v>0</v>
      </c>
      <c r="AL13" s="543">
        <v>0</v>
      </c>
      <c r="AM13" s="837">
        <v>0</v>
      </c>
    </row>
    <row r="14" spans="1:77" ht="15" hidden="1" customHeight="1" x14ac:dyDescent="0.2">
      <c r="B14" s="24"/>
      <c r="C14" s="125"/>
      <c r="D14" s="545" t="s">
        <v>319</v>
      </c>
      <c r="E14" s="25"/>
      <c r="F14" s="642">
        <v>2402007</v>
      </c>
      <c r="G14" s="528" t="s">
        <v>540</v>
      </c>
      <c r="H14" s="218">
        <v>0</v>
      </c>
      <c r="I14" s="18">
        <v>0</v>
      </c>
      <c r="J14" s="18">
        <v>0</v>
      </c>
      <c r="K14" s="362" t="str">
        <f t="shared" si="2"/>
        <v>0,00%</v>
      </c>
      <c r="L14" s="97">
        <v>0</v>
      </c>
      <c r="M14" s="692">
        <f t="shared" si="3"/>
        <v>0</v>
      </c>
      <c r="N14" s="97">
        <v>0</v>
      </c>
      <c r="O14" s="594">
        <f t="shared" si="4"/>
        <v>0</v>
      </c>
      <c r="P14" s="819">
        <v>0</v>
      </c>
      <c r="Q14" s="830">
        <f t="shared" si="1"/>
        <v>0</v>
      </c>
      <c r="R14" s="677" t="str">
        <f t="shared" si="5"/>
        <v>0,0%</v>
      </c>
      <c r="S14" s="806">
        <v>0</v>
      </c>
      <c r="T14" s="837">
        <v>0</v>
      </c>
      <c r="U14" s="819">
        <v>0</v>
      </c>
      <c r="V14" s="1118">
        <v>0</v>
      </c>
      <c r="W14" s="1258">
        <v>0</v>
      </c>
      <c r="X14" s="1254">
        <v>0</v>
      </c>
      <c r="Y14" s="837">
        <v>0</v>
      </c>
      <c r="Z14" s="837">
        <v>0</v>
      </c>
      <c r="AA14" s="543">
        <v>0</v>
      </c>
      <c r="AB14" s="1254">
        <v>0</v>
      </c>
      <c r="AC14" s="543">
        <v>0</v>
      </c>
      <c r="AD14" s="1258">
        <v>0</v>
      </c>
      <c r="AE14" s="1544">
        <v>0</v>
      </c>
      <c r="AF14" s="1258">
        <v>0</v>
      </c>
      <c r="AG14" s="1544">
        <v>0</v>
      </c>
      <c r="AH14" s="1254">
        <v>0</v>
      </c>
      <c r="AI14" s="1540">
        <v>0</v>
      </c>
      <c r="AJ14" s="1254">
        <v>0</v>
      </c>
      <c r="AK14" s="837">
        <v>0</v>
      </c>
      <c r="AL14" s="543">
        <v>0</v>
      </c>
      <c r="AM14" s="837">
        <v>0</v>
      </c>
    </row>
    <row r="15" spans="1:77" ht="15" hidden="1" customHeight="1" x14ac:dyDescent="0.2">
      <c r="B15" s="24"/>
      <c r="C15" s="125"/>
      <c r="D15" s="49">
        <v>101</v>
      </c>
      <c r="E15" s="25"/>
      <c r="F15" s="642">
        <v>2402101</v>
      </c>
      <c r="G15" s="528" t="s">
        <v>738</v>
      </c>
      <c r="H15" s="218">
        <v>0</v>
      </c>
      <c r="I15" s="18">
        <v>0</v>
      </c>
      <c r="J15" s="18">
        <v>0</v>
      </c>
      <c r="K15" s="362" t="str">
        <f t="shared" si="2"/>
        <v>0,00%</v>
      </c>
      <c r="L15" s="97">
        <v>0</v>
      </c>
      <c r="M15" s="692">
        <f t="shared" si="3"/>
        <v>0</v>
      </c>
      <c r="N15" s="97">
        <v>0</v>
      </c>
      <c r="O15" s="594">
        <f t="shared" si="4"/>
        <v>0</v>
      </c>
      <c r="P15" s="819">
        <v>0</v>
      </c>
      <c r="Q15" s="830">
        <f t="shared" si="1"/>
        <v>0</v>
      </c>
      <c r="R15" s="677" t="str">
        <f t="shared" si="5"/>
        <v>0,0%</v>
      </c>
      <c r="S15" s="806">
        <v>0</v>
      </c>
      <c r="T15" s="837">
        <v>0</v>
      </c>
      <c r="U15" s="819">
        <v>0</v>
      </c>
      <c r="V15" s="1118">
        <v>0</v>
      </c>
      <c r="W15" s="1258">
        <v>0</v>
      </c>
      <c r="X15" s="1254">
        <v>0</v>
      </c>
      <c r="Y15" s="837">
        <v>0</v>
      </c>
      <c r="Z15" s="837">
        <v>0</v>
      </c>
      <c r="AA15" s="543">
        <v>0</v>
      </c>
      <c r="AB15" s="1254">
        <v>0</v>
      </c>
      <c r="AC15" s="543">
        <v>0</v>
      </c>
      <c r="AD15" s="1258">
        <v>0</v>
      </c>
      <c r="AE15" s="1544">
        <v>0</v>
      </c>
      <c r="AF15" s="1258">
        <v>0</v>
      </c>
      <c r="AG15" s="1544">
        <v>0</v>
      </c>
      <c r="AH15" s="1254">
        <v>0</v>
      </c>
      <c r="AI15" s="1540">
        <v>0</v>
      </c>
      <c r="AJ15" s="1254">
        <v>0</v>
      </c>
      <c r="AK15" s="837">
        <v>0</v>
      </c>
      <c r="AL15" s="543">
        <v>0</v>
      </c>
      <c r="AM15" s="837">
        <v>0</v>
      </c>
    </row>
    <row r="16" spans="1:77" ht="15" hidden="1" customHeight="1" x14ac:dyDescent="0.2">
      <c r="B16" s="24"/>
      <c r="C16" s="125"/>
      <c r="D16" s="49"/>
      <c r="E16" s="25"/>
      <c r="F16" s="642" t="s">
        <v>483</v>
      </c>
      <c r="G16" s="528" t="s">
        <v>645</v>
      </c>
      <c r="H16" s="218">
        <v>0</v>
      </c>
      <c r="I16" s="18">
        <v>0</v>
      </c>
      <c r="J16" s="18">
        <v>0</v>
      </c>
      <c r="K16" s="362" t="str">
        <f t="shared" si="2"/>
        <v>0,00%</v>
      </c>
      <c r="L16" s="97">
        <v>0</v>
      </c>
      <c r="M16" s="692">
        <f t="shared" si="3"/>
        <v>0</v>
      </c>
      <c r="N16" s="97">
        <v>0</v>
      </c>
      <c r="O16" s="594">
        <f t="shared" si="4"/>
        <v>0</v>
      </c>
      <c r="P16" s="819">
        <v>0</v>
      </c>
      <c r="Q16" s="830">
        <f t="shared" si="1"/>
        <v>0</v>
      </c>
      <c r="R16" s="677" t="str">
        <f t="shared" si="5"/>
        <v>0,0%</v>
      </c>
      <c r="S16" s="806">
        <v>0</v>
      </c>
      <c r="T16" s="837">
        <v>0</v>
      </c>
      <c r="U16" s="819">
        <v>0</v>
      </c>
      <c r="V16" s="1118">
        <v>0</v>
      </c>
      <c r="W16" s="1258">
        <v>0</v>
      </c>
      <c r="X16" s="1254">
        <v>0</v>
      </c>
      <c r="Y16" s="837">
        <v>0</v>
      </c>
      <c r="Z16" s="837">
        <v>0</v>
      </c>
      <c r="AA16" s="543">
        <v>0</v>
      </c>
      <c r="AB16" s="1254">
        <v>0</v>
      </c>
      <c r="AC16" s="543">
        <v>0</v>
      </c>
      <c r="AD16" s="1258">
        <v>0</v>
      </c>
      <c r="AE16" s="1544">
        <v>0</v>
      </c>
      <c r="AF16" s="1258">
        <v>0</v>
      </c>
      <c r="AG16" s="1544">
        <v>0</v>
      </c>
      <c r="AH16" s="1254">
        <v>0</v>
      </c>
      <c r="AI16" s="1540">
        <v>0</v>
      </c>
      <c r="AJ16" s="1254">
        <v>0</v>
      </c>
      <c r="AK16" s="837">
        <v>0</v>
      </c>
      <c r="AL16" s="543">
        <v>0</v>
      </c>
      <c r="AM16" s="837">
        <v>0</v>
      </c>
    </row>
    <row r="17" spans="2:44" ht="15" hidden="1" customHeight="1" x14ac:dyDescent="0.2">
      <c r="B17" s="24"/>
      <c r="C17" s="125"/>
      <c r="D17" s="49">
        <v>103</v>
      </c>
      <c r="E17" s="25"/>
      <c r="F17" s="642">
        <v>2402103</v>
      </c>
      <c r="G17" s="528" t="s">
        <v>739</v>
      </c>
      <c r="H17" s="218">
        <v>0</v>
      </c>
      <c r="I17" s="18">
        <v>0</v>
      </c>
      <c r="J17" s="18">
        <v>0</v>
      </c>
      <c r="K17" s="362" t="str">
        <f t="shared" si="2"/>
        <v>0,00%</v>
      </c>
      <c r="L17" s="97">
        <v>0</v>
      </c>
      <c r="M17" s="692">
        <f t="shared" si="3"/>
        <v>0</v>
      </c>
      <c r="N17" s="97">
        <v>0</v>
      </c>
      <c r="O17" s="594">
        <f t="shared" si="4"/>
        <v>0</v>
      </c>
      <c r="P17" s="819">
        <v>0</v>
      </c>
      <c r="Q17" s="830">
        <f t="shared" si="1"/>
        <v>0</v>
      </c>
      <c r="R17" s="677" t="str">
        <f t="shared" si="5"/>
        <v>0,0%</v>
      </c>
      <c r="S17" s="806">
        <v>0</v>
      </c>
      <c r="T17" s="837">
        <v>0</v>
      </c>
      <c r="U17" s="819">
        <v>0</v>
      </c>
      <c r="V17" s="1118">
        <v>0</v>
      </c>
      <c r="W17" s="1258">
        <v>0</v>
      </c>
      <c r="X17" s="1254">
        <v>0</v>
      </c>
      <c r="Y17" s="837">
        <v>0</v>
      </c>
      <c r="Z17" s="837">
        <v>0</v>
      </c>
      <c r="AA17" s="543">
        <v>0</v>
      </c>
      <c r="AB17" s="1254">
        <v>0</v>
      </c>
      <c r="AC17" s="543">
        <v>0</v>
      </c>
      <c r="AD17" s="1258">
        <v>0</v>
      </c>
      <c r="AE17" s="1544">
        <v>0</v>
      </c>
      <c r="AF17" s="1258">
        <v>0</v>
      </c>
      <c r="AG17" s="1544">
        <v>0</v>
      </c>
      <c r="AH17" s="1254">
        <v>0</v>
      </c>
      <c r="AI17" s="1540">
        <v>0</v>
      </c>
      <c r="AJ17" s="1254">
        <v>0</v>
      </c>
      <c r="AK17" s="837">
        <v>0</v>
      </c>
      <c r="AL17" s="543">
        <v>0</v>
      </c>
      <c r="AM17" s="837">
        <v>0</v>
      </c>
      <c r="AN17" s="239"/>
    </row>
    <row r="18" spans="2:44" ht="15" hidden="1" customHeight="1" x14ac:dyDescent="0.2">
      <c r="B18" s="24"/>
      <c r="C18" s="125"/>
      <c r="D18" s="49">
        <v>104</v>
      </c>
      <c r="E18" s="25"/>
      <c r="F18" s="642">
        <v>2402104</v>
      </c>
      <c r="G18" s="528" t="s">
        <v>740</v>
      </c>
      <c r="H18" s="218">
        <v>0</v>
      </c>
      <c r="I18" s="18">
        <v>0</v>
      </c>
      <c r="J18" s="18">
        <v>0</v>
      </c>
      <c r="K18" s="362" t="str">
        <f t="shared" si="2"/>
        <v>0,00%</v>
      </c>
      <c r="L18" s="97">
        <v>0</v>
      </c>
      <c r="M18" s="692">
        <f t="shared" si="3"/>
        <v>0</v>
      </c>
      <c r="N18" s="97">
        <v>0</v>
      </c>
      <c r="O18" s="594">
        <f t="shared" si="4"/>
        <v>0</v>
      </c>
      <c r="P18" s="819">
        <v>0</v>
      </c>
      <c r="Q18" s="830">
        <f t="shared" si="1"/>
        <v>0</v>
      </c>
      <c r="R18" s="677" t="str">
        <f t="shared" si="5"/>
        <v>0,0%</v>
      </c>
      <c r="S18" s="806">
        <v>0</v>
      </c>
      <c r="T18" s="837">
        <v>0</v>
      </c>
      <c r="U18" s="819">
        <v>0</v>
      </c>
      <c r="V18" s="1118">
        <v>0</v>
      </c>
      <c r="W18" s="1258">
        <v>0</v>
      </c>
      <c r="X18" s="1254">
        <v>0</v>
      </c>
      <c r="Y18" s="837">
        <v>0</v>
      </c>
      <c r="Z18" s="837">
        <v>0</v>
      </c>
      <c r="AA18" s="543">
        <v>0</v>
      </c>
      <c r="AB18" s="1254">
        <v>0</v>
      </c>
      <c r="AC18" s="543">
        <v>0</v>
      </c>
      <c r="AD18" s="1258">
        <v>0</v>
      </c>
      <c r="AE18" s="1544">
        <v>0</v>
      </c>
      <c r="AF18" s="1258">
        <v>0</v>
      </c>
      <c r="AG18" s="1544">
        <v>0</v>
      </c>
      <c r="AH18" s="1254">
        <v>0</v>
      </c>
      <c r="AI18" s="1540">
        <v>0</v>
      </c>
      <c r="AJ18" s="1254">
        <v>0</v>
      </c>
      <c r="AK18" s="837">
        <v>0</v>
      </c>
      <c r="AL18" s="543">
        <v>0</v>
      </c>
      <c r="AM18" s="837">
        <v>0</v>
      </c>
      <c r="AN18" s="239"/>
    </row>
    <row r="19" spans="2:44" ht="15" hidden="1" customHeight="1" x14ac:dyDescent="0.2">
      <c r="B19" s="24"/>
      <c r="C19" s="125"/>
      <c r="D19" s="49">
        <v>105</v>
      </c>
      <c r="E19" s="25"/>
      <c r="F19" s="642">
        <v>2402105</v>
      </c>
      <c r="G19" s="528" t="s">
        <v>741</v>
      </c>
      <c r="H19" s="218">
        <v>0</v>
      </c>
      <c r="I19" s="18">
        <v>0</v>
      </c>
      <c r="J19" s="18">
        <v>0</v>
      </c>
      <c r="K19" s="362" t="str">
        <f t="shared" si="2"/>
        <v>0,00%</v>
      </c>
      <c r="L19" s="97">
        <v>0</v>
      </c>
      <c r="M19" s="692">
        <f t="shared" si="3"/>
        <v>0</v>
      </c>
      <c r="N19" s="97">
        <v>0</v>
      </c>
      <c r="O19" s="594">
        <f t="shared" si="4"/>
        <v>0</v>
      </c>
      <c r="P19" s="819">
        <v>0</v>
      </c>
      <c r="Q19" s="830">
        <f t="shared" si="1"/>
        <v>0</v>
      </c>
      <c r="R19" s="677" t="str">
        <f t="shared" si="5"/>
        <v>0,0%</v>
      </c>
      <c r="S19" s="806">
        <v>0</v>
      </c>
      <c r="T19" s="837">
        <v>0</v>
      </c>
      <c r="U19" s="819">
        <v>0</v>
      </c>
      <c r="V19" s="1118">
        <v>0</v>
      </c>
      <c r="W19" s="1258">
        <v>0</v>
      </c>
      <c r="X19" s="1254">
        <v>0</v>
      </c>
      <c r="Y19" s="837">
        <v>0</v>
      </c>
      <c r="Z19" s="837">
        <v>0</v>
      </c>
      <c r="AA19" s="543">
        <v>0</v>
      </c>
      <c r="AB19" s="1254">
        <v>0</v>
      </c>
      <c r="AC19" s="543">
        <v>0</v>
      </c>
      <c r="AD19" s="1258">
        <v>0</v>
      </c>
      <c r="AE19" s="1544">
        <v>0</v>
      </c>
      <c r="AF19" s="1258">
        <v>0</v>
      </c>
      <c r="AG19" s="1544">
        <v>0</v>
      </c>
      <c r="AH19" s="1254">
        <v>0</v>
      </c>
      <c r="AI19" s="1540">
        <v>0</v>
      </c>
      <c r="AJ19" s="1254">
        <v>0</v>
      </c>
      <c r="AK19" s="837">
        <v>0</v>
      </c>
      <c r="AL19" s="543">
        <v>0</v>
      </c>
      <c r="AM19" s="837">
        <v>0</v>
      </c>
      <c r="AN19" s="239"/>
    </row>
    <row r="20" spans="2:44" ht="15" hidden="1" customHeight="1" x14ac:dyDescent="0.2">
      <c r="B20" s="24"/>
      <c r="C20" s="125"/>
      <c r="D20" s="49">
        <v>106</v>
      </c>
      <c r="E20" s="25"/>
      <c r="F20" s="642">
        <v>2402106</v>
      </c>
      <c r="G20" s="528" t="s">
        <v>742</v>
      </c>
      <c r="H20" s="218">
        <v>0</v>
      </c>
      <c r="I20" s="18">
        <v>0</v>
      </c>
      <c r="J20" s="18">
        <v>0</v>
      </c>
      <c r="K20" s="362" t="str">
        <f t="shared" si="2"/>
        <v>0,00%</v>
      </c>
      <c r="L20" s="97">
        <v>0</v>
      </c>
      <c r="M20" s="692">
        <f t="shared" si="3"/>
        <v>0</v>
      </c>
      <c r="N20" s="97">
        <v>0</v>
      </c>
      <c r="O20" s="594">
        <f t="shared" si="4"/>
        <v>0</v>
      </c>
      <c r="P20" s="819">
        <v>0</v>
      </c>
      <c r="Q20" s="830">
        <f t="shared" si="1"/>
        <v>0</v>
      </c>
      <c r="R20" s="677" t="str">
        <f t="shared" si="5"/>
        <v>0,0%</v>
      </c>
      <c r="S20" s="806">
        <v>0</v>
      </c>
      <c r="T20" s="837">
        <v>0</v>
      </c>
      <c r="U20" s="819">
        <v>0</v>
      </c>
      <c r="V20" s="1118">
        <v>0</v>
      </c>
      <c r="W20" s="1258">
        <v>0</v>
      </c>
      <c r="X20" s="1254">
        <v>0</v>
      </c>
      <c r="Y20" s="837">
        <v>0</v>
      </c>
      <c r="Z20" s="837">
        <v>0</v>
      </c>
      <c r="AA20" s="543">
        <v>0</v>
      </c>
      <c r="AB20" s="1254">
        <v>0</v>
      </c>
      <c r="AC20" s="543">
        <v>0</v>
      </c>
      <c r="AD20" s="1258">
        <v>0</v>
      </c>
      <c r="AE20" s="1544">
        <v>0</v>
      </c>
      <c r="AF20" s="1258">
        <v>0</v>
      </c>
      <c r="AG20" s="1544">
        <v>0</v>
      </c>
      <c r="AH20" s="1254">
        <v>0</v>
      </c>
      <c r="AI20" s="1540">
        <v>0</v>
      </c>
      <c r="AJ20" s="1254">
        <v>0</v>
      </c>
      <c r="AK20" s="837">
        <v>0</v>
      </c>
      <c r="AL20" s="543">
        <v>0</v>
      </c>
      <c r="AM20" s="837">
        <v>0</v>
      </c>
      <c r="AN20" s="239"/>
    </row>
    <row r="21" spans="2:44" ht="15" hidden="1" customHeight="1" x14ac:dyDescent="0.2">
      <c r="B21" s="24"/>
      <c r="C21" s="125"/>
      <c r="D21" s="49">
        <v>107</v>
      </c>
      <c r="E21" s="25"/>
      <c r="F21" s="642">
        <v>2402107</v>
      </c>
      <c r="G21" s="528" t="s">
        <v>635</v>
      </c>
      <c r="H21" s="218">
        <v>0</v>
      </c>
      <c r="I21" s="18">
        <v>0</v>
      </c>
      <c r="J21" s="18">
        <v>0</v>
      </c>
      <c r="K21" s="362" t="str">
        <f t="shared" si="2"/>
        <v>0,00%</v>
      </c>
      <c r="L21" s="97">
        <v>0</v>
      </c>
      <c r="M21" s="692">
        <f t="shared" si="3"/>
        <v>0</v>
      </c>
      <c r="N21" s="97">
        <v>0</v>
      </c>
      <c r="O21" s="594">
        <f t="shared" si="4"/>
        <v>0</v>
      </c>
      <c r="P21" s="819">
        <v>0</v>
      </c>
      <c r="Q21" s="830">
        <f t="shared" si="1"/>
        <v>0</v>
      </c>
      <c r="R21" s="677" t="str">
        <f t="shared" si="5"/>
        <v>0,0%</v>
      </c>
      <c r="S21" s="806">
        <v>0</v>
      </c>
      <c r="T21" s="837">
        <v>0</v>
      </c>
      <c r="U21" s="819">
        <v>0</v>
      </c>
      <c r="V21" s="1118">
        <v>0</v>
      </c>
      <c r="W21" s="1258">
        <v>0</v>
      </c>
      <c r="X21" s="1254">
        <v>0</v>
      </c>
      <c r="Y21" s="837">
        <v>0</v>
      </c>
      <c r="Z21" s="837">
        <v>0</v>
      </c>
      <c r="AA21" s="543">
        <v>0</v>
      </c>
      <c r="AB21" s="1254">
        <v>0</v>
      </c>
      <c r="AC21" s="543">
        <v>0</v>
      </c>
      <c r="AD21" s="1258">
        <v>0</v>
      </c>
      <c r="AE21" s="1544">
        <v>0</v>
      </c>
      <c r="AF21" s="1258">
        <v>0</v>
      </c>
      <c r="AG21" s="1544">
        <v>0</v>
      </c>
      <c r="AH21" s="1254">
        <v>0</v>
      </c>
      <c r="AI21" s="1540">
        <v>0</v>
      </c>
      <c r="AJ21" s="1254">
        <v>0</v>
      </c>
      <c r="AK21" s="837">
        <v>0</v>
      </c>
      <c r="AL21" s="543">
        <v>0</v>
      </c>
      <c r="AM21" s="837">
        <v>0</v>
      </c>
      <c r="AN21" s="239"/>
    </row>
    <row r="22" spans="2:44" ht="15" hidden="1" customHeight="1" x14ac:dyDescent="0.2">
      <c r="B22" s="24"/>
      <c r="C22" s="125"/>
      <c r="D22" s="49"/>
      <c r="E22" s="25"/>
      <c r="F22" s="642" t="s">
        <v>484</v>
      </c>
      <c r="G22" s="528" t="s">
        <v>900</v>
      </c>
      <c r="H22" s="218">
        <v>0</v>
      </c>
      <c r="I22" s="18">
        <v>0</v>
      </c>
      <c r="J22" s="18">
        <v>0</v>
      </c>
      <c r="K22" s="362" t="str">
        <f t="shared" si="2"/>
        <v>0,00%</v>
      </c>
      <c r="L22" s="97">
        <v>0</v>
      </c>
      <c r="M22" s="692">
        <f t="shared" si="3"/>
        <v>0</v>
      </c>
      <c r="N22" s="97">
        <v>0</v>
      </c>
      <c r="O22" s="594">
        <f t="shared" si="4"/>
        <v>0</v>
      </c>
      <c r="P22" s="819">
        <v>0</v>
      </c>
      <c r="Q22" s="830">
        <f t="shared" si="1"/>
        <v>0</v>
      </c>
      <c r="R22" s="677" t="str">
        <f t="shared" si="5"/>
        <v>0,0%</v>
      </c>
      <c r="S22" s="806">
        <v>0</v>
      </c>
      <c r="T22" s="837">
        <v>0</v>
      </c>
      <c r="U22" s="819">
        <v>0</v>
      </c>
      <c r="V22" s="1118">
        <v>0</v>
      </c>
      <c r="W22" s="1258">
        <v>0</v>
      </c>
      <c r="X22" s="1254">
        <v>0</v>
      </c>
      <c r="Y22" s="837">
        <v>0</v>
      </c>
      <c r="Z22" s="837">
        <v>0</v>
      </c>
      <c r="AA22" s="543">
        <v>0</v>
      </c>
      <c r="AB22" s="1254">
        <v>0</v>
      </c>
      <c r="AC22" s="543">
        <v>0</v>
      </c>
      <c r="AD22" s="1258">
        <v>0</v>
      </c>
      <c r="AE22" s="1544">
        <v>0</v>
      </c>
      <c r="AF22" s="1258">
        <v>0</v>
      </c>
      <c r="AG22" s="1544">
        <v>0</v>
      </c>
      <c r="AH22" s="1254">
        <v>0</v>
      </c>
      <c r="AI22" s="1540">
        <v>0</v>
      </c>
      <c r="AJ22" s="1254">
        <v>0</v>
      </c>
      <c r="AK22" s="837">
        <v>0</v>
      </c>
      <c r="AL22" s="543">
        <v>0</v>
      </c>
      <c r="AM22" s="837">
        <v>0</v>
      </c>
      <c r="AN22" s="239"/>
    </row>
    <row r="23" spans="2:44" ht="15" hidden="1" customHeight="1" x14ac:dyDescent="0.2">
      <c r="B23" s="24"/>
      <c r="C23" s="125"/>
      <c r="D23" s="49">
        <v>109</v>
      </c>
      <c r="E23" s="25"/>
      <c r="F23" s="642">
        <v>2402109</v>
      </c>
      <c r="G23" s="528" t="s">
        <v>743</v>
      </c>
      <c r="H23" s="218">
        <v>0</v>
      </c>
      <c r="I23" s="18">
        <v>0</v>
      </c>
      <c r="J23" s="18">
        <v>0</v>
      </c>
      <c r="K23" s="362" t="str">
        <f t="shared" si="2"/>
        <v>0,00%</v>
      </c>
      <c r="L23" s="97">
        <v>0</v>
      </c>
      <c r="M23" s="692">
        <f t="shared" si="3"/>
        <v>0</v>
      </c>
      <c r="N23" s="97">
        <v>0</v>
      </c>
      <c r="O23" s="594">
        <f t="shared" si="4"/>
        <v>0</v>
      </c>
      <c r="P23" s="819">
        <v>0</v>
      </c>
      <c r="Q23" s="830">
        <f t="shared" si="1"/>
        <v>0</v>
      </c>
      <c r="R23" s="677" t="str">
        <f t="shared" si="5"/>
        <v>0,0%</v>
      </c>
      <c r="S23" s="806">
        <v>0</v>
      </c>
      <c r="T23" s="837">
        <v>0</v>
      </c>
      <c r="U23" s="819">
        <v>0</v>
      </c>
      <c r="V23" s="1118">
        <v>0</v>
      </c>
      <c r="W23" s="1258">
        <v>0</v>
      </c>
      <c r="X23" s="1254">
        <v>0</v>
      </c>
      <c r="Y23" s="837">
        <v>0</v>
      </c>
      <c r="Z23" s="837">
        <v>0</v>
      </c>
      <c r="AA23" s="543">
        <v>0</v>
      </c>
      <c r="AB23" s="1254">
        <v>0</v>
      </c>
      <c r="AC23" s="543">
        <v>0</v>
      </c>
      <c r="AD23" s="1258">
        <v>0</v>
      </c>
      <c r="AE23" s="1544">
        <v>0</v>
      </c>
      <c r="AF23" s="1258">
        <v>0</v>
      </c>
      <c r="AG23" s="1544">
        <v>0</v>
      </c>
      <c r="AH23" s="1254">
        <v>0</v>
      </c>
      <c r="AI23" s="1540">
        <v>0</v>
      </c>
      <c r="AJ23" s="1254">
        <v>0</v>
      </c>
      <c r="AK23" s="837">
        <v>0</v>
      </c>
      <c r="AL23" s="543">
        <v>0</v>
      </c>
      <c r="AM23" s="837">
        <v>0</v>
      </c>
      <c r="AN23" s="239"/>
    </row>
    <row r="24" spans="2:44" ht="15" hidden="1" customHeight="1" x14ac:dyDescent="0.2">
      <c r="B24" s="24"/>
      <c r="C24" s="125"/>
      <c r="D24" s="49">
        <v>110</v>
      </c>
      <c r="E24" s="25"/>
      <c r="F24" s="642">
        <v>2402110</v>
      </c>
      <c r="G24" s="528" t="s">
        <v>744</v>
      </c>
      <c r="H24" s="218">
        <v>0</v>
      </c>
      <c r="I24" s="18">
        <v>0</v>
      </c>
      <c r="J24" s="18">
        <v>0</v>
      </c>
      <c r="K24" s="362" t="str">
        <f t="shared" si="2"/>
        <v>0,00%</v>
      </c>
      <c r="L24" s="97">
        <v>0</v>
      </c>
      <c r="M24" s="692">
        <f t="shared" si="3"/>
        <v>0</v>
      </c>
      <c r="N24" s="97">
        <v>0</v>
      </c>
      <c r="O24" s="594">
        <f t="shared" si="4"/>
        <v>0</v>
      </c>
      <c r="P24" s="819">
        <v>0</v>
      </c>
      <c r="Q24" s="830">
        <f t="shared" si="1"/>
        <v>0</v>
      </c>
      <c r="R24" s="677" t="str">
        <f t="shared" si="5"/>
        <v>0,0%</v>
      </c>
      <c r="S24" s="806">
        <v>0</v>
      </c>
      <c r="T24" s="837">
        <v>0</v>
      </c>
      <c r="U24" s="819">
        <v>0</v>
      </c>
      <c r="V24" s="1118">
        <v>0</v>
      </c>
      <c r="W24" s="1258">
        <v>0</v>
      </c>
      <c r="X24" s="1254">
        <v>0</v>
      </c>
      <c r="Y24" s="837">
        <v>0</v>
      </c>
      <c r="Z24" s="837">
        <v>0</v>
      </c>
      <c r="AA24" s="543">
        <v>0</v>
      </c>
      <c r="AB24" s="1254">
        <v>0</v>
      </c>
      <c r="AC24" s="543">
        <v>0</v>
      </c>
      <c r="AD24" s="1258">
        <v>0</v>
      </c>
      <c r="AE24" s="1544">
        <v>0</v>
      </c>
      <c r="AF24" s="1258">
        <v>0</v>
      </c>
      <c r="AG24" s="1544">
        <v>0</v>
      </c>
      <c r="AH24" s="1254">
        <v>0</v>
      </c>
      <c r="AI24" s="1540">
        <v>0</v>
      </c>
      <c r="AJ24" s="1254">
        <v>0</v>
      </c>
      <c r="AK24" s="837">
        <v>0</v>
      </c>
      <c r="AL24" s="543">
        <v>0</v>
      </c>
      <c r="AM24" s="837">
        <v>0</v>
      </c>
      <c r="AN24" s="239"/>
    </row>
    <row r="25" spans="2:44" ht="15" hidden="1" customHeight="1" x14ac:dyDescent="0.2">
      <c r="B25" s="24"/>
      <c r="C25" s="125"/>
      <c r="D25" s="49"/>
      <c r="E25" s="25"/>
      <c r="F25" s="709" t="s">
        <v>485</v>
      </c>
      <c r="G25" s="528" t="s">
        <v>646</v>
      </c>
      <c r="H25" s="218">
        <v>0</v>
      </c>
      <c r="I25" s="18">
        <v>0</v>
      </c>
      <c r="J25" s="18">
        <v>0</v>
      </c>
      <c r="K25" s="362" t="str">
        <f t="shared" si="2"/>
        <v>0,00%</v>
      </c>
      <c r="L25" s="97">
        <v>0</v>
      </c>
      <c r="M25" s="692">
        <f t="shared" si="3"/>
        <v>0</v>
      </c>
      <c r="N25" s="97">
        <v>0</v>
      </c>
      <c r="O25" s="594">
        <f t="shared" si="4"/>
        <v>0</v>
      </c>
      <c r="P25" s="819">
        <v>0</v>
      </c>
      <c r="Q25" s="830">
        <f t="shared" si="1"/>
        <v>0</v>
      </c>
      <c r="R25" s="677" t="str">
        <f t="shared" si="5"/>
        <v>0,0%</v>
      </c>
      <c r="S25" s="806">
        <v>0</v>
      </c>
      <c r="T25" s="837">
        <v>0</v>
      </c>
      <c r="U25" s="819">
        <v>0</v>
      </c>
      <c r="V25" s="1118">
        <v>0</v>
      </c>
      <c r="W25" s="1258">
        <v>0</v>
      </c>
      <c r="X25" s="1254">
        <v>0</v>
      </c>
      <c r="Y25" s="837">
        <v>0</v>
      </c>
      <c r="Z25" s="837">
        <v>0</v>
      </c>
      <c r="AA25" s="543">
        <v>0</v>
      </c>
      <c r="AB25" s="1254">
        <v>0</v>
      </c>
      <c r="AC25" s="543">
        <v>0</v>
      </c>
      <c r="AD25" s="1258">
        <v>0</v>
      </c>
      <c r="AE25" s="1544">
        <v>0</v>
      </c>
      <c r="AF25" s="1258">
        <v>0</v>
      </c>
      <c r="AG25" s="1544">
        <v>0</v>
      </c>
      <c r="AH25" s="1254">
        <v>0</v>
      </c>
      <c r="AI25" s="1540">
        <v>0</v>
      </c>
      <c r="AJ25" s="1254">
        <v>0</v>
      </c>
      <c r="AK25" s="837">
        <v>0</v>
      </c>
      <c r="AL25" s="543">
        <v>0</v>
      </c>
      <c r="AM25" s="837">
        <v>0</v>
      </c>
      <c r="AN25" s="239"/>
    </row>
    <row r="26" spans="2:44" ht="15" hidden="1" customHeight="1" x14ac:dyDescent="0.2">
      <c r="B26" s="24"/>
      <c r="C26" s="125"/>
      <c r="D26" s="49">
        <v>112</v>
      </c>
      <c r="E26" s="25"/>
      <c r="F26" s="642">
        <v>2402112</v>
      </c>
      <c r="G26" s="528" t="s">
        <v>745</v>
      </c>
      <c r="H26" s="218">
        <v>0</v>
      </c>
      <c r="I26" s="18">
        <v>0</v>
      </c>
      <c r="J26" s="18">
        <v>0</v>
      </c>
      <c r="K26" s="362" t="str">
        <f t="shared" si="2"/>
        <v>0,00%</v>
      </c>
      <c r="L26" s="97">
        <v>0</v>
      </c>
      <c r="M26" s="692">
        <f t="shared" si="3"/>
        <v>0</v>
      </c>
      <c r="N26" s="97">
        <v>0</v>
      </c>
      <c r="O26" s="594">
        <f t="shared" si="4"/>
        <v>0</v>
      </c>
      <c r="P26" s="819">
        <v>0</v>
      </c>
      <c r="Q26" s="830">
        <f t="shared" si="1"/>
        <v>0</v>
      </c>
      <c r="R26" s="677" t="str">
        <f t="shared" si="5"/>
        <v>0,0%</v>
      </c>
      <c r="S26" s="806">
        <v>0</v>
      </c>
      <c r="T26" s="837">
        <v>0</v>
      </c>
      <c r="U26" s="819">
        <v>0</v>
      </c>
      <c r="V26" s="1118">
        <v>0</v>
      </c>
      <c r="W26" s="1258">
        <v>0</v>
      </c>
      <c r="X26" s="1254">
        <v>0</v>
      </c>
      <c r="Y26" s="837">
        <v>0</v>
      </c>
      <c r="Z26" s="837">
        <v>0</v>
      </c>
      <c r="AA26" s="543">
        <v>0</v>
      </c>
      <c r="AB26" s="1254">
        <v>0</v>
      </c>
      <c r="AC26" s="543">
        <v>0</v>
      </c>
      <c r="AD26" s="1258">
        <v>0</v>
      </c>
      <c r="AE26" s="1544">
        <v>0</v>
      </c>
      <c r="AF26" s="1258">
        <v>0</v>
      </c>
      <c r="AG26" s="1544">
        <v>0</v>
      </c>
      <c r="AH26" s="1254">
        <v>0</v>
      </c>
      <c r="AI26" s="1540">
        <v>0</v>
      </c>
      <c r="AJ26" s="1254">
        <v>0</v>
      </c>
      <c r="AK26" s="837">
        <v>0</v>
      </c>
      <c r="AL26" s="543">
        <v>0</v>
      </c>
      <c r="AM26" s="837">
        <v>0</v>
      </c>
      <c r="AN26" s="239"/>
    </row>
    <row r="27" spans="2:44" ht="15" hidden="1" customHeight="1" x14ac:dyDescent="0.2">
      <c r="B27" s="24"/>
      <c r="C27" s="125"/>
      <c r="D27" s="49">
        <v>113</v>
      </c>
      <c r="E27" s="25"/>
      <c r="F27" s="642">
        <v>2402113</v>
      </c>
      <c r="G27" s="528" t="s">
        <v>746</v>
      </c>
      <c r="H27" s="218">
        <v>0</v>
      </c>
      <c r="I27" s="18">
        <v>0</v>
      </c>
      <c r="J27" s="18">
        <v>0</v>
      </c>
      <c r="K27" s="362" t="str">
        <f t="shared" si="2"/>
        <v>0,00%</v>
      </c>
      <c r="L27" s="97">
        <v>0</v>
      </c>
      <c r="M27" s="692">
        <f t="shared" si="3"/>
        <v>0</v>
      </c>
      <c r="N27" s="97">
        <v>0</v>
      </c>
      <c r="O27" s="594">
        <f t="shared" si="4"/>
        <v>0</v>
      </c>
      <c r="P27" s="819">
        <v>0</v>
      </c>
      <c r="Q27" s="830">
        <f t="shared" si="1"/>
        <v>0</v>
      </c>
      <c r="R27" s="677" t="str">
        <f t="shared" si="5"/>
        <v>0,0%</v>
      </c>
      <c r="S27" s="806">
        <v>0</v>
      </c>
      <c r="T27" s="837">
        <v>0</v>
      </c>
      <c r="U27" s="819">
        <v>0</v>
      </c>
      <c r="V27" s="1118">
        <v>0</v>
      </c>
      <c r="W27" s="1258">
        <v>0</v>
      </c>
      <c r="X27" s="1254">
        <v>0</v>
      </c>
      <c r="Y27" s="837">
        <v>0</v>
      </c>
      <c r="Z27" s="837">
        <v>0</v>
      </c>
      <c r="AA27" s="543">
        <v>0</v>
      </c>
      <c r="AB27" s="1254">
        <v>0</v>
      </c>
      <c r="AC27" s="543">
        <v>0</v>
      </c>
      <c r="AD27" s="1258">
        <v>0</v>
      </c>
      <c r="AE27" s="1544">
        <v>0</v>
      </c>
      <c r="AF27" s="1258">
        <v>0</v>
      </c>
      <c r="AG27" s="1544">
        <v>0</v>
      </c>
      <c r="AH27" s="1254">
        <v>0</v>
      </c>
      <c r="AI27" s="1540">
        <v>0</v>
      </c>
      <c r="AJ27" s="1254">
        <v>0</v>
      </c>
      <c r="AK27" s="837">
        <v>0</v>
      </c>
      <c r="AL27" s="543">
        <v>0</v>
      </c>
      <c r="AM27" s="837">
        <v>0</v>
      </c>
      <c r="AN27" s="239"/>
    </row>
    <row r="28" spans="2:44" ht="15" hidden="1" customHeight="1" x14ac:dyDescent="0.2">
      <c r="B28" s="24"/>
      <c r="C28" s="125"/>
      <c r="D28" s="49">
        <v>114</v>
      </c>
      <c r="E28" s="25"/>
      <c r="F28" s="642">
        <v>2402114</v>
      </c>
      <c r="G28" s="528" t="s">
        <v>747</v>
      </c>
      <c r="H28" s="218">
        <v>0</v>
      </c>
      <c r="I28" s="18">
        <v>0</v>
      </c>
      <c r="J28" s="18">
        <v>0</v>
      </c>
      <c r="K28" s="362" t="str">
        <f t="shared" si="2"/>
        <v>0,00%</v>
      </c>
      <c r="L28" s="97">
        <v>0</v>
      </c>
      <c r="M28" s="692">
        <f t="shared" si="3"/>
        <v>0</v>
      </c>
      <c r="N28" s="97">
        <v>0</v>
      </c>
      <c r="O28" s="594">
        <f>+IFERROR(N28/I28,0)</f>
        <v>0</v>
      </c>
      <c r="P28" s="819">
        <v>0</v>
      </c>
      <c r="Q28" s="830">
        <f t="shared" si="1"/>
        <v>0</v>
      </c>
      <c r="R28" s="677" t="str">
        <f t="shared" si="5"/>
        <v>0,0%</v>
      </c>
      <c r="S28" s="806">
        <v>0</v>
      </c>
      <c r="T28" s="837">
        <v>0</v>
      </c>
      <c r="U28" s="819">
        <v>0</v>
      </c>
      <c r="V28" s="1118">
        <v>0</v>
      </c>
      <c r="W28" s="1258">
        <v>0</v>
      </c>
      <c r="X28" s="1254">
        <v>0</v>
      </c>
      <c r="Y28" s="837">
        <v>0</v>
      </c>
      <c r="Z28" s="837">
        <v>0</v>
      </c>
      <c r="AA28" s="543">
        <v>0</v>
      </c>
      <c r="AB28" s="1254">
        <v>0</v>
      </c>
      <c r="AC28" s="543">
        <v>0</v>
      </c>
      <c r="AD28" s="1258">
        <v>0</v>
      </c>
      <c r="AE28" s="1544">
        <v>0</v>
      </c>
      <c r="AF28" s="1258">
        <v>0</v>
      </c>
      <c r="AG28" s="1544">
        <v>0</v>
      </c>
      <c r="AH28" s="1254">
        <v>0</v>
      </c>
      <c r="AI28" s="1540">
        <v>0</v>
      </c>
      <c r="AJ28" s="1254">
        <v>0</v>
      </c>
      <c r="AK28" s="837">
        <v>0</v>
      </c>
      <c r="AL28" s="543">
        <v>0</v>
      </c>
      <c r="AM28" s="837">
        <v>0</v>
      </c>
      <c r="AN28" s="5"/>
    </row>
    <row r="29" spans="2:44" ht="15" hidden="1" customHeight="1" x14ac:dyDescent="0.2">
      <c r="B29" s="24"/>
      <c r="C29" s="125"/>
      <c r="D29" s="49">
        <v>115</v>
      </c>
      <c r="E29" s="25"/>
      <c r="F29" s="642">
        <v>2402115</v>
      </c>
      <c r="G29" s="528" t="s">
        <v>748</v>
      </c>
      <c r="H29" s="218">
        <v>0</v>
      </c>
      <c r="I29" s="18">
        <v>0</v>
      </c>
      <c r="J29" s="18">
        <v>0</v>
      </c>
      <c r="K29" s="362" t="str">
        <f t="shared" si="2"/>
        <v>0,00%</v>
      </c>
      <c r="L29" s="97">
        <v>0</v>
      </c>
      <c r="M29" s="692">
        <f t="shared" si="3"/>
        <v>0</v>
      </c>
      <c r="N29" s="97">
        <v>0</v>
      </c>
      <c r="O29" s="594">
        <f t="shared" ref="O29:O35" si="6">+IFERROR(N29/I29,0)</f>
        <v>0</v>
      </c>
      <c r="P29" s="819">
        <v>0</v>
      </c>
      <c r="Q29" s="830">
        <f t="shared" si="1"/>
        <v>0</v>
      </c>
      <c r="R29" s="677" t="str">
        <f t="shared" si="5"/>
        <v>0,0%</v>
      </c>
      <c r="S29" s="806">
        <v>0</v>
      </c>
      <c r="T29" s="837">
        <v>0</v>
      </c>
      <c r="U29" s="819">
        <v>0</v>
      </c>
      <c r="V29" s="1118">
        <v>0</v>
      </c>
      <c r="W29" s="1258">
        <v>0</v>
      </c>
      <c r="X29" s="1254">
        <v>0</v>
      </c>
      <c r="Y29" s="837">
        <v>0</v>
      </c>
      <c r="Z29" s="837">
        <v>0</v>
      </c>
      <c r="AA29" s="543">
        <v>0</v>
      </c>
      <c r="AB29" s="1254">
        <v>0</v>
      </c>
      <c r="AC29" s="543">
        <v>0</v>
      </c>
      <c r="AD29" s="1258">
        <v>0</v>
      </c>
      <c r="AE29" s="1544">
        <v>0</v>
      </c>
      <c r="AF29" s="1258">
        <v>0</v>
      </c>
      <c r="AG29" s="1544">
        <v>0</v>
      </c>
      <c r="AH29" s="1254">
        <v>0</v>
      </c>
      <c r="AI29" s="1540">
        <v>0</v>
      </c>
      <c r="AJ29" s="1254">
        <v>0</v>
      </c>
      <c r="AK29" s="837">
        <v>0</v>
      </c>
      <c r="AL29" s="543">
        <v>0</v>
      </c>
      <c r="AM29" s="837">
        <v>0</v>
      </c>
      <c r="AN29" s="5"/>
    </row>
    <row r="30" spans="2:44" ht="15" hidden="1" customHeight="1" x14ac:dyDescent="0.2">
      <c r="B30" s="24"/>
      <c r="C30" s="125"/>
      <c r="D30" s="49"/>
      <c r="E30" s="25"/>
      <c r="F30" s="642">
        <v>2402116</v>
      </c>
      <c r="G30" s="528" t="s">
        <v>636</v>
      </c>
      <c r="H30" s="218">
        <v>0</v>
      </c>
      <c r="I30" s="18">
        <v>0</v>
      </c>
      <c r="J30" s="18">
        <v>0</v>
      </c>
      <c r="K30" s="362" t="str">
        <f t="shared" si="2"/>
        <v>0,00%</v>
      </c>
      <c r="L30" s="97">
        <v>0</v>
      </c>
      <c r="M30" s="692">
        <f t="shared" si="3"/>
        <v>0</v>
      </c>
      <c r="N30" s="97">
        <v>0</v>
      </c>
      <c r="O30" s="594">
        <f t="shared" si="6"/>
        <v>0</v>
      </c>
      <c r="P30" s="819">
        <v>0</v>
      </c>
      <c r="Q30" s="830">
        <f t="shared" si="1"/>
        <v>0</v>
      </c>
      <c r="R30" s="677" t="str">
        <f t="shared" si="5"/>
        <v>0,0%</v>
      </c>
      <c r="S30" s="806">
        <v>0</v>
      </c>
      <c r="T30" s="837">
        <v>0</v>
      </c>
      <c r="U30" s="819">
        <v>0</v>
      </c>
      <c r="V30" s="1118">
        <v>0</v>
      </c>
      <c r="W30" s="1258">
        <v>0</v>
      </c>
      <c r="X30" s="1254">
        <v>0</v>
      </c>
      <c r="Y30" s="837">
        <v>0</v>
      </c>
      <c r="Z30" s="837">
        <v>0</v>
      </c>
      <c r="AA30" s="543">
        <v>0</v>
      </c>
      <c r="AB30" s="1254">
        <v>0</v>
      </c>
      <c r="AC30" s="543">
        <v>0</v>
      </c>
      <c r="AD30" s="1258">
        <v>0</v>
      </c>
      <c r="AE30" s="1544">
        <v>0</v>
      </c>
      <c r="AF30" s="1258">
        <v>0</v>
      </c>
      <c r="AG30" s="1544">
        <v>0</v>
      </c>
      <c r="AH30" s="1254">
        <v>0</v>
      </c>
      <c r="AI30" s="1540">
        <v>0</v>
      </c>
      <c r="AJ30" s="1254">
        <v>0</v>
      </c>
      <c r="AK30" s="837">
        <v>0</v>
      </c>
      <c r="AL30" s="543">
        <v>0</v>
      </c>
      <c r="AM30" s="837">
        <v>0</v>
      </c>
      <c r="AN30" s="5"/>
    </row>
    <row r="31" spans="2:44" ht="15" hidden="1" customHeight="1" x14ac:dyDescent="0.2">
      <c r="B31" s="24"/>
      <c r="C31" s="125"/>
      <c r="D31" s="49">
        <v>914</v>
      </c>
      <c r="E31" s="25"/>
      <c r="F31" s="642">
        <v>2402914</v>
      </c>
      <c r="G31" s="528" t="s">
        <v>539</v>
      </c>
      <c r="H31" s="218">
        <v>0</v>
      </c>
      <c r="I31" s="18">
        <v>0</v>
      </c>
      <c r="J31" s="18">
        <v>0</v>
      </c>
      <c r="K31" s="362" t="str">
        <f t="shared" si="2"/>
        <v>0,00%</v>
      </c>
      <c r="L31" s="97">
        <v>0</v>
      </c>
      <c r="M31" s="692">
        <f t="shared" si="3"/>
        <v>0</v>
      </c>
      <c r="N31" s="97">
        <v>0</v>
      </c>
      <c r="O31" s="594">
        <f t="shared" si="6"/>
        <v>0</v>
      </c>
      <c r="P31" s="819">
        <v>0</v>
      </c>
      <c r="Q31" s="830">
        <f t="shared" si="1"/>
        <v>0</v>
      </c>
      <c r="R31" s="677" t="str">
        <f t="shared" si="5"/>
        <v>0,0%</v>
      </c>
      <c r="S31" s="806">
        <v>0</v>
      </c>
      <c r="T31" s="837">
        <v>0</v>
      </c>
      <c r="U31" s="819">
        <v>0</v>
      </c>
      <c r="V31" s="1118">
        <v>0</v>
      </c>
      <c r="W31" s="1258">
        <v>0</v>
      </c>
      <c r="X31" s="1254">
        <v>0</v>
      </c>
      <c r="Y31" s="837">
        <v>0</v>
      </c>
      <c r="Z31" s="837">
        <v>0</v>
      </c>
      <c r="AA31" s="543">
        <v>0</v>
      </c>
      <c r="AB31" s="1254">
        <v>0</v>
      </c>
      <c r="AC31" s="543">
        <v>0</v>
      </c>
      <c r="AD31" s="1258">
        <v>0</v>
      </c>
      <c r="AE31" s="1544">
        <v>0</v>
      </c>
      <c r="AF31" s="1258">
        <v>0</v>
      </c>
      <c r="AG31" s="1544">
        <v>0</v>
      </c>
      <c r="AH31" s="1254">
        <v>0</v>
      </c>
      <c r="AI31" s="1540">
        <v>0</v>
      </c>
      <c r="AJ31" s="1254">
        <v>0</v>
      </c>
      <c r="AK31" s="837">
        <v>0</v>
      </c>
      <c r="AL31" s="543">
        <v>0</v>
      </c>
      <c r="AM31" s="837">
        <v>0</v>
      </c>
      <c r="AN31" s="5"/>
      <c r="AQ31" s="772"/>
    </row>
    <row r="32" spans="2:44" ht="15" hidden="1" customHeight="1" x14ac:dyDescent="0.2">
      <c r="B32" s="20">
        <v>25</v>
      </c>
      <c r="C32" s="21"/>
      <c r="D32" s="21"/>
      <c r="E32" s="101"/>
      <c r="F32" s="641"/>
      <c r="G32" s="527" t="s">
        <v>546</v>
      </c>
      <c r="H32" s="219">
        <f>+H33</f>
        <v>0</v>
      </c>
      <c r="I32" s="16">
        <f>+I33</f>
        <v>0</v>
      </c>
      <c r="J32" s="16">
        <f ca="1">+J33</f>
        <v>0</v>
      </c>
      <c r="K32" s="363" t="str">
        <f ca="1">IFERROR(J32/I32,"0,0%")</f>
        <v>0,0%</v>
      </c>
      <c r="L32" s="16">
        <f>+L33</f>
        <v>0</v>
      </c>
      <c r="M32" s="691">
        <f>IFERROR(L32/I32,0)</f>
        <v>0</v>
      </c>
      <c r="N32" s="16">
        <f>+N33</f>
        <v>0</v>
      </c>
      <c r="O32" s="314">
        <f>+IFERROR(N32/I32,0)</f>
        <v>0</v>
      </c>
      <c r="P32" s="820">
        <f>+P33</f>
        <v>123448.32662999998</v>
      </c>
      <c r="Q32" s="1393">
        <f ca="1">SUMIF(T$3:$AM11,"SI",T32:AM32)</f>
        <v>1587151.4810000001</v>
      </c>
      <c r="R32" s="676">
        <f ca="1">IFERROR(Q32/P32,"0,0%")</f>
        <v>12.856808385560539</v>
      </c>
      <c r="S32" s="805">
        <v>0</v>
      </c>
      <c r="T32" s="807">
        <f t="shared" ref="T32:V32" si="7">SUM(T33:T41)</f>
        <v>0</v>
      </c>
      <c r="U32" s="805">
        <v>0</v>
      </c>
      <c r="V32" s="805">
        <f t="shared" ca="1" si="7"/>
        <v>0</v>
      </c>
      <c r="W32" s="1177">
        <v>0</v>
      </c>
      <c r="X32" s="364">
        <v>0</v>
      </c>
      <c r="Y32" s="805">
        <v>0</v>
      </c>
      <c r="Z32" s="805">
        <v>0</v>
      </c>
      <c r="AA32" s="368">
        <v>0</v>
      </c>
      <c r="AB32" s="1253">
        <f>+AB33</f>
        <v>1463703.165</v>
      </c>
      <c r="AC32" s="368">
        <v>0</v>
      </c>
      <c r="AD32" s="243">
        <f>+AD33</f>
        <v>123448.31599999999</v>
      </c>
      <c r="AE32" s="1148">
        <v>0</v>
      </c>
      <c r="AF32" s="243">
        <v>0</v>
      </c>
      <c r="AG32" s="1148">
        <v>0</v>
      </c>
      <c r="AH32" s="1253">
        <v>0</v>
      </c>
      <c r="AI32" s="1539">
        <v>0</v>
      </c>
      <c r="AJ32" s="1253">
        <v>0</v>
      </c>
      <c r="AK32" s="805">
        <v>0</v>
      </c>
      <c r="AL32" s="368">
        <v>0</v>
      </c>
      <c r="AM32" s="843">
        <v>0</v>
      </c>
      <c r="AN32" s="5"/>
      <c r="AO32" s="5"/>
      <c r="AP32" s="5"/>
      <c r="AQ32" s="5"/>
      <c r="AR32" s="5"/>
    </row>
    <row r="33" spans="2:44" ht="15" hidden="1" customHeight="1" x14ac:dyDescent="0.2">
      <c r="B33" s="124"/>
      <c r="C33" s="125">
        <v>99</v>
      </c>
      <c r="D33" s="125"/>
      <c r="E33" s="29"/>
      <c r="F33" s="642"/>
      <c r="G33" s="528" t="s">
        <v>545</v>
      </c>
      <c r="H33" s="216">
        <v>0</v>
      </c>
      <c r="I33" s="414">
        <v>0</v>
      </c>
      <c r="J33" s="414">
        <f ca="1">SUMIF(T$3:$AM11,"ok",T33:AM33)</f>
        <v>0</v>
      </c>
      <c r="K33" s="362" t="str">
        <f ca="1">IFERROR(J33/#REF!,"0.00%")</f>
        <v>0.00%</v>
      </c>
      <c r="L33" s="97">
        <v>0</v>
      </c>
      <c r="M33" s="692">
        <f>IFERROR(L33/#REF!,0)</f>
        <v>0</v>
      </c>
      <c r="N33" s="97">
        <f>+I33-L33</f>
        <v>0</v>
      </c>
      <c r="O33" s="594">
        <f t="shared" si="6"/>
        <v>0</v>
      </c>
      <c r="P33" s="1450">
        <f>+'P05 2022'!EN3</f>
        <v>123448.32662999998</v>
      </c>
      <c r="Q33" s="1392">
        <f>SUMIF(S$3:$AM3,"SI",S33:AM33)</f>
        <v>1587151.4810000001</v>
      </c>
      <c r="R33" s="678">
        <f>IFERROR(Q33/P33,"0,0%")</f>
        <v>12.856808385560539</v>
      </c>
      <c r="S33" s="806">
        <v>0</v>
      </c>
      <c r="T33" s="806">
        <v>0</v>
      </c>
      <c r="U33" s="819">
        <v>0</v>
      </c>
      <c r="V33" s="1118">
        <v>0</v>
      </c>
      <c r="W33" s="1259">
        <v>0</v>
      </c>
      <c r="X33" s="1255">
        <v>0</v>
      </c>
      <c r="Y33" s="806">
        <v>0</v>
      </c>
      <c r="Z33" s="806">
        <v>0</v>
      </c>
      <c r="AA33" s="541">
        <v>0</v>
      </c>
      <c r="AB33" s="1255">
        <f>+'P05 2022'!AR4</f>
        <v>1463703.165</v>
      </c>
      <c r="AC33" s="541">
        <v>0</v>
      </c>
      <c r="AD33" s="1259">
        <f>+'P05 2022'!BT4</f>
        <v>123448.31599999999</v>
      </c>
      <c r="AE33" s="1405">
        <v>0</v>
      </c>
      <c r="AF33" s="1176">
        <v>0</v>
      </c>
      <c r="AG33" s="1147">
        <v>0</v>
      </c>
      <c r="AH33" s="1255">
        <v>0</v>
      </c>
      <c r="AI33" s="1466">
        <v>0</v>
      </c>
      <c r="AJ33" s="1255">
        <v>0</v>
      </c>
      <c r="AK33" s="806">
        <v>0</v>
      </c>
      <c r="AL33" s="541">
        <v>0</v>
      </c>
      <c r="AM33" s="806">
        <v>0</v>
      </c>
      <c r="AN33" s="5"/>
      <c r="AO33" s="5"/>
      <c r="AP33" s="5"/>
      <c r="AQ33" s="5"/>
      <c r="AR33" s="5"/>
    </row>
    <row r="34" spans="2:44" ht="15" customHeight="1" x14ac:dyDescent="0.2">
      <c r="B34" s="20">
        <v>33</v>
      </c>
      <c r="C34" s="21" t="s">
        <v>2</v>
      </c>
      <c r="D34" s="22"/>
      <c r="E34" s="23"/>
      <c r="F34" s="189"/>
      <c r="G34" s="527" t="s">
        <v>150</v>
      </c>
      <c r="H34" s="219">
        <f>+H35+H58</f>
        <v>113525861</v>
      </c>
      <c r="I34" s="16">
        <f>+I35+I58</f>
        <v>34923399</v>
      </c>
      <c r="J34" s="19">
        <f ca="1">+J35+J58</f>
        <v>11523725</v>
      </c>
      <c r="K34" s="314">
        <f ca="1">IFERROR(J34/I34,"0,0%")</f>
        <v>0.32997146125438709</v>
      </c>
      <c r="L34" s="19">
        <f>+L35</f>
        <v>11523725</v>
      </c>
      <c r="M34" s="693">
        <f>IFERROR(L34/I34,0)</f>
        <v>0.32997146125438709</v>
      </c>
      <c r="N34" s="252">
        <f>+I34-L34</f>
        <v>23399674</v>
      </c>
      <c r="O34" s="314">
        <f t="shared" si="6"/>
        <v>0.67002853874561297</v>
      </c>
      <c r="P34" s="812">
        <f>+P35+P58</f>
        <v>72774798.792999998</v>
      </c>
      <c r="Q34" s="828">
        <f ca="1">+Q35+Q58</f>
        <v>0</v>
      </c>
      <c r="R34" s="676">
        <f ca="1">IFERROR(Q34/P34,"0,00%")</f>
        <v>0</v>
      </c>
      <c r="S34" s="805">
        <v>0</v>
      </c>
      <c r="T34" s="805">
        <f t="shared" ref="T34:AD34" si="8">+T35+T58</f>
        <v>0</v>
      </c>
      <c r="U34" s="805">
        <v>0</v>
      </c>
      <c r="V34" s="805">
        <f t="shared" ca="1" si="8"/>
        <v>0</v>
      </c>
      <c r="W34" s="238">
        <v>0</v>
      </c>
      <c r="X34" s="1253">
        <v>0</v>
      </c>
      <c r="Y34" s="805">
        <f t="shared" ref="Y34" si="9">+Y35+Y58</f>
        <v>0</v>
      </c>
      <c r="Z34" s="805">
        <f t="shared" si="8"/>
        <v>0</v>
      </c>
      <c r="AA34" s="368">
        <v>0</v>
      </c>
      <c r="AB34" s="1253">
        <f t="shared" si="8"/>
        <v>0</v>
      </c>
      <c r="AC34" s="368">
        <v>0</v>
      </c>
      <c r="AD34" s="238">
        <f t="shared" si="8"/>
        <v>0</v>
      </c>
      <c r="AE34" s="242">
        <f>+AE35</f>
        <v>4150429</v>
      </c>
      <c r="AF34" s="238">
        <v>0</v>
      </c>
      <c r="AG34" s="242">
        <v>0</v>
      </c>
      <c r="AH34" s="1253">
        <v>0</v>
      </c>
      <c r="AI34" s="1539">
        <f>+AI35</f>
        <v>7373296</v>
      </c>
      <c r="AJ34" s="1253">
        <v>0</v>
      </c>
      <c r="AK34" s="805">
        <f>+AK35</f>
        <v>4635810</v>
      </c>
      <c r="AL34" s="368">
        <v>0</v>
      </c>
      <c r="AM34" s="805">
        <v>0</v>
      </c>
      <c r="AN34" s="5"/>
      <c r="AO34" s="5"/>
      <c r="AP34" s="5"/>
      <c r="AQ34" s="5"/>
      <c r="AR34" s="5"/>
    </row>
    <row r="35" spans="2:44" ht="15" customHeight="1" x14ac:dyDescent="0.2">
      <c r="B35" s="20"/>
      <c r="C35" s="26" t="s">
        <v>164</v>
      </c>
      <c r="D35" s="27"/>
      <c r="E35" s="23"/>
      <c r="F35" s="189"/>
      <c r="G35" s="527" t="s">
        <v>86</v>
      </c>
      <c r="H35" s="219">
        <f>SUM(H36:H57)</f>
        <v>0</v>
      </c>
      <c r="I35" s="16">
        <f>SUM(I36:I57)</f>
        <v>30570604</v>
      </c>
      <c r="J35" s="16">
        <f ca="1">SUM(J36:J57)</f>
        <v>11523725</v>
      </c>
      <c r="K35" s="314">
        <f ca="1">IFERROR(J35/I35,"0,0%")</f>
        <v>0.3769544429020768</v>
      </c>
      <c r="L35" s="19">
        <f>SUM(L36:L57)</f>
        <v>11523725</v>
      </c>
      <c r="M35" s="693">
        <f>IFERROR(L35/I35,0)</f>
        <v>0.3769544429020768</v>
      </c>
      <c r="N35" s="16">
        <f>+I35-L35</f>
        <v>19046879</v>
      </c>
      <c r="O35" s="314">
        <f t="shared" si="6"/>
        <v>0.6230455570979232</v>
      </c>
      <c r="P35" s="812">
        <f>+SUM(P36:P57)</f>
        <v>26729363.544999998</v>
      </c>
      <c r="Q35" s="829">
        <f ca="1">SUM(Q36:Q57)</f>
        <v>0</v>
      </c>
      <c r="R35" s="679">
        <f t="shared" ref="R35:R56" ca="1" si="10">IFERROR(Q35/P35,"0.00%")</f>
        <v>0</v>
      </c>
      <c r="S35" s="805">
        <v>0</v>
      </c>
      <c r="T35" s="805">
        <f t="shared" ref="T35:AD35" si="11">SUM(T36:T50)</f>
        <v>0</v>
      </c>
      <c r="U35" s="805">
        <v>0</v>
      </c>
      <c r="V35" s="805">
        <f t="shared" si="11"/>
        <v>0</v>
      </c>
      <c r="W35" s="238">
        <v>0</v>
      </c>
      <c r="X35" s="1253">
        <v>0</v>
      </c>
      <c r="Y35" s="805">
        <f t="shared" ref="Y35" si="12">SUM(Y36:Y50)</f>
        <v>0</v>
      </c>
      <c r="Z35" s="805">
        <f t="shared" si="11"/>
        <v>0</v>
      </c>
      <c r="AA35" s="368">
        <v>0</v>
      </c>
      <c r="AB35" s="1253">
        <f t="shared" si="11"/>
        <v>0</v>
      </c>
      <c r="AC35" s="368">
        <v>0</v>
      </c>
      <c r="AD35" s="238">
        <f t="shared" si="11"/>
        <v>0</v>
      </c>
      <c r="AE35" s="242">
        <f>SUM(AE36:AE57)</f>
        <v>4150429</v>
      </c>
      <c r="AF35" s="238">
        <v>0</v>
      </c>
      <c r="AG35" s="242">
        <v>0</v>
      </c>
      <c r="AH35" s="1253">
        <v>0</v>
      </c>
      <c r="AI35" s="1539">
        <f>+AI53</f>
        <v>7373296</v>
      </c>
      <c r="AJ35" s="1253">
        <v>0</v>
      </c>
      <c r="AK35" s="805">
        <f>SUM(AK36:AK57)</f>
        <v>4635810</v>
      </c>
      <c r="AL35" s="368">
        <v>0</v>
      </c>
      <c r="AM35" s="805">
        <f>SUM(AM36:AM57)</f>
        <v>33073588</v>
      </c>
      <c r="AN35" s="5"/>
      <c r="AO35" s="5"/>
      <c r="AP35" s="5"/>
      <c r="AQ35" s="5"/>
      <c r="AR35" s="5"/>
    </row>
    <row r="36" spans="2:44" ht="15" hidden="1" customHeight="1" x14ac:dyDescent="0.2">
      <c r="B36" s="24"/>
      <c r="C36" s="28"/>
      <c r="D36" s="49" t="s">
        <v>169</v>
      </c>
      <c r="E36" s="29"/>
      <c r="F36" s="642">
        <v>3302001</v>
      </c>
      <c r="G36" s="528" t="s">
        <v>519</v>
      </c>
      <c r="H36" s="241">
        <v>0</v>
      </c>
      <c r="I36" s="4">
        <v>0</v>
      </c>
      <c r="J36" s="18">
        <f ca="1">SUMIF(T$3:$AM11,"ok",T36:AM36)</f>
        <v>0</v>
      </c>
      <c r="K36" s="547" t="str">
        <f ca="1">IFERROR(J36/I36,"0,00%")</f>
        <v>0,00%</v>
      </c>
      <c r="L36" s="97">
        <v>0</v>
      </c>
      <c r="M36" s="692">
        <f t="shared" ref="M36:M58" si="13">IFERROR(L36/I36,0)</f>
        <v>0</v>
      </c>
      <c r="N36" s="97">
        <v>0</v>
      </c>
      <c r="O36" s="594">
        <f>+IFERROR(N36/I36,0)</f>
        <v>0</v>
      </c>
      <c r="P36" s="819">
        <f>++'P05 2022'!BE25</f>
        <v>0</v>
      </c>
      <c r="Q36" s="830">
        <f>SUMIF(S$3:$AM3,"SI",S36:AM36)</f>
        <v>0</v>
      </c>
      <c r="R36" s="678" t="str">
        <f t="shared" si="10"/>
        <v>0.00%</v>
      </c>
      <c r="S36" s="806">
        <v>0</v>
      </c>
      <c r="T36" s="806">
        <v>0</v>
      </c>
      <c r="U36" s="819">
        <v>0</v>
      </c>
      <c r="V36" s="1118">
        <v>0</v>
      </c>
      <c r="W36" s="1259">
        <v>0</v>
      </c>
      <c r="X36" s="1255">
        <v>0</v>
      </c>
      <c r="Y36" s="806">
        <v>0</v>
      </c>
      <c r="Z36" s="806">
        <v>0</v>
      </c>
      <c r="AA36" s="541">
        <v>0</v>
      </c>
      <c r="AB36" s="1255">
        <v>0</v>
      </c>
      <c r="AC36" s="541">
        <v>0</v>
      </c>
      <c r="AD36" s="1259">
        <v>0</v>
      </c>
      <c r="AE36" s="1405">
        <v>0</v>
      </c>
      <c r="AF36" s="1176">
        <v>0</v>
      </c>
      <c r="AG36" s="1147">
        <v>0</v>
      </c>
      <c r="AH36" s="1255">
        <v>0</v>
      </c>
      <c r="AI36" s="1466">
        <v>0</v>
      </c>
      <c r="AJ36" s="1255">
        <v>0</v>
      </c>
      <c r="AK36" s="806">
        <v>0</v>
      </c>
      <c r="AL36" s="541">
        <v>0</v>
      </c>
      <c r="AM36" s="806">
        <v>0</v>
      </c>
      <c r="AN36" s="5"/>
      <c r="AO36" s="5"/>
      <c r="AP36" s="5"/>
      <c r="AQ36" s="5"/>
      <c r="AR36" s="5"/>
    </row>
    <row r="37" spans="2:44" ht="15" hidden="1" customHeight="1" x14ac:dyDescent="0.2">
      <c r="B37" s="24"/>
      <c r="C37" s="28"/>
      <c r="D37" s="49" t="s">
        <v>165</v>
      </c>
      <c r="E37" s="29"/>
      <c r="F37" s="642">
        <v>3302002</v>
      </c>
      <c r="G37" s="528" t="s">
        <v>512</v>
      </c>
      <c r="H37" s="241">
        <v>0</v>
      </c>
      <c r="I37" s="4">
        <v>0</v>
      </c>
      <c r="J37" s="18">
        <f ca="1">SUMIF(T$3:$AM11,"ok",T37:AM37)</f>
        <v>0</v>
      </c>
      <c r="K37" s="547" t="str">
        <f t="shared" ref="K37:K56" ca="1" si="14">IFERROR(J37/I37,"0,00%")</f>
        <v>0,00%</v>
      </c>
      <c r="L37" s="97">
        <v>0</v>
      </c>
      <c r="M37" s="692">
        <f t="shared" si="13"/>
        <v>0</v>
      </c>
      <c r="N37" s="97">
        <v>0</v>
      </c>
      <c r="O37" s="594">
        <f t="shared" ref="O37:O60" si="15">+IFERROR(N37/I37,0)</f>
        <v>0</v>
      </c>
      <c r="P37" s="819">
        <f>++'P05 2022'!BE26</f>
        <v>0</v>
      </c>
      <c r="Q37" s="830">
        <f ca="1">SUMIF(S$3:$AM4,"SI",S37:AM37)</f>
        <v>0</v>
      </c>
      <c r="R37" s="678" t="str">
        <f t="shared" ca="1" si="10"/>
        <v>0.00%</v>
      </c>
      <c r="S37" s="806">
        <v>0</v>
      </c>
      <c r="T37" s="806">
        <v>0</v>
      </c>
      <c r="U37" s="819">
        <v>0</v>
      </c>
      <c r="V37" s="1118">
        <v>0</v>
      </c>
      <c r="W37" s="1259">
        <v>0</v>
      </c>
      <c r="X37" s="1255">
        <v>0</v>
      </c>
      <c r="Y37" s="806">
        <v>0</v>
      </c>
      <c r="Z37" s="806">
        <v>0</v>
      </c>
      <c r="AA37" s="541">
        <v>0</v>
      </c>
      <c r="AB37" s="1255">
        <v>0</v>
      </c>
      <c r="AC37" s="541">
        <v>0</v>
      </c>
      <c r="AD37" s="1259">
        <v>0</v>
      </c>
      <c r="AE37" s="1405">
        <v>0</v>
      </c>
      <c r="AF37" s="1176">
        <v>0</v>
      </c>
      <c r="AG37" s="1147">
        <v>0</v>
      </c>
      <c r="AH37" s="1255">
        <v>0</v>
      </c>
      <c r="AI37" s="1466">
        <v>0</v>
      </c>
      <c r="AJ37" s="1255">
        <v>0</v>
      </c>
      <c r="AK37" s="806">
        <v>0</v>
      </c>
      <c r="AL37" s="541">
        <v>0</v>
      </c>
      <c r="AM37" s="806">
        <v>0</v>
      </c>
      <c r="AN37" s="5"/>
      <c r="AO37" s="5"/>
      <c r="AP37" s="5"/>
      <c r="AQ37" s="5"/>
      <c r="AR37" s="5"/>
    </row>
    <row r="38" spans="2:44" ht="15" hidden="1" customHeight="1" x14ac:dyDescent="0.2">
      <c r="B38" s="24"/>
      <c r="C38" s="28"/>
      <c r="D38" s="49" t="s">
        <v>166</v>
      </c>
      <c r="E38" s="29"/>
      <c r="F38" s="642">
        <v>3302003</v>
      </c>
      <c r="G38" s="528" t="s">
        <v>511</v>
      </c>
      <c r="H38" s="241">
        <v>0</v>
      </c>
      <c r="I38" s="4">
        <v>0</v>
      </c>
      <c r="J38" s="18">
        <f ca="1">SUMIF(T$3:$AM11,"ok",T38:AM38)</f>
        <v>0</v>
      </c>
      <c r="K38" s="547" t="str">
        <f t="shared" ca="1" si="14"/>
        <v>0,00%</v>
      </c>
      <c r="L38" s="97">
        <v>0</v>
      </c>
      <c r="M38" s="692">
        <f t="shared" si="13"/>
        <v>0</v>
      </c>
      <c r="N38" s="97">
        <v>0</v>
      </c>
      <c r="O38" s="594">
        <f t="shared" si="15"/>
        <v>0</v>
      </c>
      <c r="P38" s="819">
        <f>++'P05 2022'!BE27</f>
        <v>0</v>
      </c>
      <c r="Q38" s="830">
        <f ca="1">SUMIF(S$3:$AM5,"SI",S38:AM38)</f>
        <v>0</v>
      </c>
      <c r="R38" s="678" t="str">
        <f t="shared" ca="1" si="10"/>
        <v>0.00%</v>
      </c>
      <c r="S38" s="806">
        <v>0</v>
      </c>
      <c r="T38" s="806">
        <v>0</v>
      </c>
      <c r="U38" s="819">
        <v>0</v>
      </c>
      <c r="V38" s="1118">
        <v>0</v>
      </c>
      <c r="W38" s="1259">
        <v>0</v>
      </c>
      <c r="X38" s="1255">
        <v>0</v>
      </c>
      <c r="Y38" s="806">
        <v>0</v>
      </c>
      <c r="Z38" s="806">
        <v>0</v>
      </c>
      <c r="AA38" s="541">
        <v>0</v>
      </c>
      <c r="AB38" s="1255">
        <v>0</v>
      </c>
      <c r="AC38" s="541">
        <v>0</v>
      </c>
      <c r="AD38" s="1259">
        <v>0</v>
      </c>
      <c r="AE38" s="1405">
        <v>0</v>
      </c>
      <c r="AF38" s="1176">
        <v>0</v>
      </c>
      <c r="AG38" s="1147">
        <v>0</v>
      </c>
      <c r="AH38" s="1255">
        <v>0</v>
      </c>
      <c r="AI38" s="1466">
        <v>0</v>
      </c>
      <c r="AJ38" s="1255">
        <v>0</v>
      </c>
      <c r="AK38" s="806">
        <v>0</v>
      </c>
      <c r="AL38" s="541">
        <v>0</v>
      </c>
      <c r="AM38" s="806">
        <v>0</v>
      </c>
      <c r="AN38" s="5"/>
      <c r="AO38" s="5"/>
      <c r="AP38" s="5"/>
      <c r="AQ38" s="5"/>
      <c r="AR38" s="5"/>
    </row>
    <row r="39" spans="2:44" ht="15" hidden="1" customHeight="1" x14ac:dyDescent="0.2">
      <c r="B39" s="24"/>
      <c r="C39" s="28"/>
      <c r="D39" s="49" t="s">
        <v>179</v>
      </c>
      <c r="E39" s="29"/>
      <c r="F39" s="642">
        <v>3302004</v>
      </c>
      <c r="G39" s="528" t="s">
        <v>510</v>
      </c>
      <c r="H39" s="241">
        <v>0</v>
      </c>
      <c r="I39" s="4">
        <v>0</v>
      </c>
      <c r="J39" s="18">
        <f ca="1">SUMIF(T$3:$AM11,"ok",T39:AM39)</f>
        <v>0</v>
      </c>
      <c r="K39" s="547" t="str">
        <f t="shared" ca="1" si="14"/>
        <v>0,00%</v>
      </c>
      <c r="L39" s="97">
        <v>0</v>
      </c>
      <c r="M39" s="692">
        <f t="shared" si="13"/>
        <v>0</v>
      </c>
      <c r="N39" s="97">
        <v>0</v>
      </c>
      <c r="O39" s="594">
        <f t="shared" si="15"/>
        <v>0</v>
      </c>
      <c r="P39" s="819">
        <f>++'P05 2022'!BE28</f>
        <v>0</v>
      </c>
      <c r="Q39" s="830">
        <f ca="1">SUMIF(S$3:$AM6,"SI",S39:AM39)</f>
        <v>0</v>
      </c>
      <c r="R39" s="678" t="str">
        <f t="shared" ca="1" si="10"/>
        <v>0.00%</v>
      </c>
      <c r="S39" s="806">
        <v>0</v>
      </c>
      <c r="T39" s="806">
        <v>0</v>
      </c>
      <c r="U39" s="819">
        <v>0</v>
      </c>
      <c r="V39" s="1118">
        <v>0</v>
      </c>
      <c r="W39" s="1259">
        <v>0</v>
      </c>
      <c r="X39" s="1255">
        <v>0</v>
      </c>
      <c r="Y39" s="806">
        <v>0</v>
      </c>
      <c r="Z39" s="806">
        <v>0</v>
      </c>
      <c r="AA39" s="541">
        <v>0</v>
      </c>
      <c r="AB39" s="1255">
        <v>0</v>
      </c>
      <c r="AC39" s="541">
        <v>0</v>
      </c>
      <c r="AD39" s="1259">
        <v>0</v>
      </c>
      <c r="AE39" s="1405">
        <v>0</v>
      </c>
      <c r="AF39" s="1176">
        <v>0</v>
      </c>
      <c r="AG39" s="1147">
        <v>0</v>
      </c>
      <c r="AH39" s="1255">
        <v>0</v>
      </c>
      <c r="AI39" s="1466">
        <v>0</v>
      </c>
      <c r="AJ39" s="1255">
        <v>0</v>
      </c>
      <c r="AK39" s="806">
        <v>0</v>
      </c>
      <c r="AL39" s="541">
        <v>0</v>
      </c>
      <c r="AM39" s="806">
        <v>0</v>
      </c>
      <c r="AN39" s="5"/>
      <c r="AO39" s="5"/>
      <c r="AP39" s="5"/>
      <c r="AQ39" s="5"/>
      <c r="AR39" s="5"/>
    </row>
    <row r="40" spans="2:44" ht="15" hidden="1" customHeight="1" x14ac:dyDescent="0.2">
      <c r="B40" s="24"/>
      <c r="C40" s="28"/>
      <c r="D40" s="49" t="s">
        <v>180</v>
      </c>
      <c r="E40" s="29"/>
      <c r="F40" s="642">
        <v>3302005</v>
      </c>
      <c r="G40" s="528" t="s">
        <v>513</v>
      </c>
      <c r="H40" s="241">
        <v>0</v>
      </c>
      <c r="I40" s="4">
        <v>0</v>
      </c>
      <c r="J40" s="18">
        <f ca="1">SUMIF(T$3:$AM11,"ok",T40:AM40)</f>
        <v>0</v>
      </c>
      <c r="K40" s="547" t="str">
        <f t="shared" ca="1" si="14"/>
        <v>0,00%</v>
      </c>
      <c r="L40" s="97">
        <v>0</v>
      </c>
      <c r="M40" s="692">
        <f t="shared" si="13"/>
        <v>0</v>
      </c>
      <c r="N40" s="97">
        <v>0</v>
      </c>
      <c r="O40" s="594">
        <f t="shared" si="15"/>
        <v>0</v>
      </c>
      <c r="P40" s="819">
        <f>++'P05 2022'!BE29</f>
        <v>0</v>
      </c>
      <c r="Q40" s="830">
        <f ca="1">SUMIF(S$3:$AM7,"SI",S40:AM40)</f>
        <v>0</v>
      </c>
      <c r="R40" s="678" t="str">
        <f t="shared" ca="1" si="10"/>
        <v>0.00%</v>
      </c>
      <c r="S40" s="806">
        <v>0</v>
      </c>
      <c r="T40" s="806">
        <v>0</v>
      </c>
      <c r="U40" s="819">
        <v>0</v>
      </c>
      <c r="V40" s="1118">
        <v>0</v>
      </c>
      <c r="W40" s="1259">
        <v>0</v>
      </c>
      <c r="X40" s="1255">
        <v>0</v>
      </c>
      <c r="Y40" s="806">
        <v>0</v>
      </c>
      <c r="Z40" s="806">
        <v>0</v>
      </c>
      <c r="AA40" s="541">
        <v>0</v>
      </c>
      <c r="AB40" s="1255">
        <v>0</v>
      </c>
      <c r="AC40" s="541">
        <v>0</v>
      </c>
      <c r="AD40" s="1259">
        <v>0</v>
      </c>
      <c r="AE40" s="1405">
        <v>0</v>
      </c>
      <c r="AF40" s="1176">
        <v>0</v>
      </c>
      <c r="AG40" s="1147">
        <v>0</v>
      </c>
      <c r="AH40" s="1255">
        <v>0</v>
      </c>
      <c r="AI40" s="1466">
        <v>0</v>
      </c>
      <c r="AJ40" s="1255">
        <v>0</v>
      </c>
      <c r="AK40" s="806">
        <v>0</v>
      </c>
      <c r="AL40" s="541">
        <v>0</v>
      </c>
      <c r="AM40" s="806">
        <v>0</v>
      </c>
      <c r="AN40" s="5"/>
      <c r="AO40" s="5"/>
      <c r="AP40" s="5"/>
      <c r="AQ40" s="5"/>
      <c r="AR40" s="5"/>
    </row>
    <row r="41" spans="2:44" ht="15" hidden="1" customHeight="1" x14ac:dyDescent="0.2">
      <c r="B41" s="24"/>
      <c r="C41" s="28"/>
      <c r="D41" s="49" t="s">
        <v>181</v>
      </c>
      <c r="E41" s="29"/>
      <c r="F41" s="642">
        <v>3302006</v>
      </c>
      <c r="G41" s="528" t="s">
        <v>751</v>
      </c>
      <c r="H41" s="241">
        <v>0</v>
      </c>
      <c r="I41" s="4">
        <v>0</v>
      </c>
      <c r="J41" s="18">
        <f ca="1">SUMIF(T$3:$AM11,"ok",T41:AM41)</f>
        <v>0</v>
      </c>
      <c r="K41" s="547" t="str">
        <f t="shared" ca="1" si="14"/>
        <v>0,00%</v>
      </c>
      <c r="L41" s="97">
        <v>0</v>
      </c>
      <c r="M41" s="692">
        <f t="shared" si="13"/>
        <v>0</v>
      </c>
      <c r="N41" s="97">
        <v>0</v>
      </c>
      <c r="O41" s="594">
        <f t="shared" si="15"/>
        <v>0</v>
      </c>
      <c r="P41" s="819">
        <f>++'P05 2022'!BE30</f>
        <v>0</v>
      </c>
      <c r="Q41" s="830">
        <f ca="1">SUMIF(S$3:$AM8,"SI",S41:AM41)</f>
        <v>0</v>
      </c>
      <c r="R41" s="678" t="str">
        <f t="shared" ca="1" si="10"/>
        <v>0.00%</v>
      </c>
      <c r="S41" s="806">
        <v>0</v>
      </c>
      <c r="T41" s="806">
        <v>0</v>
      </c>
      <c r="U41" s="819">
        <v>0</v>
      </c>
      <c r="V41" s="1118">
        <v>0</v>
      </c>
      <c r="W41" s="1259">
        <v>0</v>
      </c>
      <c r="X41" s="1255">
        <v>0</v>
      </c>
      <c r="Y41" s="806">
        <v>0</v>
      </c>
      <c r="Z41" s="806">
        <v>0</v>
      </c>
      <c r="AA41" s="541">
        <v>0</v>
      </c>
      <c r="AB41" s="1255">
        <v>0</v>
      </c>
      <c r="AC41" s="541">
        <v>0</v>
      </c>
      <c r="AD41" s="1259">
        <v>0</v>
      </c>
      <c r="AE41" s="1405">
        <v>0</v>
      </c>
      <c r="AF41" s="1176">
        <v>0</v>
      </c>
      <c r="AG41" s="1147">
        <v>0</v>
      </c>
      <c r="AH41" s="1255">
        <v>0</v>
      </c>
      <c r="AI41" s="1466">
        <v>0</v>
      </c>
      <c r="AJ41" s="1255">
        <v>0</v>
      </c>
      <c r="AK41" s="806">
        <v>0</v>
      </c>
      <c r="AL41" s="541">
        <v>0</v>
      </c>
      <c r="AM41" s="806">
        <v>0</v>
      </c>
      <c r="AN41" s="5"/>
      <c r="AO41" s="5"/>
      <c r="AP41" s="5"/>
      <c r="AQ41" s="5"/>
      <c r="AR41" s="5"/>
    </row>
    <row r="42" spans="2:44" ht="15" hidden="1" customHeight="1" x14ac:dyDescent="0.2">
      <c r="B42" s="24"/>
      <c r="C42" s="28"/>
      <c r="D42" s="49" t="s">
        <v>170</v>
      </c>
      <c r="E42" s="29"/>
      <c r="F42" s="642">
        <v>3302007</v>
      </c>
      <c r="G42" s="528" t="s">
        <v>514</v>
      </c>
      <c r="H42" s="241">
        <v>0</v>
      </c>
      <c r="I42" s="4">
        <v>0</v>
      </c>
      <c r="J42" s="18">
        <f ca="1">SUMIF(T$3:$AM11,"ok",T42:AM42)</f>
        <v>0</v>
      </c>
      <c r="K42" s="547" t="str">
        <f t="shared" ca="1" si="14"/>
        <v>0,00%</v>
      </c>
      <c r="L42" s="97">
        <v>0</v>
      </c>
      <c r="M42" s="692">
        <f t="shared" si="13"/>
        <v>0</v>
      </c>
      <c r="N42" s="97">
        <v>0</v>
      </c>
      <c r="O42" s="594">
        <f t="shared" si="15"/>
        <v>0</v>
      </c>
      <c r="P42" s="819">
        <f>++'P05 2022'!BE31</f>
        <v>0</v>
      </c>
      <c r="Q42" s="830">
        <f ca="1">SUMIF(S$3:$AM9,"SI",S42:AM42)</f>
        <v>0</v>
      </c>
      <c r="R42" s="678" t="str">
        <f t="shared" ca="1" si="10"/>
        <v>0.00%</v>
      </c>
      <c r="S42" s="806">
        <v>0</v>
      </c>
      <c r="T42" s="806">
        <v>0</v>
      </c>
      <c r="U42" s="819">
        <v>0</v>
      </c>
      <c r="V42" s="1118">
        <v>0</v>
      </c>
      <c r="W42" s="1259">
        <v>0</v>
      </c>
      <c r="X42" s="1255">
        <v>0</v>
      </c>
      <c r="Y42" s="806">
        <v>0</v>
      </c>
      <c r="Z42" s="806">
        <v>0</v>
      </c>
      <c r="AA42" s="541">
        <v>0</v>
      </c>
      <c r="AB42" s="1255">
        <v>0</v>
      </c>
      <c r="AC42" s="541">
        <v>0</v>
      </c>
      <c r="AD42" s="1259">
        <v>0</v>
      </c>
      <c r="AE42" s="1405">
        <v>0</v>
      </c>
      <c r="AF42" s="1176">
        <v>0</v>
      </c>
      <c r="AG42" s="1147">
        <v>0</v>
      </c>
      <c r="AH42" s="1255">
        <v>0</v>
      </c>
      <c r="AI42" s="1466">
        <v>0</v>
      </c>
      <c r="AJ42" s="1255">
        <v>0</v>
      </c>
      <c r="AK42" s="806">
        <v>0</v>
      </c>
      <c r="AL42" s="541">
        <v>0</v>
      </c>
      <c r="AM42" s="806">
        <v>0</v>
      </c>
      <c r="AN42" s="239"/>
      <c r="AO42" s="5"/>
      <c r="AP42" s="5"/>
      <c r="AQ42" s="5"/>
      <c r="AR42" s="5"/>
    </row>
    <row r="43" spans="2:44" ht="15" hidden="1" customHeight="1" x14ac:dyDescent="0.2">
      <c r="B43" s="24"/>
      <c r="C43" s="28"/>
      <c r="D43" s="49" t="s">
        <v>171</v>
      </c>
      <c r="E43" s="29"/>
      <c r="F43" s="642">
        <v>3302008</v>
      </c>
      <c r="G43" s="528" t="s">
        <v>520</v>
      </c>
      <c r="H43" s="241">
        <v>0</v>
      </c>
      <c r="I43" s="4">
        <v>0</v>
      </c>
      <c r="J43" s="18">
        <f ca="1">SUMIF(T$3:$AM11,"ok",T43:AM43)</f>
        <v>0</v>
      </c>
      <c r="K43" s="547" t="str">
        <f t="shared" ca="1" si="14"/>
        <v>0,00%</v>
      </c>
      <c r="L43" s="97">
        <v>0</v>
      </c>
      <c r="M43" s="692">
        <f t="shared" si="13"/>
        <v>0</v>
      </c>
      <c r="N43" s="97">
        <v>0</v>
      </c>
      <c r="O43" s="594">
        <f t="shared" si="15"/>
        <v>0</v>
      </c>
      <c r="P43" s="819">
        <f>++'P05 2022'!BE32</f>
        <v>0</v>
      </c>
      <c r="Q43" s="830">
        <f ca="1">SUMIF(S$3:$AM10,"SI",S43:AM43)</f>
        <v>0</v>
      </c>
      <c r="R43" s="678" t="str">
        <f ca="1">IFERROR(Q43/P43,"0,0%")</f>
        <v>0,0%</v>
      </c>
      <c r="S43" s="806">
        <v>0</v>
      </c>
      <c r="T43" s="806">
        <v>0</v>
      </c>
      <c r="U43" s="819">
        <v>0</v>
      </c>
      <c r="V43" s="1118">
        <v>0</v>
      </c>
      <c r="W43" s="1259">
        <v>0</v>
      </c>
      <c r="X43" s="1255">
        <v>0</v>
      </c>
      <c r="Y43" s="806">
        <v>0</v>
      </c>
      <c r="Z43" s="806">
        <v>0</v>
      </c>
      <c r="AA43" s="541">
        <v>0</v>
      </c>
      <c r="AB43" s="1255">
        <v>0</v>
      </c>
      <c r="AC43" s="541">
        <v>0</v>
      </c>
      <c r="AD43" s="1259">
        <v>0</v>
      </c>
      <c r="AE43" s="1405">
        <v>0</v>
      </c>
      <c r="AF43" s="1176">
        <v>0</v>
      </c>
      <c r="AG43" s="1147">
        <v>0</v>
      </c>
      <c r="AH43" s="1255">
        <v>0</v>
      </c>
      <c r="AI43" s="1466">
        <v>0</v>
      </c>
      <c r="AJ43" s="1255">
        <v>0</v>
      </c>
      <c r="AK43" s="806">
        <v>0</v>
      </c>
      <c r="AL43" s="541">
        <v>0</v>
      </c>
      <c r="AM43" s="806">
        <v>0</v>
      </c>
      <c r="AN43" s="239"/>
      <c r="AO43" s="5"/>
      <c r="AP43" s="5"/>
      <c r="AQ43" s="5"/>
      <c r="AR43" s="5"/>
    </row>
    <row r="44" spans="2:44" ht="15" hidden="1" customHeight="1" x14ac:dyDescent="0.2">
      <c r="B44" s="24"/>
      <c r="C44" s="28"/>
      <c r="D44" s="49" t="s">
        <v>172</v>
      </c>
      <c r="E44" s="29"/>
      <c r="F44" s="642">
        <v>3302009</v>
      </c>
      <c r="G44" s="528" t="s">
        <v>521</v>
      </c>
      <c r="H44" s="241">
        <v>0</v>
      </c>
      <c r="I44" s="4">
        <v>0</v>
      </c>
      <c r="J44" s="18">
        <f ca="1">SUMIF(T$3:$AM34,"ok",T44:AM44)</f>
        <v>0</v>
      </c>
      <c r="K44" s="547" t="str">
        <f t="shared" ca="1" si="14"/>
        <v>0,00%</v>
      </c>
      <c r="L44" s="97">
        <v>0</v>
      </c>
      <c r="M44" s="692">
        <f t="shared" si="13"/>
        <v>0</v>
      </c>
      <c r="N44" s="97">
        <v>0</v>
      </c>
      <c r="O44" s="594">
        <f t="shared" si="15"/>
        <v>0</v>
      </c>
      <c r="P44" s="819">
        <f>++'P05 2022'!BE33</f>
        <v>0</v>
      </c>
      <c r="Q44" s="830">
        <f ca="1">SUMIF(S$3:$AM11,"SI",S44:AM44)</f>
        <v>0</v>
      </c>
      <c r="R44" s="678" t="str">
        <f t="shared" ca="1" si="10"/>
        <v>0.00%</v>
      </c>
      <c r="S44" s="806">
        <v>0</v>
      </c>
      <c r="T44" s="806">
        <v>0</v>
      </c>
      <c r="U44" s="819">
        <v>0</v>
      </c>
      <c r="V44" s="1118">
        <v>0</v>
      </c>
      <c r="W44" s="1259">
        <v>0</v>
      </c>
      <c r="X44" s="1255">
        <v>0</v>
      </c>
      <c r="Y44" s="806">
        <v>0</v>
      </c>
      <c r="Z44" s="806">
        <v>0</v>
      </c>
      <c r="AA44" s="541">
        <v>0</v>
      </c>
      <c r="AB44" s="1255">
        <v>0</v>
      </c>
      <c r="AC44" s="541">
        <v>0</v>
      </c>
      <c r="AD44" s="1259">
        <v>0</v>
      </c>
      <c r="AE44" s="1405">
        <v>0</v>
      </c>
      <c r="AF44" s="1176">
        <v>0</v>
      </c>
      <c r="AG44" s="1147">
        <v>0</v>
      </c>
      <c r="AH44" s="1255">
        <v>0</v>
      </c>
      <c r="AI44" s="1466">
        <v>0</v>
      </c>
      <c r="AJ44" s="1255">
        <v>0</v>
      </c>
      <c r="AK44" s="806">
        <v>0</v>
      </c>
      <c r="AL44" s="541">
        <v>0</v>
      </c>
      <c r="AM44" s="806">
        <v>0</v>
      </c>
      <c r="AN44" s="239"/>
      <c r="AO44" s="5"/>
      <c r="AP44" s="5"/>
      <c r="AQ44" s="5"/>
      <c r="AR44" s="5"/>
    </row>
    <row r="45" spans="2:44" ht="15" hidden="1" customHeight="1" x14ac:dyDescent="0.2">
      <c r="B45" s="24"/>
      <c r="C45" s="28"/>
      <c r="D45" s="49" t="s">
        <v>173</v>
      </c>
      <c r="E45" s="29"/>
      <c r="F45" s="642">
        <v>3302010</v>
      </c>
      <c r="G45" s="528" t="s">
        <v>522</v>
      </c>
      <c r="H45" s="241">
        <v>0</v>
      </c>
      <c r="I45" s="4">
        <v>0</v>
      </c>
      <c r="J45" s="18">
        <f ca="1">SUMIF(T$3:$AM35,"ok",T45:AM45)</f>
        <v>0</v>
      </c>
      <c r="K45" s="547" t="str">
        <f t="shared" ca="1" si="14"/>
        <v>0,00%</v>
      </c>
      <c r="L45" s="97">
        <v>0</v>
      </c>
      <c r="M45" s="692">
        <f t="shared" si="13"/>
        <v>0</v>
      </c>
      <c r="N45" s="97">
        <v>0</v>
      </c>
      <c r="O45" s="594">
        <f t="shared" si="15"/>
        <v>0</v>
      </c>
      <c r="P45" s="819">
        <f>++'P05 2022'!BE34</f>
        <v>0</v>
      </c>
      <c r="Q45" s="830">
        <f ca="1">SUMIF(S$3:$AM12,"SI",S45:AM45)</f>
        <v>0</v>
      </c>
      <c r="R45" s="678" t="str">
        <f t="shared" ca="1" si="10"/>
        <v>0.00%</v>
      </c>
      <c r="S45" s="806">
        <v>0</v>
      </c>
      <c r="T45" s="806">
        <v>0</v>
      </c>
      <c r="U45" s="819">
        <v>0</v>
      </c>
      <c r="V45" s="1118">
        <v>0</v>
      </c>
      <c r="W45" s="1259">
        <v>0</v>
      </c>
      <c r="X45" s="1255">
        <v>0</v>
      </c>
      <c r="Y45" s="806">
        <v>0</v>
      </c>
      <c r="Z45" s="806">
        <v>0</v>
      </c>
      <c r="AA45" s="541">
        <v>0</v>
      </c>
      <c r="AB45" s="1255">
        <v>0</v>
      </c>
      <c r="AC45" s="541">
        <v>0</v>
      </c>
      <c r="AD45" s="1259">
        <v>0</v>
      </c>
      <c r="AE45" s="1405">
        <v>0</v>
      </c>
      <c r="AF45" s="1176">
        <v>0</v>
      </c>
      <c r="AG45" s="1147">
        <v>0</v>
      </c>
      <c r="AH45" s="1255">
        <v>0</v>
      </c>
      <c r="AI45" s="1466">
        <v>0</v>
      </c>
      <c r="AJ45" s="1255">
        <v>0</v>
      </c>
      <c r="AK45" s="806">
        <v>0</v>
      </c>
      <c r="AL45" s="541">
        <v>0</v>
      </c>
      <c r="AM45" s="806">
        <v>0</v>
      </c>
      <c r="AN45" s="239"/>
      <c r="AO45" s="5"/>
      <c r="AP45" s="5"/>
      <c r="AQ45" s="5"/>
      <c r="AR45" s="5"/>
    </row>
    <row r="46" spans="2:44" ht="15" hidden="1" customHeight="1" x14ac:dyDescent="0.2">
      <c r="B46" s="24"/>
      <c r="C46" s="28"/>
      <c r="D46" s="49" t="s">
        <v>174</v>
      </c>
      <c r="E46" s="29"/>
      <c r="F46" s="642">
        <v>3302011</v>
      </c>
      <c r="G46" s="528" t="s">
        <v>752</v>
      </c>
      <c r="H46" s="241">
        <v>0</v>
      </c>
      <c r="I46" s="4">
        <v>0</v>
      </c>
      <c r="J46" s="18">
        <f ca="1">SUMIF(T$3:$AM36,"ok",T46:AM46)</f>
        <v>0</v>
      </c>
      <c r="K46" s="547" t="str">
        <f t="shared" ca="1" si="14"/>
        <v>0,00%</v>
      </c>
      <c r="L46" s="97">
        <v>0</v>
      </c>
      <c r="M46" s="692">
        <f t="shared" si="13"/>
        <v>0</v>
      </c>
      <c r="N46" s="97">
        <v>0</v>
      </c>
      <c r="O46" s="594">
        <f t="shared" si="15"/>
        <v>0</v>
      </c>
      <c r="P46" s="819">
        <f>++'P05 2022'!BE35</f>
        <v>0</v>
      </c>
      <c r="Q46" s="830">
        <f ca="1">SUMIF(S$3:$AM13,"SI",S46:AM46)</f>
        <v>0</v>
      </c>
      <c r="R46" s="678" t="str">
        <f t="shared" ca="1" si="10"/>
        <v>0.00%</v>
      </c>
      <c r="S46" s="806">
        <v>0</v>
      </c>
      <c r="T46" s="806">
        <v>0</v>
      </c>
      <c r="U46" s="819">
        <v>0</v>
      </c>
      <c r="V46" s="1118">
        <v>0</v>
      </c>
      <c r="W46" s="1259">
        <v>0</v>
      </c>
      <c r="X46" s="1255">
        <v>0</v>
      </c>
      <c r="Y46" s="806">
        <v>0</v>
      </c>
      <c r="Z46" s="806">
        <v>0</v>
      </c>
      <c r="AA46" s="541">
        <v>0</v>
      </c>
      <c r="AB46" s="1255">
        <v>0</v>
      </c>
      <c r="AC46" s="541">
        <v>0</v>
      </c>
      <c r="AD46" s="1259">
        <v>0</v>
      </c>
      <c r="AE46" s="1405">
        <v>0</v>
      </c>
      <c r="AF46" s="1176">
        <v>0</v>
      </c>
      <c r="AG46" s="1147">
        <v>0</v>
      </c>
      <c r="AH46" s="1255">
        <v>0</v>
      </c>
      <c r="AI46" s="1466">
        <v>0</v>
      </c>
      <c r="AJ46" s="1255">
        <v>0</v>
      </c>
      <c r="AK46" s="806">
        <v>0</v>
      </c>
      <c r="AL46" s="541">
        <v>0</v>
      </c>
      <c r="AM46" s="806">
        <v>0</v>
      </c>
      <c r="AN46" s="239"/>
      <c r="AO46" s="5"/>
      <c r="AP46" s="5"/>
      <c r="AQ46" s="5"/>
      <c r="AR46" s="5"/>
    </row>
    <row r="47" spans="2:44" ht="15" hidden="1" customHeight="1" x14ac:dyDescent="0.2">
      <c r="B47" s="24"/>
      <c r="C47" s="28"/>
      <c r="D47" s="49" t="s">
        <v>175</v>
      </c>
      <c r="E47" s="29"/>
      <c r="F47" s="642">
        <v>3302012</v>
      </c>
      <c r="G47" s="528" t="s">
        <v>515</v>
      </c>
      <c r="H47" s="241">
        <v>0</v>
      </c>
      <c r="I47" s="4">
        <v>0</v>
      </c>
      <c r="J47" s="18">
        <f ca="1">SUMIF(T$3:$AM37,"ok",T47:AM47)</f>
        <v>0</v>
      </c>
      <c r="K47" s="547" t="str">
        <f t="shared" ca="1" si="14"/>
        <v>0,00%</v>
      </c>
      <c r="L47" s="97">
        <v>0</v>
      </c>
      <c r="M47" s="692">
        <f t="shared" si="13"/>
        <v>0</v>
      </c>
      <c r="N47" s="97">
        <v>0</v>
      </c>
      <c r="O47" s="594">
        <f t="shared" si="15"/>
        <v>0</v>
      </c>
      <c r="P47" s="819">
        <f>++'P05 2022'!BE36</f>
        <v>0</v>
      </c>
      <c r="Q47" s="830">
        <f ca="1">SUMIF(S$3:$AM14,"SI",S47:AM47)</f>
        <v>0</v>
      </c>
      <c r="R47" s="678" t="str">
        <f t="shared" ca="1" si="10"/>
        <v>0.00%</v>
      </c>
      <c r="S47" s="806">
        <v>0</v>
      </c>
      <c r="T47" s="806">
        <v>0</v>
      </c>
      <c r="U47" s="819">
        <v>0</v>
      </c>
      <c r="V47" s="1118">
        <v>0</v>
      </c>
      <c r="W47" s="1259">
        <v>0</v>
      </c>
      <c r="X47" s="1255">
        <v>0</v>
      </c>
      <c r="Y47" s="806">
        <v>0</v>
      </c>
      <c r="Z47" s="806">
        <v>0</v>
      </c>
      <c r="AA47" s="541">
        <v>0</v>
      </c>
      <c r="AB47" s="1255">
        <v>0</v>
      </c>
      <c r="AC47" s="541">
        <v>0</v>
      </c>
      <c r="AD47" s="1259">
        <v>0</v>
      </c>
      <c r="AE47" s="1405">
        <v>0</v>
      </c>
      <c r="AF47" s="1176">
        <v>0</v>
      </c>
      <c r="AG47" s="1147">
        <v>0</v>
      </c>
      <c r="AH47" s="1255">
        <v>0</v>
      </c>
      <c r="AI47" s="1466">
        <v>0</v>
      </c>
      <c r="AJ47" s="1255">
        <v>0</v>
      </c>
      <c r="AK47" s="806">
        <v>0</v>
      </c>
      <c r="AL47" s="541">
        <v>0</v>
      </c>
      <c r="AM47" s="806">
        <v>0</v>
      </c>
      <c r="AN47" s="239"/>
      <c r="AO47" s="5"/>
      <c r="AP47" s="5"/>
      <c r="AQ47" s="5"/>
      <c r="AR47" s="5"/>
    </row>
    <row r="48" spans="2:44" ht="15" hidden="1" customHeight="1" x14ac:dyDescent="0.2">
      <c r="B48" s="24"/>
      <c r="C48" s="28"/>
      <c r="D48" s="49" t="s">
        <v>176</v>
      </c>
      <c r="E48" s="29"/>
      <c r="F48" s="642">
        <v>3302013</v>
      </c>
      <c r="G48" s="528" t="s">
        <v>516</v>
      </c>
      <c r="H48" s="241">
        <v>0</v>
      </c>
      <c r="I48" s="4">
        <v>0</v>
      </c>
      <c r="J48" s="18">
        <f ca="1">SUMIF(T$3:$AM38,"ok",T48:AM48)</f>
        <v>0</v>
      </c>
      <c r="K48" s="547" t="str">
        <f t="shared" ca="1" si="14"/>
        <v>0,00%</v>
      </c>
      <c r="L48" s="97">
        <v>0</v>
      </c>
      <c r="M48" s="692">
        <f t="shared" si="13"/>
        <v>0</v>
      </c>
      <c r="N48" s="97">
        <v>0</v>
      </c>
      <c r="O48" s="594">
        <f t="shared" si="15"/>
        <v>0</v>
      </c>
      <c r="P48" s="819">
        <f>++'P05 2022'!BE37</f>
        <v>0</v>
      </c>
      <c r="Q48" s="830">
        <f ca="1">SUMIF(S$3:$AM15,"SI",S48:AM48)</f>
        <v>0</v>
      </c>
      <c r="R48" s="678" t="str">
        <f t="shared" ca="1" si="10"/>
        <v>0.00%</v>
      </c>
      <c r="S48" s="806">
        <v>0</v>
      </c>
      <c r="T48" s="806">
        <v>0</v>
      </c>
      <c r="U48" s="819">
        <v>0</v>
      </c>
      <c r="V48" s="1118">
        <v>0</v>
      </c>
      <c r="W48" s="1259">
        <v>0</v>
      </c>
      <c r="X48" s="1255">
        <v>0</v>
      </c>
      <c r="Y48" s="806">
        <v>0</v>
      </c>
      <c r="Z48" s="806">
        <v>0</v>
      </c>
      <c r="AA48" s="541">
        <v>0</v>
      </c>
      <c r="AB48" s="1255">
        <v>0</v>
      </c>
      <c r="AC48" s="541">
        <v>0</v>
      </c>
      <c r="AD48" s="1259">
        <v>0</v>
      </c>
      <c r="AE48" s="1405">
        <v>0</v>
      </c>
      <c r="AF48" s="1176">
        <v>0</v>
      </c>
      <c r="AG48" s="1147">
        <v>0</v>
      </c>
      <c r="AH48" s="1255">
        <v>0</v>
      </c>
      <c r="AI48" s="1466">
        <v>0</v>
      </c>
      <c r="AJ48" s="1255">
        <v>0</v>
      </c>
      <c r="AK48" s="806">
        <v>0</v>
      </c>
      <c r="AL48" s="541">
        <v>0</v>
      </c>
      <c r="AM48" s="806">
        <v>0</v>
      </c>
      <c r="AN48" s="239"/>
      <c r="AO48" s="5"/>
      <c r="AP48" s="5"/>
      <c r="AQ48" s="5"/>
      <c r="AR48" s="5"/>
    </row>
    <row r="49" spans="1:44" ht="15" hidden="1" customHeight="1" x14ac:dyDescent="0.2">
      <c r="B49" s="24"/>
      <c r="C49" s="28"/>
      <c r="D49" s="49" t="s">
        <v>191</v>
      </c>
      <c r="E49" s="29"/>
      <c r="F49" s="642">
        <v>3302014</v>
      </c>
      <c r="G49" s="528" t="s">
        <v>517</v>
      </c>
      <c r="H49" s="241">
        <v>0</v>
      </c>
      <c r="I49" s="4">
        <v>0</v>
      </c>
      <c r="J49" s="18">
        <f>SUMIF(T$3:$AM3,"ok",T49:AM49)</f>
        <v>0</v>
      </c>
      <c r="K49" s="547" t="str">
        <f t="shared" si="14"/>
        <v>0,00%</v>
      </c>
      <c r="L49" s="97">
        <v>0</v>
      </c>
      <c r="M49" s="692">
        <f t="shared" si="13"/>
        <v>0</v>
      </c>
      <c r="N49" s="97">
        <v>0</v>
      </c>
      <c r="O49" s="594">
        <f t="shared" si="15"/>
        <v>0</v>
      </c>
      <c r="P49" s="819">
        <f>++'P05 2022'!BE38</f>
        <v>0</v>
      </c>
      <c r="Q49" s="830">
        <f ca="1">SUMIF(S$3:$AM16,"SI",S49:AM49)</f>
        <v>0</v>
      </c>
      <c r="R49" s="678" t="str">
        <f t="shared" ca="1" si="10"/>
        <v>0.00%</v>
      </c>
      <c r="S49" s="806">
        <v>0</v>
      </c>
      <c r="T49" s="806">
        <v>0</v>
      </c>
      <c r="U49" s="819">
        <v>0</v>
      </c>
      <c r="V49" s="1118">
        <v>0</v>
      </c>
      <c r="W49" s="1259">
        <v>0</v>
      </c>
      <c r="X49" s="1255">
        <v>0</v>
      </c>
      <c r="Y49" s="806">
        <v>0</v>
      </c>
      <c r="Z49" s="806">
        <v>0</v>
      </c>
      <c r="AA49" s="541">
        <v>0</v>
      </c>
      <c r="AB49" s="1255">
        <v>0</v>
      </c>
      <c r="AC49" s="541">
        <v>0</v>
      </c>
      <c r="AD49" s="1259">
        <v>0</v>
      </c>
      <c r="AE49" s="1405">
        <v>0</v>
      </c>
      <c r="AF49" s="1176">
        <v>0</v>
      </c>
      <c r="AG49" s="1147">
        <v>0</v>
      </c>
      <c r="AH49" s="1255">
        <v>0</v>
      </c>
      <c r="AI49" s="1466">
        <v>0</v>
      </c>
      <c r="AJ49" s="1255">
        <v>0</v>
      </c>
      <c r="AK49" s="806">
        <v>0</v>
      </c>
      <c r="AL49" s="541">
        <v>0</v>
      </c>
      <c r="AM49" s="806">
        <v>0</v>
      </c>
      <c r="AN49" s="239"/>
      <c r="AO49" s="5"/>
      <c r="AP49" s="5"/>
      <c r="AQ49" s="5"/>
      <c r="AR49" s="5"/>
    </row>
    <row r="50" spans="1:44" ht="15" hidden="1" customHeight="1" x14ac:dyDescent="0.2">
      <c r="B50" s="24"/>
      <c r="C50" s="28"/>
      <c r="D50" s="49" t="s">
        <v>192</v>
      </c>
      <c r="E50" s="29"/>
      <c r="F50" s="642">
        <v>3302015</v>
      </c>
      <c r="G50" s="528" t="s">
        <v>518</v>
      </c>
      <c r="H50" s="241">
        <v>0</v>
      </c>
      <c r="I50" s="4">
        <v>0</v>
      </c>
      <c r="J50" s="18">
        <f ca="1">SUMIF(T$3:$AM40,"ok",T50:AM50)</f>
        <v>0</v>
      </c>
      <c r="K50" s="547" t="str">
        <f t="shared" ca="1" si="14"/>
        <v>0,00%</v>
      </c>
      <c r="L50" s="97">
        <v>0</v>
      </c>
      <c r="M50" s="692">
        <f t="shared" si="13"/>
        <v>0</v>
      </c>
      <c r="N50" s="97">
        <v>0</v>
      </c>
      <c r="O50" s="594">
        <f t="shared" si="15"/>
        <v>0</v>
      </c>
      <c r="P50" s="819">
        <f>++'P05 2022'!BE39</f>
        <v>0</v>
      </c>
      <c r="Q50" s="830">
        <f ca="1">SUMIF(S$3:$AM17,"SI",S50:AM50)</f>
        <v>0</v>
      </c>
      <c r="R50" s="678" t="str">
        <f t="shared" ca="1" si="10"/>
        <v>0.00%</v>
      </c>
      <c r="S50" s="806">
        <v>0</v>
      </c>
      <c r="T50" s="806">
        <v>0</v>
      </c>
      <c r="U50" s="819">
        <v>0</v>
      </c>
      <c r="V50" s="1118">
        <v>0</v>
      </c>
      <c r="W50" s="1259">
        <v>0</v>
      </c>
      <c r="X50" s="1255">
        <v>0</v>
      </c>
      <c r="Y50" s="806">
        <v>0</v>
      </c>
      <c r="Z50" s="806">
        <v>0</v>
      </c>
      <c r="AA50" s="541">
        <v>0</v>
      </c>
      <c r="AB50" s="1255">
        <v>0</v>
      </c>
      <c r="AC50" s="541">
        <v>0</v>
      </c>
      <c r="AD50" s="1259">
        <v>0</v>
      </c>
      <c r="AE50" s="1405">
        <v>0</v>
      </c>
      <c r="AF50" s="1176">
        <v>0</v>
      </c>
      <c r="AG50" s="1147">
        <v>0</v>
      </c>
      <c r="AH50" s="1255">
        <v>0</v>
      </c>
      <c r="AI50" s="1466">
        <v>0</v>
      </c>
      <c r="AJ50" s="1255">
        <v>0</v>
      </c>
      <c r="AK50" s="806">
        <v>0</v>
      </c>
      <c r="AL50" s="541">
        <v>0</v>
      </c>
      <c r="AM50" s="806">
        <v>0</v>
      </c>
      <c r="AN50" s="239"/>
      <c r="AO50" s="5"/>
      <c r="AP50" s="5"/>
      <c r="AQ50" s="5"/>
      <c r="AR50" s="5"/>
    </row>
    <row r="51" spans="1:44" ht="15" hidden="1" customHeight="1" x14ac:dyDescent="0.2">
      <c r="B51" s="24"/>
      <c r="C51" s="28"/>
      <c r="D51" s="49" t="s">
        <v>227</v>
      </c>
      <c r="E51" s="29"/>
      <c r="F51" s="642">
        <v>3302016</v>
      </c>
      <c r="G51" s="528" t="s">
        <v>509</v>
      </c>
      <c r="H51" s="241">
        <v>0</v>
      </c>
      <c r="I51" s="4">
        <v>0</v>
      </c>
      <c r="J51" s="18">
        <f ca="1">SUMIF(T$3:$AM41,"ok",T51:AM51)</f>
        <v>0</v>
      </c>
      <c r="K51" s="547" t="str">
        <f t="shared" ca="1" si="14"/>
        <v>0,00%</v>
      </c>
      <c r="L51" s="97">
        <v>0</v>
      </c>
      <c r="M51" s="692">
        <f t="shared" si="13"/>
        <v>0</v>
      </c>
      <c r="N51" s="97">
        <v>0</v>
      </c>
      <c r="O51" s="594">
        <f t="shared" si="15"/>
        <v>0</v>
      </c>
      <c r="P51" s="819">
        <f>++'P05 2022'!BE40</f>
        <v>0</v>
      </c>
      <c r="Q51" s="830">
        <f ca="1">SUMIF(S$3:$AM18,"SI",S51:AM51)</f>
        <v>0</v>
      </c>
      <c r="R51" s="678" t="str">
        <f t="shared" ca="1" si="10"/>
        <v>0.00%</v>
      </c>
      <c r="S51" s="806">
        <v>0</v>
      </c>
      <c r="T51" s="806">
        <v>0</v>
      </c>
      <c r="U51" s="819">
        <v>0</v>
      </c>
      <c r="V51" s="1118">
        <v>0</v>
      </c>
      <c r="W51" s="1259">
        <v>0</v>
      </c>
      <c r="X51" s="1255">
        <v>0</v>
      </c>
      <c r="Y51" s="806">
        <v>0</v>
      </c>
      <c r="Z51" s="806">
        <v>0</v>
      </c>
      <c r="AA51" s="541">
        <v>0</v>
      </c>
      <c r="AB51" s="1255">
        <v>0</v>
      </c>
      <c r="AC51" s="541">
        <v>0</v>
      </c>
      <c r="AD51" s="1259">
        <v>0</v>
      </c>
      <c r="AE51" s="1405">
        <v>0</v>
      </c>
      <c r="AF51" s="1176">
        <v>0</v>
      </c>
      <c r="AG51" s="1147">
        <v>0</v>
      </c>
      <c r="AH51" s="1255">
        <v>0</v>
      </c>
      <c r="AI51" s="1466">
        <v>0</v>
      </c>
      <c r="AJ51" s="1255">
        <v>0</v>
      </c>
      <c r="AK51" s="806">
        <v>0</v>
      </c>
      <c r="AL51" s="541">
        <v>0</v>
      </c>
      <c r="AM51" s="806">
        <v>0</v>
      </c>
      <c r="AN51" s="239"/>
      <c r="AO51" s="5"/>
      <c r="AP51" s="5"/>
      <c r="AQ51" s="5"/>
      <c r="AR51" s="5"/>
    </row>
    <row r="52" spans="1:44" ht="15" hidden="1" customHeight="1" x14ac:dyDescent="0.2">
      <c r="B52" s="24"/>
      <c r="C52" s="28"/>
      <c r="D52" s="49" t="s">
        <v>193</v>
      </c>
      <c r="E52" s="29"/>
      <c r="F52" s="642">
        <v>3302017</v>
      </c>
      <c r="G52" s="528" t="s">
        <v>536</v>
      </c>
      <c r="H52" s="241">
        <v>0</v>
      </c>
      <c r="I52" s="4">
        <v>0</v>
      </c>
      <c r="J52" s="18">
        <f ca="1">SUMIF(T$3:$AM42,"ok",T52:AM52)</f>
        <v>0</v>
      </c>
      <c r="K52" s="547" t="str">
        <f t="shared" ca="1" si="14"/>
        <v>0,00%</v>
      </c>
      <c r="L52" s="97">
        <v>0</v>
      </c>
      <c r="M52" s="692">
        <f t="shared" si="13"/>
        <v>0</v>
      </c>
      <c r="N52" s="97">
        <v>0</v>
      </c>
      <c r="O52" s="594">
        <f t="shared" si="15"/>
        <v>0</v>
      </c>
      <c r="P52" s="819">
        <f>++'P05 2022'!BE41</f>
        <v>0</v>
      </c>
      <c r="Q52" s="830">
        <f ca="1">SUMIF(S$3:$AM19,"SI",S52:AM52)</f>
        <v>0</v>
      </c>
      <c r="R52" s="678" t="str">
        <f t="shared" ca="1" si="10"/>
        <v>0.00%</v>
      </c>
      <c r="S52" s="806">
        <v>0</v>
      </c>
      <c r="T52" s="806">
        <v>0</v>
      </c>
      <c r="U52" s="819">
        <v>0</v>
      </c>
      <c r="V52" s="1118">
        <v>0</v>
      </c>
      <c r="W52" s="1259">
        <v>0</v>
      </c>
      <c r="X52" s="1255">
        <v>0</v>
      </c>
      <c r="Y52" s="806">
        <v>0</v>
      </c>
      <c r="Z52" s="806">
        <v>0</v>
      </c>
      <c r="AA52" s="541">
        <v>0</v>
      </c>
      <c r="AB52" s="1255">
        <v>0</v>
      </c>
      <c r="AC52" s="541">
        <v>0</v>
      </c>
      <c r="AD52" s="1259">
        <v>0</v>
      </c>
      <c r="AE52" s="1405">
        <v>0</v>
      </c>
      <c r="AF52" s="1176">
        <v>0</v>
      </c>
      <c r="AG52" s="1147">
        <v>0</v>
      </c>
      <c r="AH52" s="1255">
        <v>0</v>
      </c>
      <c r="AI52" s="1466">
        <v>0</v>
      </c>
      <c r="AJ52" s="1255">
        <v>0</v>
      </c>
      <c r="AK52" s="806">
        <v>0</v>
      </c>
      <c r="AL52" s="541">
        <v>0</v>
      </c>
      <c r="AM52" s="806">
        <v>0</v>
      </c>
      <c r="AN52" s="239"/>
      <c r="AO52" s="5"/>
      <c r="AP52" s="5"/>
      <c r="AQ52" s="5"/>
      <c r="AR52" s="5"/>
    </row>
    <row r="53" spans="1:44" ht="15" customHeight="1" x14ac:dyDescent="0.2">
      <c r="B53" s="24"/>
      <c r="C53" s="28"/>
      <c r="D53" s="545" t="s">
        <v>1054</v>
      </c>
      <c r="E53" s="29"/>
      <c r="F53" s="642" t="s">
        <v>1021</v>
      </c>
      <c r="G53" s="528" t="s">
        <v>1022</v>
      </c>
      <c r="H53" s="241">
        <v>0</v>
      </c>
      <c r="I53" s="4">
        <f>+'P05 2023'!DH3</f>
        <v>30570604</v>
      </c>
      <c r="J53" s="18">
        <f ca="1">SUMIF(S$3:$AM$3,"ok",S53:AL53)</f>
        <v>11523725</v>
      </c>
      <c r="K53" s="547">
        <f t="shared" ref="K53" ca="1" si="16">IFERROR(J53/I53,"0,00%")</f>
        <v>0.3769544429020768</v>
      </c>
      <c r="L53" s="97">
        <f>+'P05 2023'!DI4</f>
        <v>11523725</v>
      </c>
      <c r="M53" s="692">
        <f t="shared" ref="M53" si="17">IFERROR(L53/I53,0)</f>
        <v>0.3769544429020768</v>
      </c>
      <c r="N53" s="97">
        <f>+I53-L53</f>
        <v>19046879</v>
      </c>
      <c r="O53" s="594">
        <f t="shared" ref="O53" si="18">+IFERROR(N53/I53,0)</f>
        <v>0.6230455570979232</v>
      </c>
      <c r="P53" s="819">
        <f>++'P05 2022'!BE42</f>
        <v>0</v>
      </c>
      <c r="Q53" s="830">
        <f ca="1">SUMIF(S$3:$AM20,"SI",S53:AM53)</f>
        <v>0</v>
      </c>
      <c r="R53" s="678" t="str">
        <f t="shared" ref="R53" ca="1" si="19">IFERROR(Q53/P53,"0.00%")</f>
        <v>0.00%</v>
      </c>
      <c r="S53" s="806">
        <v>0</v>
      </c>
      <c r="T53" s="806">
        <v>0</v>
      </c>
      <c r="U53" s="819">
        <v>0</v>
      </c>
      <c r="V53" s="1118">
        <v>0</v>
      </c>
      <c r="W53" s="1259">
        <v>0</v>
      </c>
      <c r="X53" s="1255">
        <v>0</v>
      </c>
      <c r="Y53" s="806">
        <v>0</v>
      </c>
      <c r="Z53" s="806">
        <v>0</v>
      </c>
      <c r="AA53" s="541">
        <v>0</v>
      </c>
      <c r="AB53" s="1255">
        <v>0</v>
      </c>
      <c r="AC53" s="541">
        <v>0</v>
      </c>
      <c r="AD53" s="1259">
        <v>0</v>
      </c>
      <c r="AE53" s="1405">
        <f>+'P05 2023'!BT4</f>
        <v>4150429</v>
      </c>
      <c r="AF53" s="1176">
        <v>0</v>
      </c>
      <c r="AG53" s="1147">
        <v>0</v>
      </c>
      <c r="AH53" s="1255">
        <v>0</v>
      </c>
      <c r="AI53" s="1466">
        <f>+'P05 2023'!CZ3</f>
        <v>7373296</v>
      </c>
      <c r="AJ53" s="1255"/>
      <c r="AK53" s="806"/>
      <c r="AL53" s="541"/>
      <c r="AM53" s="806"/>
      <c r="AN53" s="239"/>
      <c r="AO53" s="5"/>
      <c r="AP53" s="5"/>
      <c r="AQ53" s="5"/>
      <c r="AR53" s="5"/>
    </row>
    <row r="54" spans="1:44" ht="15" hidden="1" customHeight="1" x14ac:dyDescent="0.2">
      <c r="B54" s="24"/>
      <c r="C54" s="28"/>
      <c r="D54" s="49" t="s">
        <v>766</v>
      </c>
      <c r="E54" s="29"/>
      <c r="F54" s="642">
        <v>3302107</v>
      </c>
      <c r="G54" s="528" t="s">
        <v>687</v>
      </c>
      <c r="H54" s="241">
        <v>0</v>
      </c>
      <c r="I54" s="4">
        <v>0</v>
      </c>
      <c r="J54" s="18">
        <f ca="1">SUMIF(T$3:$AM42,"ok",T54:AM54)</f>
        <v>0</v>
      </c>
      <c r="K54" s="547" t="str">
        <f t="shared" ca="1" si="14"/>
        <v>0,00%</v>
      </c>
      <c r="L54" s="97">
        <v>0</v>
      </c>
      <c r="M54" s="692">
        <f t="shared" si="13"/>
        <v>0</v>
      </c>
      <c r="N54" s="97">
        <v>0</v>
      </c>
      <c r="O54" s="594">
        <f t="shared" si="15"/>
        <v>0</v>
      </c>
      <c r="P54" s="819">
        <f>++'P05 2022'!BE42</f>
        <v>0</v>
      </c>
      <c r="Q54" s="830">
        <f ca="1">SUMIF(S$3:$AM20,"SI",S54:AM54)</f>
        <v>0</v>
      </c>
      <c r="R54" s="678" t="str">
        <f t="shared" ca="1" si="10"/>
        <v>0.00%</v>
      </c>
      <c r="S54" s="806">
        <v>0</v>
      </c>
      <c r="T54" s="806">
        <v>0</v>
      </c>
      <c r="U54" s="819">
        <v>0</v>
      </c>
      <c r="V54" s="1118">
        <v>0</v>
      </c>
      <c r="W54" s="1259">
        <v>0</v>
      </c>
      <c r="X54" s="1255">
        <v>0</v>
      </c>
      <c r="Y54" s="806">
        <v>0</v>
      </c>
      <c r="Z54" s="806">
        <v>0</v>
      </c>
      <c r="AA54" s="541">
        <v>0</v>
      </c>
      <c r="AB54" s="1255">
        <v>0</v>
      </c>
      <c r="AC54" s="541">
        <v>0</v>
      </c>
      <c r="AD54" s="1259">
        <v>0</v>
      </c>
      <c r="AE54" s="1405">
        <v>0</v>
      </c>
      <c r="AF54" s="1176">
        <v>0</v>
      </c>
      <c r="AG54" s="1147">
        <v>0</v>
      </c>
      <c r="AH54" s="1255">
        <v>0</v>
      </c>
      <c r="AI54" s="1466">
        <v>0</v>
      </c>
      <c r="AJ54" s="1255">
        <v>0</v>
      </c>
      <c r="AK54" s="806">
        <v>0</v>
      </c>
      <c r="AL54" s="541">
        <v>0</v>
      </c>
      <c r="AM54" s="806">
        <v>0</v>
      </c>
      <c r="AN54" s="239"/>
      <c r="AO54" s="771"/>
      <c r="AP54" s="771"/>
    </row>
    <row r="55" spans="1:44" ht="15" hidden="1" customHeight="1" x14ac:dyDescent="0.2">
      <c r="B55" s="356"/>
      <c r="C55" s="357"/>
      <c r="D55" s="361" t="s">
        <v>767</v>
      </c>
      <c r="E55" s="358"/>
      <c r="F55" s="188">
        <v>3302914</v>
      </c>
      <c r="G55" s="493" t="s">
        <v>539</v>
      </c>
      <c r="H55" s="342">
        <v>0</v>
      </c>
      <c r="I55" s="323">
        <v>0</v>
      </c>
      <c r="J55" s="97">
        <f ca="1">SUMIF(T$3:$AM43,"ok",T55:AM55)</f>
        <v>0</v>
      </c>
      <c r="K55" s="547" t="str">
        <f t="shared" ca="1" si="14"/>
        <v>0,00%</v>
      </c>
      <c r="L55" s="97">
        <v>0</v>
      </c>
      <c r="M55" s="694">
        <f t="shared" si="13"/>
        <v>0</v>
      </c>
      <c r="N55" s="97">
        <v>0</v>
      </c>
      <c r="O55" s="596">
        <f t="shared" si="15"/>
        <v>0</v>
      </c>
      <c r="P55" s="819">
        <f>++'P05 2022'!BE43</f>
        <v>0</v>
      </c>
      <c r="Q55" s="830">
        <f ca="1">SUMIF(S$3:$AM21,"SI",S55:AM55)</f>
        <v>0</v>
      </c>
      <c r="R55" s="680" t="str">
        <f t="shared" ca="1" si="10"/>
        <v>0.00%</v>
      </c>
      <c r="S55" s="806">
        <v>0</v>
      </c>
      <c r="T55" s="806">
        <v>0</v>
      </c>
      <c r="U55" s="819">
        <v>0</v>
      </c>
      <c r="V55" s="1118">
        <v>0</v>
      </c>
      <c r="W55" s="1259">
        <v>0</v>
      </c>
      <c r="X55" s="1255">
        <v>0</v>
      </c>
      <c r="Y55" s="806">
        <v>0</v>
      </c>
      <c r="Z55" s="806">
        <v>0</v>
      </c>
      <c r="AA55" s="541">
        <v>0</v>
      </c>
      <c r="AB55" s="1255">
        <v>0</v>
      </c>
      <c r="AC55" s="541">
        <v>0</v>
      </c>
      <c r="AD55" s="1259">
        <v>0</v>
      </c>
      <c r="AE55" s="1405">
        <v>0</v>
      </c>
      <c r="AF55" s="1176">
        <v>0</v>
      </c>
      <c r="AG55" s="1147">
        <v>0</v>
      </c>
      <c r="AH55" s="1255">
        <v>0</v>
      </c>
      <c r="AI55" s="1466">
        <v>0</v>
      </c>
      <c r="AJ55" s="1255">
        <v>0</v>
      </c>
      <c r="AK55" s="806">
        <v>0</v>
      </c>
      <c r="AL55" s="541">
        <v>0</v>
      </c>
      <c r="AM55" s="806">
        <v>0</v>
      </c>
      <c r="AN55" s="239"/>
      <c r="AO55" s="771"/>
      <c r="AP55" s="771"/>
    </row>
    <row r="56" spans="1:44" ht="15" hidden="1" customHeight="1" x14ac:dyDescent="0.2">
      <c r="B56" s="24"/>
      <c r="C56" s="28"/>
      <c r="D56" s="49" t="s">
        <v>768</v>
      </c>
      <c r="E56" s="29"/>
      <c r="F56" s="642">
        <v>3302916</v>
      </c>
      <c r="G56" s="548" t="s">
        <v>316</v>
      </c>
      <c r="H56" s="241">
        <v>0</v>
      </c>
      <c r="I56" s="4">
        <v>0</v>
      </c>
      <c r="J56" s="18">
        <f ca="1">SUMIF(T$3:$AM44,"ok",T56:AM56)</f>
        <v>0</v>
      </c>
      <c r="K56" s="547" t="str">
        <f t="shared" ca="1" si="14"/>
        <v>0,00%</v>
      </c>
      <c r="L56" s="97">
        <v>0</v>
      </c>
      <c r="M56" s="692">
        <f t="shared" si="13"/>
        <v>0</v>
      </c>
      <c r="N56" s="97">
        <v>0</v>
      </c>
      <c r="O56" s="594">
        <f t="shared" si="15"/>
        <v>0</v>
      </c>
      <c r="P56" s="819">
        <f>++'P05 2022'!BE44</f>
        <v>0</v>
      </c>
      <c r="Q56" s="830">
        <f ca="1">SUMIF(S$3:$AM22,"SI",S56:AM56)</f>
        <v>0</v>
      </c>
      <c r="R56" s="678" t="str">
        <f t="shared" ca="1" si="10"/>
        <v>0.00%</v>
      </c>
      <c r="S56" s="806">
        <v>0</v>
      </c>
      <c r="T56" s="806">
        <v>0</v>
      </c>
      <c r="U56" s="819">
        <v>0</v>
      </c>
      <c r="V56" s="1118">
        <v>0</v>
      </c>
      <c r="W56" s="1259">
        <v>0</v>
      </c>
      <c r="X56" s="1255">
        <v>0</v>
      </c>
      <c r="Y56" s="806">
        <v>0</v>
      </c>
      <c r="Z56" s="806">
        <v>0</v>
      </c>
      <c r="AA56" s="541">
        <v>0</v>
      </c>
      <c r="AB56" s="1255">
        <v>0</v>
      </c>
      <c r="AC56" s="541">
        <v>0</v>
      </c>
      <c r="AD56" s="1259">
        <v>0</v>
      </c>
      <c r="AE56" s="1405">
        <v>0</v>
      </c>
      <c r="AF56" s="1176">
        <v>0</v>
      </c>
      <c r="AG56" s="1147">
        <v>0</v>
      </c>
      <c r="AH56" s="1255">
        <v>0</v>
      </c>
      <c r="AI56" s="1466">
        <v>0</v>
      </c>
      <c r="AJ56" s="1255">
        <v>0</v>
      </c>
      <c r="AK56" s="806">
        <v>0</v>
      </c>
      <c r="AL56" s="541">
        <v>0</v>
      </c>
      <c r="AM56" s="806">
        <v>0</v>
      </c>
      <c r="AO56" s="771"/>
      <c r="AP56" s="771"/>
    </row>
    <row r="57" spans="1:44" ht="15" customHeight="1" x14ac:dyDescent="0.2">
      <c r="B57" s="24"/>
      <c r="C57" s="28"/>
      <c r="D57" s="49" t="s">
        <v>691</v>
      </c>
      <c r="E57" s="29"/>
      <c r="F57" s="642">
        <v>3302020</v>
      </c>
      <c r="G57" s="528" t="s">
        <v>781</v>
      </c>
      <c r="H57" s="241">
        <v>0</v>
      </c>
      <c r="I57" s="4">
        <v>0</v>
      </c>
      <c r="J57" s="18">
        <f ca="1">SUMIF(T$3:$AM45,"ok",T57:AM57)</f>
        <v>0</v>
      </c>
      <c r="K57" s="547" t="str">
        <f ca="1">IFERROR(J57/#REF!,"0,00%")</f>
        <v>0,00%</v>
      </c>
      <c r="L57" s="97">
        <v>0</v>
      </c>
      <c r="M57" s="692">
        <f>IFERROR(#REF!/#REF!,0)</f>
        <v>0</v>
      </c>
      <c r="N57" s="97">
        <f>+I57-L57</f>
        <v>0</v>
      </c>
      <c r="O57" s="594">
        <f>+IFERROR(N57/#REF!,0)</f>
        <v>0</v>
      </c>
      <c r="P57" s="813">
        <f>+'P05 2022'!EN5</f>
        <v>26729363.544999998</v>
      </c>
      <c r="Q57" s="830">
        <f ca="1">SUMIF(S$3:$AM23,"SI",S57:AM57)</f>
        <v>0</v>
      </c>
      <c r="R57" s="678">
        <f ca="1">IFERROR(Q57/P57,"0,0%")</f>
        <v>0</v>
      </c>
      <c r="S57" s="806">
        <v>0</v>
      </c>
      <c r="T57" s="806">
        <v>0</v>
      </c>
      <c r="U57" s="819">
        <v>0</v>
      </c>
      <c r="V57" s="1118">
        <v>0</v>
      </c>
      <c r="W57" s="1259">
        <v>0</v>
      </c>
      <c r="X57" s="1255">
        <v>0</v>
      </c>
      <c r="Y57" s="806">
        <v>0</v>
      </c>
      <c r="Z57" s="806">
        <v>0</v>
      </c>
      <c r="AA57" s="541">
        <v>0</v>
      </c>
      <c r="AB57" s="1255">
        <v>0</v>
      </c>
      <c r="AC57" s="541">
        <v>0</v>
      </c>
      <c r="AD57" s="1259">
        <v>0</v>
      </c>
      <c r="AE57" s="1405">
        <v>0</v>
      </c>
      <c r="AF57" s="1176">
        <v>0</v>
      </c>
      <c r="AG57" s="1147">
        <v>0</v>
      </c>
      <c r="AH57" s="1255">
        <v>0</v>
      </c>
      <c r="AI57" s="1466">
        <v>0</v>
      </c>
      <c r="AJ57" s="1255">
        <v>0</v>
      </c>
      <c r="AK57" s="806">
        <f>+'P05 2022'!EX3</f>
        <v>4635810</v>
      </c>
      <c r="AL57" s="541">
        <v>0</v>
      </c>
      <c r="AM57" s="844">
        <f>+'P05 2022'!GQ4</f>
        <v>33073588</v>
      </c>
      <c r="AO57" s="753"/>
      <c r="AP57" s="771"/>
    </row>
    <row r="58" spans="1:44" ht="15" customHeight="1" x14ac:dyDescent="0.2">
      <c r="B58" s="20"/>
      <c r="C58" s="26" t="s">
        <v>167</v>
      </c>
      <c r="D58" s="27"/>
      <c r="E58" s="23"/>
      <c r="F58" s="189"/>
      <c r="G58" s="527" t="s">
        <v>211</v>
      </c>
      <c r="H58" s="219">
        <f>SUM(H59:H69)</f>
        <v>113525861</v>
      </c>
      <c r="I58" s="16">
        <f>SUM(I59:I69)</f>
        <v>4352795</v>
      </c>
      <c r="J58" s="16">
        <f ca="1">SUMIF(T$3:$AM42,"ok",T58:AM58)</f>
        <v>0</v>
      </c>
      <c r="K58" s="314">
        <f ca="1">IFERROR(J58/I58,"0,0%")</f>
        <v>0</v>
      </c>
      <c r="L58" s="359">
        <v>0</v>
      </c>
      <c r="M58" s="693">
        <f t="shared" si="13"/>
        <v>0</v>
      </c>
      <c r="N58" s="1393">
        <f>+I58-L58</f>
        <v>4352795</v>
      </c>
      <c r="O58" s="314">
        <f t="shared" si="15"/>
        <v>1</v>
      </c>
      <c r="P58" s="812">
        <f>+SUM(P59:P69)</f>
        <v>46045435.247999996</v>
      </c>
      <c r="Q58" s="829">
        <f ca="1">SUM(Q59:Q69)</f>
        <v>0</v>
      </c>
      <c r="R58" s="679">
        <f ca="1">IFERROR(Q58/P58,"0.00%")</f>
        <v>0</v>
      </c>
      <c r="S58" s="805">
        <v>0</v>
      </c>
      <c r="T58" s="807">
        <f t="shared" ref="T58:V58" si="20">SUM(T59:T69)</f>
        <v>0</v>
      </c>
      <c r="U58" s="805">
        <v>0</v>
      </c>
      <c r="V58" s="805">
        <f t="shared" ca="1" si="20"/>
        <v>0</v>
      </c>
      <c r="W58" s="1177">
        <v>0</v>
      </c>
      <c r="X58" s="364">
        <v>0</v>
      </c>
      <c r="Y58" s="807">
        <v>0</v>
      </c>
      <c r="Z58" s="807">
        <v>0</v>
      </c>
      <c r="AA58" s="1211">
        <v>0</v>
      </c>
      <c r="AB58" s="364"/>
      <c r="AC58" s="1211">
        <v>0</v>
      </c>
      <c r="AD58" s="1177">
        <f>SUM(AD59:AD69)</f>
        <v>0</v>
      </c>
      <c r="AE58" s="1163">
        <v>0</v>
      </c>
      <c r="AF58" s="238">
        <v>0</v>
      </c>
      <c r="AG58" s="242">
        <v>0</v>
      </c>
      <c r="AH58" s="364">
        <v>0</v>
      </c>
      <c r="AI58" s="1542">
        <v>0</v>
      </c>
      <c r="AJ58" s="1792">
        <v>0</v>
      </c>
      <c r="AK58" s="838">
        <v>0</v>
      </c>
      <c r="AL58" s="606">
        <v>0</v>
      </c>
      <c r="AM58" s="838">
        <v>0</v>
      </c>
      <c r="AO58" s="753"/>
      <c r="AP58" s="771"/>
    </row>
    <row r="59" spans="1:44" ht="15" customHeight="1" x14ac:dyDescent="0.2">
      <c r="B59" s="24"/>
      <c r="C59" s="125"/>
      <c r="D59" s="49" t="s">
        <v>169</v>
      </c>
      <c r="E59" s="25"/>
      <c r="F59" s="642">
        <v>3303001</v>
      </c>
      <c r="G59" s="528" t="s">
        <v>121</v>
      </c>
      <c r="H59" s="216">
        <f>+'P05 2023'!G3</f>
        <v>76538652</v>
      </c>
      <c r="I59" s="97">
        <f>+'P05 2023'!DH5</f>
        <v>0</v>
      </c>
      <c r="J59" s="18">
        <f ca="1">SUMIF(T$3:$AM43,"ok",T59:AM59)</f>
        <v>0</v>
      </c>
      <c r="K59" s="362" t="str">
        <f ca="1">IFERROR(J59/I59,"0,00%")</f>
        <v>0,00%</v>
      </c>
      <c r="L59" s="97">
        <v>0</v>
      </c>
      <c r="M59" s="695">
        <f t="shared" ref="M59:M70" si="21">IFERROR(L59/I59,0)</f>
        <v>0</v>
      </c>
      <c r="N59" s="97">
        <f>+I59-L59</f>
        <v>0</v>
      </c>
      <c r="O59" s="594">
        <f t="shared" si="15"/>
        <v>0</v>
      </c>
      <c r="P59" s="813">
        <f>+'P05 2022'!EN6</f>
        <v>40378316.497999996</v>
      </c>
      <c r="Q59" s="831">
        <f>SUMIF(S$3:$AM3,"SI",S59:AM59)</f>
        <v>0</v>
      </c>
      <c r="R59" s="681">
        <f>IFERROR(Q59/P59,"0,0%")</f>
        <v>0</v>
      </c>
      <c r="S59" s="806">
        <v>0</v>
      </c>
      <c r="T59" s="841">
        <v>0</v>
      </c>
      <c r="U59" s="841">
        <v>0</v>
      </c>
      <c r="V59" s="841">
        <v>0</v>
      </c>
      <c r="W59" s="1260">
        <v>0</v>
      </c>
      <c r="X59" s="1256">
        <v>0</v>
      </c>
      <c r="Y59" s="841">
        <v>0</v>
      </c>
      <c r="Z59" s="841">
        <v>0</v>
      </c>
      <c r="AA59" s="540">
        <v>0</v>
      </c>
      <c r="AB59" s="1256">
        <v>0</v>
      </c>
      <c r="AC59" s="540">
        <v>0</v>
      </c>
      <c r="AD59" s="1260">
        <v>0</v>
      </c>
      <c r="AE59" s="1405">
        <v>0</v>
      </c>
      <c r="AF59" s="1259">
        <v>0</v>
      </c>
      <c r="AG59" s="1405">
        <v>0</v>
      </c>
      <c r="AH59" s="1255">
        <v>0</v>
      </c>
      <c r="AI59" s="1466">
        <v>0</v>
      </c>
      <c r="AJ59" s="1255">
        <v>0</v>
      </c>
      <c r="AK59" s="806">
        <v>0</v>
      </c>
      <c r="AL59" s="541">
        <v>0</v>
      </c>
      <c r="AM59" s="806">
        <v>0</v>
      </c>
      <c r="AO59" s="753"/>
      <c r="AP59" s="771"/>
    </row>
    <row r="60" spans="1:44" ht="15" customHeight="1" x14ac:dyDescent="0.2">
      <c r="B60" s="24"/>
      <c r="C60" s="125"/>
      <c r="D60" s="49" t="s">
        <v>714</v>
      </c>
      <c r="E60" s="25"/>
      <c r="F60" s="642">
        <v>3303432</v>
      </c>
      <c r="G60" s="528" t="s">
        <v>713</v>
      </c>
      <c r="H60" s="216">
        <f>+'P05 2023'!G4</f>
        <v>36987209</v>
      </c>
      <c r="I60" s="97">
        <f>+'P05 2023'!DH6</f>
        <v>4352795</v>
      </c>
      <c r="J60" s="18">
        <f ca="1">SUMIF(T$3:$AM45,"ok",T60:AM60)</f>
        <v>0</v>
      </c>
      <c r="K60" s="362">
        <f t="shared" ref="K60:K69" ca="1" si="22">IFERROR(J60/I60,"0,00%")</f>
        <v>0</v>
      </c>
      <c r="L60" s="97">
        <v>0</v>
      </c>
      <c r="M60" s="695">
        <f t="shared" si="21"/>
        <v>0</v>
      </c>
      <c r="N60" s="97">
        <f>+I60-L60</f>
        <v>4352795</v>
      </c>
      <c r="O60" s="594">
        <f t="shared" si="15"/>
        <v>1</v>
      </c>
      <c r="P60" s="813">
        <f>+'P05 2022'!EN7</f>
        <v>5667118.75</v>
      </c>
      <c r="Q60" s="831">
        <f ca="1">SUMIF(S$3:$AM4,"SI",S60:AM60)</f>
        <v>0</v>
      </c>
      <c r="R60" s="678">
        <f ca="1">IFERROR(Q60/P60,"0,0%")</f>
        <v>0</v>
      </c>
      <c r="S60" s="806">
        <v>0</v>
      </c>
      <c r="T60" s="806">
        <v>0</v>
      </c>
      <c r="U60" s="806">
        <v>0</v>
      </c>
      <c r="V60" s="806">
        <v>0</v>
      </c>
      <c r="W60" s="1259">
        <v>0</v>
      </c>
      <c r="X60" s="1255">
        <v>0</v>
      </c>
      <c r="Y60" s="841">
        <v>0</v>
      </c>
      <c r="Z60" s="841">
        <v>0</v>
      </c>
      <c r="AA60" s="540">
        <v>0</v>
      </c>
      <c r="AB60" s="1255">
        <v>0</v>
      </c>
      <c r="AC60" s="540">
        <v>0</v>
      </c>
      <c r="AD60" s="1259">
        <v>0</v>
      </c>
      <c r="AE60" s="1405">
        <v>0</v>
      </c>
      <c r="AF60" s="1259">
        <v>0</v>
      </c>
      <c r="AG60" s="1405">
        <v>0</v>
      </c>
      <c r="AH60" s="1255">
        <v>0</v>
      </c>
      <c r="AI60" s="1466">
        <v>0</v>
      </c>
      <c r="AJ60" s="1255">
        <v>0</v>
      </c>
      <c r="AK60" s="806">
        <v>0</v>
      </c>
      <c r="AL60" s="541">
        <v>0</v>
      </c>
      <c r="AM60" s="806">
        <v>0</v>
      </c>
      <c r="AO60" s="771"/>
      <c r="AP60" s="771"/>
    </row>
    <row r="61" spans="1:44" s="123" customFormat="1" ht="15" hidden="1" customHeight="1" x14ac:dyDescent="0.2">
      <c r="A61" s="311"/>
      <c r="B61" s="144"/>
      <c r="C61" s="360"/>
      <c r="D61" s="361" t="s">
        <v>193</v>
      </c>
      <c r="E61" s="25"/>
      <c r="F61" s="188">
        <v>3303017</v>
      </c>
      <c r="G61" s="528" t="s">
        <v>247</v>
      </c>
      <c r="H61" s="218">
        <v>0</v>
      </c>
      <c r="I61" s="97">
        <v>0</v>
      </c>
      <c r="J61" s="97">
        <v>0</v>
      </c>
      <c r="K61" s="362" t="str">
        <f t="shared" si="22"/>
        <v>0,00%</v>
      </c>
      <c r="L61" s="97">
        <v>0</v>
      </c>
      <c r="M61" s="695">
        <f t="shared" si="21"/>
        <v>0</v>
      </c>
      <c r="N61" s="97">
        <v>0</v>
      </c>
      <c r="O61" s="595">
        <f t="shared" ref="O61:O70" si="23">+IFERROR(N61/I61,0)</f>
        <v>0</v>
      </c>
      <c r="P61" s="821">
        <v>0</v>
      </c>
      <c r="Q61" s="831">
        <f ca="1">SUMIF(S$3:$AM5,"SI",S61:AM61)</f>
        <v>0</v>
      </c>
      <c r="R61" s="678" t="str">
        <f t="shared" ref="R61:R69" ca="1" si="24">IFERROR(Q61/P61,"0,0%")</f>
        <v>0,0%</v>
      </c>
      <c r="S61" s="806">
        <v>0</v>
      </c>
      <c r="T61" s="808">
        <v>0</v>
      </c>
      <c r="U61" s="808">
        <v>0</v>
      </c>
      <c r="V61" s="808">
        <f ca="1">SUMIF(Z$3:$AM43,"SI",Z61:AM61)</f>
        <v>0</v>
      </c>
      <c r="W61" s="1260">
        <v>0</v>
      </c>
      <c r="X61" s="1256">
        <v>0</v>
      </c>
      <c r="Y61" s="841">
        <v>0</v>
      </c>
      <c r="Z61" s="841">
        <v>0</v>
      </c>
      <c r="AA61" s="540">
        <v>0</v>
      </c>
      <c r="AB61" s="1255">
        <v>0</v>
      </c>
      <c r="AC61" s="540">
        <v>0</v>
      </c>
      <c r="AD61" s="1259">
        <v>0</v>
      </c>
      <c r="AE61" s="1405">
        <v>0</v>
      </c>
      <c r="AF61" s="1259">
        <v>0</v>
      </c>
      <c r="AG61" s="1405">
        <v>0</v>
      </c>
      <c r="AH61" s="1255">
        <v>0</v>
      </c>
      <c r="AI61" s="1466">
        <v>0</v>
      </c>
      <c r="AJ61" s="1255">
        <v>0</v>
      </c>
      <c r="AK61" s="806">
        <v>0</v>
      </c>
      <c r="AL61" s="541">
        <v>0</v>
      </c>
      <c r="AM61" s="806">
        <v>0</v>
      </c>
      <c r="AO61" s="771"/>
      <c r="AP61" s="771"/>
      <c r="AQ61" s="771"/>
      <c r="AR61" s="771"/>
    </row>
    <row r="62" spans="1:44" s="123" customFormat="1" ht="15" hidden="1" customHeight="1" x14ac:dyDescent="0.2">
      <c r="A62" s="311"/>
      <c r="B62" s="144"/>
      <c r="C62" s="360"/>
      <c r="D62" s="361" t="s">
        <v>194</v>
      </c>
      <c r="E62" s="25"/>
      <c r="F62" s="188">
        <v>3303021</v>
      </c>
      <c r="G62" s="528" t="s">
        <v>248</v>
      </c>
      <c r="H62" s="218">
        <v>0</v>
      </c>
      <c r="I62" s="97">
        <v>0</v>
      </c>
      <c r="J62" s="97">
        <v>0</v>
      </c>
      <c r="K62" s="362" t="str">
        <f t="shared" si="22"/>
        <v>0,00%</v>
      </c>
      <c r="L62" s="97">
        <v>0</v>
      </c>
      <c r="M62" s="695">
        <f t="shared" si="21"/>
        <v>0</v>
      </c>
      <c r="N62" s="97">
        <v>0</v>
      </c>
      <c r="O62" s="595">
        <f t="shared" si="23"/>
        <v>0</v>
      </c>
      <c r="P62" s="821">
        <v>0</v>
      </c>
      <c r="Q62" s="831">
        <f ca="1">SUMIF(S$3:$AM6,"SI",S62:AM62)</f>
        <v>0</v>
      </c>
      <c r="R62" s="678" t="str">
        <f t="shared" ca="1" si="24"/>
        <v>0,0%</v>
      </c>
      <c r="S62" s="806">
        <v>0</v>
      </c>
      <c r="T62" s="808">
        <v>0</v>
      </c>
      <c r="U62" s="841">
        <v>0</v>
      </c>
      <c r="V62" s="808">
        <f ca="1">SUMIF(Z$3:$AM44,"SI",Z62:AM62)</f>
        <v>0</v>
      </c>
      <c r="W62" s="1259">
        <v>0</v>
      </c>
      <c r="X62" s="1255">
        <v>0</v>
      </c>
      <c r="Y62" s="841">
        <v>0</v>
      </c>
      <c r="Z62" s="841">
        <v>0</v>
      </c>
      <c r="AA62" s="540">
        <v>0</v>
      </c>
      <c r="AB62" s="1255">
        <v>0</v>
      </c>
      <c r="AC62" s="540">
        <v>0</v>
      </c>
      <c r="AD62" s="1259">
        <v>0</v>
      </c>
      <c r="AE62" s="1405">
        <v>0</v>
      </c>
      <c r="AF62" s="1259">
        <v>0</v>
      </c>
      <c r="AG62" s="1405">
        <v>0</v>
      </c>
      <c r="AH62" s="1255">
        <v>0</v>
      </c>
      <c r="AI62" s="1466">
        <v>0</v>
      </c>
      <c r="AJ62" s="1255">
        <v>0</v>
      </c>
      <c r="AK62" s="806">
        <v>0</v>
      </c>
      <c r="AL62" s="541">
        <v>0</v>
      </c>
      <c r="AM62" s="806">
        <v>0</v>
      </c>
      <c r="AN62" s="239"/>
      <c r="AO62" s="771"/>
      <c r="AP62" s="771"/>
      <c r="AQ62" s="771"/>
      <c r="AR62" s="771"/>
    </row>
    <row r="63" spans="1:44" s="123" customFormat="1" ht="15" hidden="1" customHeight="1" x14ac:dyDescent="0.2">
      <c r="A63" s="311"/>
      <c r="B63" s="144"/>
      <c r="C63" s="360"/>
      <c r="D63" s="361" t="s">
        <v>196</v>
      </c>
      <c r="E63" s="25"/>
      <c r="F63" s="188">
        <v>3303025</v>
      </c>
      <c r="G63" s="528" t="s">
        <v>249</v>
      </c>
      <c r="H63" s="218">
        <v>0</v>
      </c>
      <c r="I63" s="97">
        <v>0</v>
      </c>
      <c r="J63" s="97">
        <v>0</v>
      </c>
      <c r="K63" s="362" t="str">
        <f t="shared" si="22"/>
        <v>0,00%</v>
      </c>
      <c r="L63" s="97">
        <v>0</v>
      </c>
      <c r="M63" s="695">
        <f t="shared" si="21"/>
        <v>0</v>
      </c>
      <c r="N63" s="97">
        <v>0</v>
      </c>
      <c r="O63" s="595">
        <f t="shared" si="23"/>
        <v>0</v>
      </c>
      <c r="P63" s="821">
        <f>++'P05 2022'!BE45</f>
        <v>0</v>
      </c>
      <c r="Q63" s="831">
        <f ca="1">SUMIF(S$3:$AM7,"SI",S63:AM63)</f>
        <v>0</v>
      </c>
      <c r="R63" s="678" t="str">
        <f t="shared" ca="1" si="24"/>
        <v>0,0%</v>
      </c>
      <c r="S63" s="806">
        <v>0</v>
      </c>
      <c r="T63" s="808">
        <v>0</v>
      </c>
      <c r="U63" s="806">
        <v>0</v>
      </c>
      <c r="V63" s="808">
        <f ca="1">SUMIF(Z$3:$AM45,"SI",Z63:AM63)</f>
        <v>0</v>
      </c>
      <c r="W63" s="1260">
        <v>0</v>
      </c>
      <c r="X63" s="1256">
        <v>0</v>
      </c>
      <c r="Y63" s="841">
        <v>0</v>
      </c>
      <c r="Z63" s="841">
        <v>0</v>
      </c>
      <c r="AA63" s="540">
        <v>0</v>
      </c>
      <c r="AB63" s="1255">
        <v>0</v>
      </c>
      <c r="AC63" s="540">
        <v>0</v>
      </c>
      <c r="AD63" s="1259">
        <v>0</v>
      </c>
      <c r="AE63" s="1405">
        <v>0</v>
      </c>
      <c r="AF63" s="1259">
        <v>0</v>
      </c>
      <c r="AG63" s="1405">
        <v>0</v>
      </c>
      <c r="AH63" s="1255">
        <v>0</v>
      </c>
      <c r="AI63" s="1466">
        <v>0</v>
      </c>
      <c r="AJ63" s="1255">
        <v>0</v>
      </c>
      <c r="AK63" s="806">
        <v>0</v>
      </c>
      <c r="AL63" s="541">
        <v>0</v>
      </c>
      <c r="AM63" s="806">
        <v>0</v>
      </c>
      <c r="AN63" s="239"/>
      <c r="AO63" s="771"/>
      <c r="AP63" s="771"/>
      <c r="AQ63" s="771"/>
      <c r="AR63" s="771"/>
    </row>
    <row r="64" spans="1:44" s="123" customFormat="1" ht="15" hidden="1" customHeight="1" x14ac:dyDescent="0.2">
      <c r="A64" s="311"/>
      <c r="B64" s="144"/>
      <c r="C64" s="360"/>
      <c r="D64" s="361" t="s">
        <v>197</v>
      </c>
      <c r="E64" s="25"/>
      <c r="F64" s="188">
        <v>3303130</v>
      </c>
      <c r="G64" s="528" t="s">
        <v>250</v>
      </c>
      <c r="H64" s="218">
        <v>0</v>
      </c>
      <c r="I64" s="97">
        <v>0</v>
      </c>
      <c r="J64" s="97">
        <v>0</v>
      </c>
      <c r="K64" s="362" t="str">
        <f t="shared" si="22"/>
        <v>0,00%</v>
      </c>
      <c r="L64" s="97">
        <v>0</v>
      </c>
      <c r="M64" s="695">
        <f t="shared" si="21"/>
        <v>0</v>
      </c>
      <c r="N64" s="97">
        <v>0</v>
      </c>
      <c r="O64" s="595">
        <f t="shared" si="23"/>
        <v>0</v>
      </c>
      <c r="P64" s="821">
        <v>0</v>
      </c>
      <c r="Q64" s="831">
        <f ca="1">SUMIF(S$3:$AM8,"SI",S64:AM64)</f>
        <v>0</v>
      </c>
      <c r="R64" s="678" t="str">
        <f t="shared" ca="1" si="24"/>
        <v>0,0%</v>
      </c>
      <c r="S64" s="806">
        <v>0</v>
      </c>
      <c r="T64" s="808">
        <v>0</v>
      </c>
      <c r="U64" s="808">
        <v>0</v>
      </c>
      <c r="V64" s="808">
        <f ca="1">SUMIF(Z$3:$AM46,"SI",Z64:AM64)</f>
        <v>0</v>
      </c>
      <c r="W64" s="1259">
        <v>0</v>
      </c>
      <c r="X64" s="1255">
        <v>0</v>
      </c>
      <c r="Y64" s="841">
        <v>0</v>
      </c>
      <c r="Z64" s="841">
        <v>0</v>
      </c>
      <c r="AA64" s="540">
        <v>0</v>
      </c>
      <c r="AB64" s="1255">
        <v>0</v>
      </c>
      <c r="AC64" s="540">
        <v>0</v>
      </c>
      <c r="AD64" s="1259">
        <v>0</v>
      </c>
      <c r="AE64" s="1405">
        <v>0</v>
      </c>
      <c r="AF64" s="1259">
        <v>0</v>
      </c>
      <c r="AG64" s="1405">
        <v>0</v>
      </c>
      <c r="AH64" s="1255">
        <v>0</v>
      </c>
      <c r="AI64" s="1466">
        <v>0</v>
      </c>
      <c r="AJ64" s="1255">
        <v>0</v>
      </c>
      <c r="AK64" s="806">
        <v>0</v>
      </c>
      <c r="AL64" s="541">
        <v>0</v>
      </c>
      <c r="AM64" s="806">
        <v>0</v>
      </c>
      <c r="AO64" s="771"/>
      <c r="AP64" s="771"/>
      <c r="AQ64" s="771"/>
      <c r="AR64" s="771"/>
    </row>
    <row r="65" spans="1:48" s="123" customFormat="1" ht="15" hidden="1" customHeight="1" x14ac:dyDescent="0.2">
      <c r="A65" s="311"/>
      <c r="B65" s="144"/>
      <c r="C65" s="360"/>
      <c r="D65" s="361" t="s">
        <v>198</v>
      </c>
      <c r="E65" s="25"/>
      <c r="F65" s="188">
        <v>3303190</v>
      </c>
      <c r="G65" s="528" t="s">
        <v>251</v>
      </c>
      <c r="H65" s="218">
        <v>0</v>
      </c>
      <c r="I65" s="97">
        <v>0</v>
      </c>
      <c r="J65" s="97">
        <v>0</v>
      </c>
      <c r="K65" s="362" t="str">
        <f t="shared" si="22"/>
        <v>0,00%</v>
      </c>
      <c r="L65" s="97">
        <v>0</v>
      </c>
      <c r="M65" s="695">
        <f t="shared" si="21"/>
        <v>0</v>
      </c>
      <c r="N65" s="97">
        <v>0</v>
      </c>
      <c r="O65" s="595">
        <f t="shared" si="23"/>
        <v>0</v>
      </c>
      <c r="P65" s="821">
        <v>0</v>
      </c>
      <c r="Q65" s="831">
        <f ca="1">SUMIF(S$3:$AM9,"SI",S65:AM65)</f>
        <v>0</v>
      </c>
      <c r="R65" s="678" t="str">
        <f t="shared" ca="1" si="24"/>
        <v>0,0%</v>
      </c>
      <c r="S65" s="806">
        <v>0</v>
      </c>
      <c r="T65" s="808">
        <v>0</v>
      </c>
      <c r="U65" s="841">
        <v>0</v>
      </c>
      <c r="V65" s="808">
        <f ca="1">SUMIF(Z$3:$AM47,"SI",Z65:AM65)</f>
        <v>0</v>
      </c>
      <c r="W65" s="1260">
        <v>0</v>
      </c>
      <c r="X65" s="1256">
        <v>0</v>
      </c>
      <c r="Y65" s="841">
        <v>0</v>
      </c>
      <c r="Z65" s="841">
        <v>0</v>
      </c>
      <c r="AA65" s="540">
        <v>0</v>
      </c>
      <c r="AB65" s="1255">
        <v>0</v>
      </c>
      <c r="AC65" s="540">
        <v>0</v>
      </c>
      <c r="AD65" s="1259">
        <v>0</v>
      </c>
      <c r="AE65" s="1405">
        <v>0</v>
      </c>
      <c r="AF65" s="1259">
        <v>0</v>
      </c>
      <c r="AG65" s="1405">
        <v>0</v>
      </c>
      <c r="AH65" s="1255">
        <v>0</v>
      </c>
      <c r="AI65" s="1466">
        <v>0</v>
      </c>
      <c r="AJ65" s="1255">
        <v>0</v>
      </c>
      <c r="AK65" s="806">
        <v>0</v>
      </c>
      <c r="AL65" s="541">
        <v>0</v>
      </c>
      <c r="AM65" s="806">
        <v>0</v>
      </c>
      <c r="AO65" s="771"/>
      <c r="AP65" s="771"/>
      <c r="AQ65" s="771"/>
      <c r="AR65" s="771"/>
    </row>
    <row r="66" spans="1:48" s="123" customFormat="1" ht="15" hidden="1" customHeight="1" x14ac:dyDescent="0.2">
      <c r="A66" s="311"/>
      <c r="B66" s="144"/>
      <c r="C66" s="360"/>
      <c r="D66" s="361" t="s">
        <v>199</v>
      </c>
      <c r="E66" s="25"/>
      <c r="F66" s="188">
        <v>3303418</v>
      </c>
      <c r="G66" s="528" t="s">
        <v>648</v>
      </c>
      <c r="H66" s="218">
        <v>0</v>
      </c>
      <c r="I66" s="97">
        <v>0</v>
      </c>
      <c r="J66" s="97">
        <v>0</v>
      </c>
      <c r="K66" s="362" t="str">
        <f t="shared" si="22"/>
        <v>0,00%</v>
      </c>
      <c r="L66" s="97">
        <v>0</v>
      </c>
      <c r="M66" s="695">
        <f t="shared" si="21"/>
        <v>0</v>
      </c>
      <c r="N66" s="97">
        <v>0</v>
      </c>
      <c r="O66" s="595">
        <f t="shared" si="23"/>
        <v>0</v>
      </c>
      <c r="P66" s="821">
        <v>0</v>
      </c>
      <c r="Q66" s="831">
        <f ca="1">SUMIF(S$3:$AM10,"SI",S66:AM66)</f>
        <v>0</v>
      </c>
      <c r="R66" s="678" t="str">
        <f t="shared" ca="1" si="24"/>
        <v>0,0%</v>
      </c>
      <c r="S66" s="806">
        <v>0</v>
      </c>
      <c r="T66" s="808">
        <v>0</v>
      </c>
      <c r="U66" s="806">
        <v>0</v>
      </c>
      <c r="V66" s="808">
        <f ca="1">SUMIF(Z$3:$AM48,"SI",Z66:AM66)</f>
        <v>0</v>
      </c>
      <c r="W66" s="1259">
        <v>0</v>
      </c>
      <c r="X66" s="1255">
        <v>0</v>
      </c>
      <c r="Y66" s="841">
        <v>0</v>
      </c>
      <c r="Z66" s="841">
        <v>0</v>
      </c>
      <c r="AA66" s="540">
        <v>0</v>
      </c>
      <c r="AB66" s="1255">
        <v>0</v>
      </c>
      <c r="AC66" s="540">
        <v>0</v>
      </c>
      <c r="AD66" s="1259">
        <v>0</v>
      </c>
      <c r="AE66" s="1405">
        <v>0</v>
      </c>
      <c r="AF66" s="1259">
        <v>0</v>
      </c>
      <c r="AG66" s="1405">
        <v>0</v>
      </c>
      <c r="AH66" s="1255">
        <v>0</v>
      </c>
      <c r="AI66" s="1466">
        <v>0</v>
      </c>
      <c r="AJ66" s="1255">
        <v>0</v>
      </c>
      <c r="AK66" s="806">
        <v>0</v>
      </c>
      <c r="AL66" s="541">
        <v>0</v>
      </c>
      <c r="AM66" s="806">
        <v>0</v>
      </c>
      <c r="AN66" s="239"/>
      <c r="AO66" s="771"/>
      <c r="AP66" s="771"/>
      <c r="AQ66" s="771"/>
      <c r="AR66" s="771"/>
    </row>
    <row r="67" spans="1:48" s="123" customFormat="1" ht="15" hidden="1" customHeight="1" x14ac:dyDescent="0.2">
      <c r="A67" s="311"/>
      <c r="B67" s="144"/>
      <c r="C67" s="360"/>
      <c r="D67" s="361" t="s">
        <v>200</v>
      </c>
      <c r="E67" s="25"/>
      <c r="F67" s="188">
        <v>3303421</v>
      </c>
      <c r="G67" s="528" t="s">
        <v>122</v>
      </c>
      <c r="H67" s="218">
        <v>0</v>
      </c>
      <c r="I67" s="97">
        <v>0</v>
      </c>
      <c r="J67" s="97">
        <v>0</v>
      </c>
      <c r="K67" s="362" t="str">
        <f t="shared" si="22"/>
        <v>0,00%</v>
      </c>
      <c r="L67" s="97">
        <v>0</v>
      </c>
      <c r="M67" s="695">
        <f t="shared" si="21"/>
        <v>0</v>
      </c>
      <c r="N67" s="97">
        <v>0</v>
      </c>
      <c r="O67" s="595">
        <f t="shared" si="23"/>
        <v>0</v>
      </c>
      <c r="P67" s="821">
        <f>++'P05 2022'!BE46</f>
        <v>0</v>
      </c>
      <c r="Q67" s="831">
        <f ca="1">SUMIF(S$3:$AM11,"SI",S67:AM67)</f>
        <v>0</v>
      </c>
      <c r="R67" s="678" t="str">
        <f t="shared" ca="1" si="24"/>
        <v>0,0%</v>
      </c>
      <c r="S67" s="806">
        <v>0</v>
      </c>
      <c r="T67" s="808">
        <v>0</v>
      </c>
      <c r="U67" s="808">
        <v>0</v>
      </c>
      <c r="V67" s="806">
        <v>0</v>
      </c>
      <c r="W67" s="1260">
        <v>0</v>
      </c>
      <c r="X67" s="1256">
        <v>0</v>
      </c>
      <c r="Y67" s="841">
        <v>0</v>
      </c>
      <c r="Z67" s="841">
        <v>0</v>
      </c>
      <c r="AA67" s="540">
        <v>0</v>
      </c>
      <c r="AB67" s="1255">
        <v>0</v>
      </c>
      <c r="AC67" s="540">
        <v>0</v>
      </c>
      <c r="AD67" s="1259">
        <v>0</v>
      </c>
      <c r="AE67" s="1405">
        <v>0</v>
      </c>
      <c r="AF67" s="1259">
        <v>0</v>
      </c>
      <c r="AG67" s="1405">
        <v>0</v>
      </c>
      <c r="AH67" s="1255">
        <v>0</v>
      </c>
      <c r="AI67" s="1466">
        <v>0</v>
      </c>
      <c r="AJ67" s="1255">
        <v>0</v>
      </c>
      <c r="AK67" s="806">
        <v>0</v>
      </c>
      <c r="AL67" s="541">
        <v>0</v>
      </c>
      <c r="AM67" s="806">
        <v>0</v>
      </c>
      <c r="AN67" s="239"/>
      <c r="AO67" s="771"/>
      <c r="AP67" s="771"/>
      <c r="AQ67" s="771"/>
      <c r="AR67" s="771"/>
    </row>
    <row r="68" spans="1:48" s="123" customFormat="1" ht="15" hidden="1" customHeight="1" x14ac:dyDescent="0.2">
      <c r="A68" s="311"/>
      <c r="B68" s="144"/>
      <c r="C68" s="360"/>
      <c r="D68" s="361" t="s">
        <v>201</v>
      </c>
      <c r="E68" s="25"/>
      <c r="F68" s="188">
        <v>3303426</v>
      </c>
      <c r="G68" s="528" t="s">
        <v>123</v>
      </c>
      <c r="H68" s="218">
        <v>0</v>
      </c>
      <c r="I68" s="97">
        <v>0</v>
      </c>
      <c r="J68" s="97">
        <v>0</v>
      </c>
      <c r="K68" s="362" t="str">
        <f t="shared" si="22"/>
        <v>0,00%</v>
      </c>
      <c r="L68" s="97">
        <v>0</v>
      </c>
      <c r="M68" s="695">
        <f t="shared" si="21"/>
        <v>0</v>
      </c>
      <c r="N68" s="97">
        <v>0</v>
      </c>
      <c r="O68" s="595">
        <f t="shared" si="23"/>
        <v>0</v>
      </c>
      <c r="P68" s="821">
        <f>++'P05 2022'!BE58</f>
        <v>0</v>
      </c>
      <c r="Q68" s="831">
        <f ca="1">SUMIF(S$3:$AM12,"SI",S68:AM68)</f>
        <v>0</v>
      </c>
      <c r="R68" s="678" t="str">
        <f t="shared" ca="1" si="24"/>
        <v>0,0%</v>
      </c>
      <c r="S68" s="806">
        <v>0</v>
      </c>
      <c r="T68" s="808">
        <v>0</v>
      </c>
      <c r="U68" s="841">
        <v>0</v>
      </c>
      <c r="V68" s="806">
        <v>0</v>
      </c>
      <c r="W68" s="1259">
        <v>0</v>
      </c>
      <c r="X68" s="1255">
        <v>0</v>
      </c>
      <c r="Y68" s="841">
        <v>0</v>
      </c>
      <c r="Z68" s="841">
        <v>0</v>
      </c>
      <c r="AA68" s="540">
        <v>0</v>
      </c>
      <c r="AB68" s="1255">
        <v>0</v>
      </c>
      <c r="AC68" s="540">
        <v>0</v>
      </c>
      <c r="AD68" s="1259">
        <v>0</v>
      </c>
      <c r="AE68" s="1405">
        <v>0</v>
      </c>
      <c r="AF68" s="1259">
        <v>0</v>
      </c>
      <c r="AG68" s="1405">
        <v>0</v>
      </c>
      <c r="AH68" s="1255">
        <v>0</v>
      </c>
      <c r="AI68" s="1466">
        <v>0</v>
      </c>
      <c r="AJ68" s="1255">
        <v>0</v>
      </c>
      <c r="AK68" s="806">
        <v>0</v>
      </c>
      <c r="AL68" s="541">
        <v>0</v>
      </c>
      <c r="AM68" s="806">
        <v>0</v>
      </c>
      <c r="AO68" s="771"/>
      <c r="AP68" s="771"/>
      <c r="AQ68" s="771"/>
      <c r="AR68" s="771"/>
    </row>
    <row r="69" spans="1:48" s="123" customFormat="1" ht="15" hidden="1" customHeight="1" x14ac:dyDescent="0.2">
      <c r="A69" s="311"/>
      <c r="B69" s="144"/>
      <c r="C69" s="360"/>
      <c r="D69" s="361" t="s">
        <v>626</v>
      </c>
      <c r="E69" s="25"/>
      <c r="F69" s="188">
        <v>3303431</v>
      </c>
      <c r="G69" s="528" t="s">
        <v>649</v>
      </c>
      <c r="H69" s="218">
        <v>0</v>
      </c>
      <c r="I69" s="97">
        <v>0</v>
      </c>
      <c r="J69" s="97">
        <v>0</v>
      </c>
      <c r="K69" s="362" t="str">
        <f t="shared" si="22"/>
        <v>0,00%</v>
      </c>
      <c r="L69" s="97">
        <v>0</v>
      </c>
      <c r="M69" s="695">
        <f t="shared" si="21"/>
        <v>0</v>
      </c>
      <c r="N69" s="97">
        <v>0</v>
      </c>
      <c r="O69" s="595">
        <f t="shared" si="23"/>
        <v>0</v>
      </c>
      <c r="P69" s="821">
        <v>0</v>
      </c>
      <c r="Q69" s="831">
        <f ca="1">SUMIF(S$3:$AM13,"SI",S69:AM69)</f>
        <v>0</v>
      </c>
      <c r="R69" s="678" t="str">
        <f t="shared" ca="1" si="24"/>
        <v>0,0%</v>
      </c>
      <c r="S69" s="806">
        <v>0</v>
      </c>
      <c r="T69" s="808">
        <v>0</v>
      </c>
      <c r="U69" s="806">
        <v>0</v>
      </c>
      <c r="V69" s="806">
        <v>0</v>
      </c>
      <c r="W69" s="1260">
        <v>0</v>
      </c>
      <c r="X69" s="1256">
        <v>0</v>
      </c>
      <c r="Y69" s="841">
        <v>0</v>
      </c>
      <c r="Z69" s="841">
        <v>0</v>
      </c>
      <c r="AA69" s="540">
        <v>0</v>
      </c>
      <c r="AB69" s="1255">
        <v>0</v>
      </c>
      <c r="AC69" s="540">
        <v>0</v>
      </c>
      <c r="AD69" s="1259">
        <v>0</v>
      </c>
      <c r="AE69" s="1405">
        <v>0</v>
      </c>
      <c r="AF69" s="1259">
        <v>0</v>
      </c>
      <c r="AG69" s="1405">
        <v>0</v>
      </c>
      <c r="AH69" s="1255">
        <v>0</v>
      </c>
      <c r="AI69" s="1466">
        <v>0</v>
      </c>
      <c r="AJ69" s="1255">
        <v>0</v>
      </c>
      <c r="AK69" s="806">
        <v>0</v>
      </c>
      <c r="AL69" s="541">
        <v>0</v>
      </c>
      <c r="AM69" s="806">
        <v>0</v>
      </c>
      <c r="AN69" s="239"/>
      <c r="AO69" s="771"/>
      <c r="AP69" s="771"/>
      <c r="AQ69" s="771"/>
      <c r="AR69" s="771"/>
    </row>
    <row r="70" spans="1:48" ht="15" customHeight="1" thickBot="1" x14ac:dyDescent="0.25">
      <c r="B70" s="30">
        <v>35</v>
      </c>
      <c r="C70" s="31"/>
      <c r="D70" s="32"/>
      <c r="E70" s="33"/>
      <c r="F70" s="643">
        <v>35</v>
      </c>
      <c r="G70" s="530" t="s">
        <v>125</v>
      </c>
      <c r="H70" s="529">
        <v>0</v>
      </c>
      <c r="I70" s="34">
        <v>0</v>
      </c>
      <c r="J70" s="34">
        <f>+J71+J72</f>
        <v>0</v>
      </c>
      <c r="K70" s="685" t="str">
        <f>IFERROR(J70/I70,"0,0%")</f>
        <v>0,0%</v>
      </c>
      <c r="L70" s="34">
        <v>0</v>
      </c>
      <c r="M70" s="696">
        <f t="shared" si="21"/>
        <v>0</v>
      </c>
      <c r="N70" s="34">
        <v>0</v>
      </c>
      <c r="O70" s="315">
        <f t="shared" si="23"/>
        <v>0</v>
      </c>
      <c r="P70" s="822">
        <f>++'P05 2022'!BE47</f>
        <v>0</v>
      </c>
      <c r="Q70" s="832">
        <f ca="1">SUMIF(S$3:$AM60,"SI",S70:AM70)</f>
        <v>0</v>
      </c>
      <c r="R70" s="682" t="str">
        <f ca="1">IFERROR(Q70/P70,"0,0%")</f>
        <v>0,0%</v>
      </c>
      <c r="S70" s="835">
        <v>0</v>
      </c>
      <c r="T70" s="809">
        <f>+T71+T72</f>
        <v>0</v>
      </c>
      <c r="U70" s="809">
        <v>0</v>
      </c>
      <c r="V70" s="809">
        <f>+V71+V72</f>
        <v>0</v>
      </c>
      <c r="W70" s="1261">
        <v>0</v>
      </c>
      <c r="X70" s="1257">
        <v>0</v>
      </c>
      <c r="Y70" s="809">
        <v>0</v>
      </c>
      <c r="Z70" s="809">
        <v>0</v>
      </c>
      <c r="AA70" s="1394">
        <v>0</v>
      </c>
      <c r="AB70" s="1257">
        <v>0</v>
      </c>
      <c r="AC70" s="1394">
        <v>0</v>
      </c>
      <c r="AD70" s="1261">
        <v>0</v>
      </c>
      <c r="AE70" s="64">
        <v>0</v>
      </c>
      <c r="AF70" s="1261">
        <v>0</v>
      </c>
      <c r="AG70" s="64">
        <v>0</v>
      </c>
      <c r="AH70" s="1707">
        <v>0</v>
      </c>
      <c r="AI70" s="1543">
        <v>0</v>
      </c>
      <c r="AJ70" s="1793">
        <v>0</v>
      </c>
      <c r="AK70" s="839">
        <v>0</v>
      </c>
      <c r="AL70" s="842">
        <v>0</v>
      </c>
      <c r="AM70" s="839">
        <v>0</v>
      </c>
      <c r="AN70" s="239"/>
    </row>
    <row r="71" spans="1:48" x14ac:dyDescent="0.2">
      <c r="B71" s="9"/>
      <c r="C71" s="11"/>
      <c r="D71" s="13"/>
      <c r="E71" s="15"/>
      <c r="F71" s="644"/>
      <c r="G71" s="2"/>
      <c r="H71" s="7"/>
      <c r="I71" s="7"/>
      <c r="J71" s="7"/>
      <c r="K71" s="686"/>
      <c r="L71" s="7"/>
      <c r="M71" s="597"/>
      <c r="N71" s="7"/>
      <c r="O71" s="597"/>
      <c r="P71" s="823"/>
      <c r="Q71" s="833"/>
      <c r="R71" s="683"/>
      <c r="S71" s="683"/>
      <c r="T71" s="7"/>
      <c r="U71" s="7"/>
      <c r="Z71" s="5"/>
      <c r="AA71" s="5"/>
      <c r="AB71" s="5"/>
      <c r="AC71" s="5"/>
      <c r="AN71" s="239"/>
      <c r="AS71" s="239"/>
      <c r="AT71" s="239"/>
      <c r="AU71" s="239"/>
      <c r="AV71" s="239"/>
    </row>
    <row r="72" spans="1:48" x14ac:dyDescent="0.2">
      <c r="B72" s="9"/>
      <c r="C72" s="11"/>
      <c r="D72" s="13"/>
      <c r="E72" s="15"/>
      <c r="F72" s="644"/>
      <c r="G72" s="2"/>
      <c r="H72" s="7"/>
      <c r="I72" s="7"/>
      <c r="J72" s="7"/>
      <c r="K72" s="686"/>
      <c r="L72" s="7"/>
      <c r="M72" s="597"/>
      <c r="N72" s="7"/>
      <c r="O72" s="597"/>
      <c r="P72" s="823"/>
      <c r="Q72" s="833"/>
      <c r="R72" s="683"/>
      <c r="S72" s="683"/>
      <c r="T72" s="7"/>
      <c r="U72" s="7"/>
      <c r="Z72" s="5"/>
      <c r="AA72" s="5"/>
      <c r="AN72" s="239"/>
      <c r="AS72" s="239"/>
      <c r="AT72" s="239"/>
      <c r="AU72" s="239"/>
      <c r="AV72" s="239"/>
    </row>
    <row r="73" spans="1:48" x14ac:dyDescent="0.2">
      <c r="B73" s="9"/>
      <c r="C73" s="11"/>
      <c r="D73" s="13"/>
      <c r="E73" s="15"/>
      <c r="F73" s="644"/>
      <c r="G73" s="2"/>
      <c r="H73" s="7"/>
      <c r="I73" s="7"/>
      <c r="J73" s="7"/>
      <c r="K73" s="686"/>
      <c r="L73" s="7"/>
      <c r="M73" s="597"/>
      <c r="N73" s="7"/>
      <c r="O73" s="597"/>
      <c r="P73" s="823"/>
      <c r="Q73" s="833"/>
      <c r="R73" s="683"/>
      <c r="S73" s="683"/>
      <c r="T73" s="7"/>
      <c r="U73" s="7"/>
      <c r="AN73" s="239"/>
      <c r="AS73" s="239"/>
      <c r="AT73" s="239"/>
      <c r="AU73" s="239"/>
      <c r="AV73" s="239"/>
    </row>
    <row r="74" spans="1:48" x14ac:dyDescent="0.2">
      <c r="B74" s="9"/>
      <c r="C74" s="11"/>
      <c r="D74" s="13"/>
      <c r="E74" s="15"/>
      <c r="F74" s="644"/>
      <c r="G74" s="2"/>
      <c r="H74" s="7"/>
      <c r="I74" s="7"/>
      <c r="J74" s="7"/>
      <c r="K74" s="686"/>
      <c r="L74" s="7"/>
      <c r="M74" s="597"/>
      <c r="N74" s="7"/>
      <c r="O74" s="597"/>
      <c r="P74" s="823"/>
      <c r="Q74" s="833"/>
      <c r="R74" s="683"/>
      <c r="S74" s="683"/>
      <c r="T74" s="7"/>
      <c r="U74" s="7"/>
      <c r="AN74" s="239"/>
      <c r="AS74" s="239"/>
      <c r="AT74" s="239"/>
      <c r="AU74" s="239"/>
      <c r="AV74" s="239"/>
    </row>
    <row r="75" spans="1:48" x14ac:dyDescent="0.2">
      <c r="B75" s="9"/>
      <c r="C75" s="11"/>
      <c r="D75" s="13"/>
      <c r="E75" s="15"/>
      <c r="F75" s="644"/>
      <c r="G75" s="2"/>
      <c r="H75" s="7"/>
      <c r="I75" s="7"/>
      <c r="J75" s="7"/>
      <c r="K75" s="686"/>
      <c r="L75" s="7"/>
      <c r="M75" s="597"/>
      <c r="N75" s="7"/>
      <c r="O75" s="597"/>
      <c r="P75" s="823"/>
      <c r="Q75" s="833"/>
      <c r="R75" s="1116"/>
      <c r="S75" s="683"/>
      <c r="T75" s="7"/>
      <c r="U75" s="7"/>
      <c r="AN75" s="239"/>
      <c r="AS75" s="239"/>
      <c r="AT75" s="239"/>
      <c r="AU75" s="239"/>
      <c r="AV75" s="239"/>
    </row>
    <row r="76" spans="1:48" x14ac:dyDescent="0.2">
      <c r="B76" s="9"/>
      <c r="C76" s="11"/>
      <c r="D76" s="13"/>
      <c r="E76" s="15"/>
      <c r="F76" s="644"/>
      <c r="G76" s="2"/>
      <c r="H76" s="7"/>
      <c r="I76" s="7"/>
      <c r="J76" s="7"/>
      <c r="K76" s="686"/>
      <c r="L76" s="7"/>
      <c r="M76" s="597"/>
      <c r="N76" s="7"/>
      <c r="O76" s="597"/>
      <c r="P76" s="823"/>
      <c r="Q76" s="833"/>
      <c r="R76" s="1116"/>
      <c r="S76" s="683"/>
      <c r="T76" s="7"/>
      <c r="U76" s="7"/>
      <c r="AN76" s="239"/>
      <c r="AS76" s="239"/>
      <c r="AT76" s="239"/>
      <c r="AU76" s="239"/>
      <c r="AV76" s="239"/>
    </row>
    <row r="77" spans="1:48" x14ac:dyDescent="0.2">
      <c r="B77" s="9"/>
      <c r="C77" s="11"/>
      <c r="D77" s="13"/>
      <c r="E77" s="15"/>
      <c r="F77" s="644"/>
      <c r="G77" s="2"/>
      <c r="H77" s="7"/>
      <c r="I77" s="7"/>
      <c r="J77" s="7"/>
      <c r="K77" s="686"/>
      <c r="L77" s="7"/>
      <c r="M77" s="597"/>
      <c r="N77" s="7"/>
      <c r="O77" s="597"/>
      <c r="P77" s="823"/>
      <c r="Q77" s="833"/>
      <c r="R77" s="1116"/>
      <c r="S77" s="683"/>
      <c r="T77" s="7"/>
      <c r="U77" s="7"/>
      <c r="AN77" s="239"/>
      <c r="AS77" s="239"/>
      <c r="AT77" s="239"/>
      <c r="AU77" s="239"/>
      <c r="AV77" s="239"/>
    </row>
    <row r="78" spans="1:48" x14ac:dyDescent="0.2">
      <c r="B78" s="9"/>
      <c r="C78" s="11"/>
      <c r="D78" s="13"/>
      <c r="E78" s="15"/>
      <c r="F78" s="644"/>
      <c r="G78" s="2"/>
      <c r="H78" s="7"/>
      <c r="I78" s="7"/>
      <c r="J78" s="7"/>
      <c r="K78" s="686"/>
      <c r="L78" s="7"/>
      <c r="M78" s="597"/>
      <c r="N78" s="7"/>
      <c r="O78" s="597"/>
      <c r="P78" s="823"/>
      <c r="Q78" s="833"/>
      <c r="R78" s="1116"/>
      <c r="S78" s="683"/>
      <c r="T78" s="7"/>
      <c r="U78" s="7"/>
      <c r="AN78" s="239"/>
      <c r="AS78" s="239"/>
      <c r="AT78" s="239"/>
      <c r="AU78" s="239"/>
      <c r="AV78" s="239"/>
    </row>
    <row r="79" spans="1:48" x14ac:dyDescent="0.2">
      <c r="B79" s="9"/>
      <c r="C79" s="11"/>
      <c r="D79" s="13"/>
      <c r="E79" s="15"/>
      <c r="F79" s="644"/>
      <c r="G79" s="2"/>
      <c r="H79" s="7"/>
      <c r="I79" s="7"/>
      <c r="J79" s="7"/>
      <c r="K79" s="686"/>
      <c r="L79" s="7"/>
      <c r="M79" s="597"/>
      <c r="N79" s="7"/>
      <c r="O79" s="597"/>
      <c r="P79" s="1272"/>
      <c r="Q79" s="833"/>
      <c r="R79" s="1117"/>
      <c r="S79" s="683"/>
      <c r="T79" s="7"/>
      <c r="U79" s="7"/>
      <c r="AN79" s="239"/>
      <c r="AS79" s="239"/>
      <c r="AT79" s="239"/>
      <c r="AU79" s="239"/>
      <c r="AV79" s="239"/>
    </row>
    <row r="80" spans="1:48" x14ac:dyDescent="0.2">
      <c r="P80" s="1272"/>
      <c r="AO80" s="772"/>
      <c r="AP80" s="772"/>
      <c r="AQ80" s="772"/>
      <c r="AR80" s="772"/>
      <c r="AS80" s="772"/>
    </row>
    <row r="81" spans="16:16" x14ac:dyDescent="0.2">
      <c r="P81" s="1273"/>
    </row>
    <row r="140" spans="12:12" x14ac:dyDescent="0.2">
      <c r="L140" s="6">
        <f>+'Prog 05'!L1</f>
        <v>0</v>
      </c>
    </row>
  </sheetData>
  <mergeCells count="21">
    <mergeCell ref="B2:AB2"/>
    <mergeCell ref="B5:AB5"/>
    <mergeCell ref="H6:O6"/>
    <mergeCell ref="B3:R3"/>
    <mergeCell ref="B6:G8"/>
    <mergeCell ref="P6:R6"/>
    <mergeCell ref="S7:T7"/>
    <mergeCell ref="S6:T6"/>
    <mergeCell ref="U7:V7"/>
    <mergeCell ref="U6:V6"/>
    <mergeCell ref="W7:X7"/>
    <mergeCell ref="W6:X6"/>
    <mergeCell ref="Y6:Z6"/>
    <mergeCell ref="Y7:Z7"/>
    <mergeCell ref="AA7:AB7"/>
    <mergeCell ref="AI7:AJ7"/>
    <mergeCell ref="AE7:AF7"/>
    <mergeCell ref="AE6:AF6"/>
    <mergeCell ref="AC7:AD7"/>
    <mergeCell ref="AG7:AH7"/>
    <mergeCell ref="AG6:AH6"/>
  </mergeCells>
  <phoneticPr fontId="29" type="noConversion"/>
  <conditionalFormatting sqref="H6 H12:K12 M13:O28 M61:O69 J59:K59 AD32:AE32 H70:K70 J33:K33 P58:R58 O58:O60 O70 M70 H61:J69 J60 K60:K69 I13:K31 M11:M31 M36:O52 H58:N58 J36:K52 M29:N31 O12:O35 R70 P6:R7 Q36:R52 Q59:R69 R12:R31 H59:H60 M33 V61:V66 AF32:AG33 T70:V70 T9:X9 AM32 AF36:AG56 I32:N32 H34:N35 T10 X10 H71:S1048576 P32:R35 X70 Z70:AG70 Z10:AM10 Z9:AL9 Q54:R57 J54:K57 M54:O57 M59:N60 H9:S11">
    <cfRule type="cellIs" dxfId="43" priority="414" operator="equal">
      <formula>"·¡$S$$P$16"</formula>
    </cfRule>
  </conditionalFormatting>
  <conditionalFormatting sqref="AF57:AG57">
    <cfRule type="cellIs" dxfId="42" priority="129" operator="equal">
      <formula>"·¡$S$$P$16"</formula>
    </cfRule>
  </conditionalFormatting>
  <conditionalFormatting sqref="AF57:AG57">
    <cfRule type="cellIs" dxfId="41" priority="128" operator="equal">
      <formula>"·¡$S$$P$16"</formula>
    </cfRule>
  </conditionalFormatting>
  <conditionalFormatting sqref="H33">
    <cfRule type="cellIs" dxfId="40" priority="109" operator="equal">
      <formula>"·¡$S$$P$16"</formula>
    </cfRule>
  </conditionalFormatting>
  <conditionalFormatting sqref="H32">
    <cfRule type="cellIs" dxfId="39" priority="97" operator="equal">
      <formula>"·¡$S$$P$16"</formula>
    </cfRule>
  </conditionalFormatting>
  <conditionalFormatting sqref="AM9">
    <cfRule type="cellIs" dxfId="38" priority="84" operator="equal">
      <formula>"·¡$S$$P$16"</formula>
    </cfRule>
  </conditionalFormatting>
  <conditionalFormatting sqref="H13:H31">
    <cfRule type="cellIs" dxfId="37" priority="52" operator="equal">
      <formula>"·¡$S$$P$16"</formula>
    </cfRule>
  </conditionalFormatting>
  <conditionalFormatting sqref="L12:L31">
    <cfRule type="cellIs" dxfId="36" priority="47" operator="equal">
      <formula>"·¡$S$$P$16"</formula>
    </cfRule>
  </conditionalFormatting>
  <conditionalFormatting sqref="L36:L52 L54:L56">
    <cfRule type="cellIs" dxfId="35" priority="46" operator="equal">
      <formula>"·¡$S$$P$16"</formula>
    </cfRule>
  </conditionalFormatting>
  <conditionalFormatting sqref="L59:L69">
    <cfRule type="cellIs" dxfId="34" priority="45" operator="equal">
      <formula>"·¡$S$$P$16"</formula>
    </cfRule>
  </conditionalFormatting>
  <conditionalFormatting sqref="N12:N31">
    <cfRule type="cellIs" dxfId="33" priority="44" operator="equal">
      <formula>"·¡$S$$P$16"</formula>
    </cfRule>
  </conditionalFormatting>
  <conditionalFormatting sqref="N37:N52 N54:N57">
    <cfRule type="cellIs" dxfId="32" priority="43" operator="equal">
      <formula>"·¡$S$$P$16"</formula>
    </cfRule>
  </conditionalFormatting>
  <conditionalFormatting sqref="N36">
    <cfRule type="cellIs" dxfId="31" priority="42" operator="equal">
      <formula>"·¡$S$$P$16"</formula>
    </cfRule>
  </conditionalFormatting>
  <conditionalFormatting sqref="N61:N69">
    <cfRule type="cellIs" dxfId="30" priority="41" operator="equal">
      <formula>"·¡$S$$P$16"</formula>
    </cfRule>
  </conditionalFormatting>
  <conditionalFormatting sqref="P59:P69">
    <cfRule type="cellIs" dxfId="29" priority="37" operator="equal">
      <formula>"·¡$S$$P$16"</formula>
    </cfRule>
  </conditionalFormatting>
  <conditionalFormatting sqref="P59:P69">
    <cfRule type="cellIs" dxfId="28" priority="36" operator="equal">
      <formula>"·¡$S$$P$16"</formula>
    </cfRule>
  </conditionalFormatting>
  <conditionalFormatting sqref="L70 N70 P70">
    <cfRule type="cellIs" dxfId="27" priority="31" operator="equal">
      <formula>"·¡$S$$P$16"</formula>
    </cfRule>
  </conditionalFormatting>
  <conditionalFormatting sqref="Q70">
    <cfRule type="cellIs" dxfId="26" priority="30" operator="equal">
      <formula>"·¡$S$$P$16"</formula>
    </cfRule>
  </conditionalFormatting>
  <conditionalFormatting sqref="Q12:Q31">
    <cfRule type="cellIs" dxfId="25" priority="29" operator="equal">
      <formula>"·¡$S$$P$16"</formula>
    </cfRule>
  </conditionalFormatting>
  <conditionalFormatting sqref="S34:S35">
    <cfRule type="cellIs" dxfId="24" priority="21" operator="equal">
      <formula>"·¡$S$$P$16"</formula>
    </cfRule>
  </conditionalFormatting>
  <conditionalFormatting sqref="I59:I60">
    <cfRule type="cellIs" dxfId="23" priority="25" operator="equal">
      <formula>"·¡$S$$P$16"</formula>
    </cfRule>
  </conditionalFormatting>
  <conditionalFormatting sqref="N59:N60">
    <cfRule type="cellIs" dxfId="22" priority="24" operator="equal">
      <formula>"·¡$S$$P$16"</formula>
    </cfRule>
  </conditionalFormatting>
  <conditionalFormatting sqref="S33 S59:S69 S12:S31 S36:S52 S54:S57">
    <cfRule type="cellIs" dxfId="21" priority="23" operator="equal">
      <formula>"·¡$S$$P$16"</formula>
    </cfRule>
  </conditionalFormatting>
  <conditionalFormatting sqref="S32">
    <cfRule type="cellIs" dxfId="20" priority="22" operator="equal">
      <formula>"·¡$S$$P$16"</formula>
    </cfRule>
  </conditionalFormatting>
  <conditionalFormatting sqref="L33">
    <cfRule type="cellIs" dxfId="19" priority="18" operator="equal">
      <formula>"·¡$S$$P$16"</formula>
    </cfRule>
  </conditionalFormatting>
  <conditionalFormatting sqref="S58">
    <cfRule type="cellIs" dxfId="18" priority="20" operator="equal">
      <formula>"·¡$S$$P$16"</formula>
    </cfRule>
  </conditionalFormatting>
  <conditionalFormatting sqref="S70">
    <cfRule type="cellIs" dxfId="17" priority="19" operator="equal">
      <formula>"·¡$S$$P$16"</formula>
    </cfRule>
  </conditionalFormatting>
  <conditionalFormatting sqref="I33">
    <cfRule type="cellIs" dxfId="16" priority="16" operator="equal">
      <formula>"·¡$S$$P$16"</formula>
    </cfRule>
  </conditionalFormatting>
  <conditionalFormatting sqref="N33">
    <cfRule type="cellIs" dxfId="15" priority="17" operator="equal">
      <formula>"·¡$S$$P$16"</formula>
    </cfRule>
  </conditionalFormatting>
  <conditionalFormatting sqref="L57">
    <cfRule type="cellIs" dxfId="14" priority="15" operator="equal">
      <formula>"·¡$S$$P$16"</formula>
    </cfRule>
  </conditionalFormatting>
  <conditionalFormatting sqref="V10:V11 V32 V58 V34:V35">
    <cfRule type="cellIs" dxfId="13" priority="14" operator="equal">
      <formula>"·¡$S$$P$16"</formula>
    </cfRule>
  </conditionalFormatting>
  <conditionalFormatting sqref="U10:U11 U32 U58 U34:U35">
    <cfRule type="cellIs" dxfId="12" priority="13" operator="equal">
      <formula>"·¡$S$$P$16"</formula>
    </cfRule>
  </conditionalFormatting>
  <conditionalFormatting sqref="M53:O53 J53:K53 Q53:R53">
    <cfRule type="cellIs" dxfId="11" priority="8" operator="equal">
      <formula>"·¡$S$$P$16"</formula>
    </cfRule>
  </conditionalFormatting>
  <conditionalFormatting sqref="L53">
    <cfRule type="cellIs" dxfId="10" priority="7" operator="equal">
      <formula>"·¡$S$$P$16"</formula>
    </cfRule>
  </conditionalFormatting>
  <conditionalFormatting sqref="W10 W70">
    <cfRule type="cellIs" dxfId="9" priority="10" operator="equal">
      <formula>"·¡$S$$P$16"</formula>
    </cfRule>
  </conditionalFormatting>
  <conditionalFormatting sqref="Y70 Y9:Y10">
    <cfRule type="cellIs" dxfId="8" priority="9" operator="equal">
      <formula>"·¡$S$$P$16"</formula>
    </cfRule>
  </conditionalFormatting>
  <conditionalFormatting sqref="N53">
    <cfRule type="cellIs" dxfId="7" priority="6" operator="equal">
      <formula>"·¡$S$$P$16"</formula>
    </cfRule>
  </conditionalFormatting>
  <conditionalFormatting sqref="S53">
    <cfRule type="cellIs" dxfId="6" priority="5" operator="equal">
      <formula>"·¡$S$$P$16"</formula>
    </cfRule>
  </conditionalFormatting>
  <conditionalFormatting sqref="P57">
    <cfRule type="cellIs" dxfId="5" priority="2" operator="equal">
      <formula>"·¡$S$$P$16"</formula>
    </cfRule>
  </conditionalFormatting>
  <conditionalFormatting sqref="P57">
    <cfRule type="cellIs" dxfId="4" priority="1" operator="equal">
      <formula>"·¡$S$$P$16"</formula>
    </cfRule>
  </conditionalFormatting>
  <printOptions horizontalCentered="1"/>
  <pageMargins left="1" right="1" top="1" bottom="1" header="0.5" footer="0.5"/>
  <pageSetup paperSize="5" scale="50" fitToHeight="0" orientation="landscape" r:id="rId1"/>
  <ignoredErrors>
    <ignoredError sqref="R10 K9:K10 J49 R34:R35 R57:R58 K32:K33 R38:R49 M32:M33 O32:P32 K35 M53 M57:O57" formula="1"/>
    <ignoredError sqref="C35 C58 C11 D58:D59 D34:D38 D13:D14 D40:D50 F16:F27 F53 D53" numberStoredAsText="1"/>
    <ignoredError sqref="T58 V58:V60 V57 V35:V36 AB3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1C1D6"/>
  </sheetPr>
  <dimension ref="A1:HD14"/>
  <sheetViews>
    <sheetView topLeftCell="DW1" zoomScale="90" zoomScaleNormal="90" workbookViewId="0">
      <selection activeCell="DZ30" sqref="DZ30"/>
    </sheetView>
  </sheetViews>
  <sheetFormatPr baseColWidth="10" defaultRowHeight="15" x14ac:dyDescent="0.25"/>
  <cols>
    <col min="2" max="2" width="14.7109375" customWidth="1"/>
    <col min="3" max="3" width="19.140625" customWidth="1"/>
    <col min="4" max="4" width="19.140625" style="74" customWidth="1"/>
    <col min="5" max="5" width="13.85546875" bestFit="1" customWidth="1"/>
    <col min="9" max="9" width="18" customWidth="1"/>
    <col min="10" max="10" width="22.140625" customWidth="1"/>
    <col min="11" max="11" width="15.42578125" customWidth="1"/>
    <col min="12" max="12" width="26" customWidth="1"/>
    <col min="15" max="15" width="0" hidden="1" customWidth="1"/>
    <col min="16" max="16" width="17.5703125" customWidth="1"/>
    <col min="21" max="22" width="17" customWidth="1"/>
    <col min="23" max="23" width="17" style="74" customWidth="1"/>
    <col min="30" max="30" width="16.5703125" customWidth="1"/>
    <col min="35" max="35" width="9.28515625" customWidth="1"/>
    <col min="38" max="38" width="23.28515625" customWidth="1"/>
    <col min="39" max="41" width="0" hidden="1" customWidth="1"/>
    <col min="42" max="42" width="13" hidden="1" customWidth="1"/>
    <col min="43" max="43" width="13.7109375" hidden="1" customWidth="1"/>
    <col min="44" max="44" width="0" hidden="1" customWidth="1"/>
    <col min="53" max="53" width="14.85546875" customWidth="1"/>
    <col min="54" max="54" width="16.28515625" hidden="1" customWidth="1"/>
    <col min="55" max="56" width="15" hidden="1" customWidth="1"/>
    <col min="57" max="57" width="13.7109375" customWidth="1"/>
    <col min="58" max="58" width="17.28515625" customWidth="1"/>
    <col min="67" max="71" width="0" hidden="1" customWidth="1"/>
    <col min="77" max="77" width="55.85546875" customWidth="1"/>
    <col min="78" max="78" width="23.7109375" hidden="1" customWidth="1"/>
    <col min="79" max="79" width="12.140625" hidden="1" customWidth="1"/>
    <col min="80" max="81" width="11.5703125" hidden="1" customWidth="1"/>
    <col min="82" max="82" width="15.5703125" customWidth="1"/>
    <col min="83" max="83" width="12.7109375" customWidth="1"/>
    <col min="84" max="84" width="12.85546875" customWidth="1"/>
    <col min="85" max="85" width="6.42578125" customWidth="1"/>
    <col min="86" max="86" width="7.85546875" customWidth="1"/>
    <col min="88" max="88" width="9.140625" customWidth="1"/>
    <col min="89" max="89" width="30.5703125" customWidth="1"/>
    <col min="90" max="90" width="16.85546875" customWidth="1"/>
    <col min="91" max="92" width="11.42578125" style="539"/>
    <col min="93" max="93" width="18.85546875" customWidth="1"/>
    <col min="95" max="95" width="9.140625" customWidth="1"/>
    <col min="97" max="97" width="8.5703125" customWidth="1"/>
    <col min="98" max="98" width="31.5703125" customWidth="1"/>
    <col min="99" max="99" width="39.28515625" hidden="1" customWidth="1"/>
    <col min="100" max="100" width="14.85546875" hidden="1" customWidth="1"/>
    <col min="101" max="102" width="12.42578125" hidden="1" customWidth="1"/>
    <col min="103" max="103" width="13.85546875" customWidth="1"/>
    <col min="104" max="104" width="12.28515625" customWidth="1"/>
    <col min="105" max="105" width="11.5703125" bestFit="1" customWidth="1"/>
    <col min="106" max="106" width="8.140625" customWidth="1"/>
    <col min="107" max="107" width="9.85546875" customWidth="1"/>
    <col min="109" max="109" width="15.140625" customWidth="1"/>
    <col min="110" max="110" width="36.85546875" customWidth="1"/>
    <col min="111" max="114" width="15.140625" hidden="1" customWidth="1"/>
    <col min="115" max="115" width="15.140625" customWidth="1"/>
    <col min="119" max="119" width="13.5703125" customWidth="1"/>
    <col min="120" max="120" width="15.7109375" customWidth="1"/>
    <col min="121" max="121" width="18.42578125" customWidth="1"/>
    <col min="122" max="124" width="0" hidden="1" customWidth="1"/>
    <col min="125" max="125" width="18" customWidth="1"/>
    <col min="134" max="134" width="14.28515625" customWidth="1"/>
    <col min="139" max="139" width="33.7109375" customWidth="1"/>
    <col min="140" max="143" width="0" hidden="1" customWidth="1"/>
    <col min="151" max="151" width="40.140625" customWidth="1"/>
    <col min="152" max="152" width="32.7109375" hidden="1" customWidth="1"/>
    <col min="153" max="153" width="0" hidden="1" customWidth="1"/>
    <col min="159" max="159" width="59.7109375" customWidth="1"/>
    <col min="160" max="160" width="24.42578125" hidden="1" customWidth="1"/>
    <col min="161" max="163" width="0" hidden="1" customWidth="1"/>
    <col min="164" max="164" width="18.42578125" customWidth="1"/>
    <col min="173" max="173" width="15.42578125" hidden="1" customWidth="1"/>
    <col min="174" max="175" width="15.42578125" style="74" hidden="1" customWidth="1"/>
    <col min="176" max="176" width="12" hidden="1" customWidth="1"/>
    <col min="177" max="177" width="12" style="74" hidden="1" customWidth="1"/>
    <col min="178" max="178" width="12" style="74" customWidth="1"/>
    <col min="180" max="180" width="7.85546875" customWidth="1"/>
    <col min="183" max="183" width="39.42578125" customWidth="1"/>
    <col min="184" max="187" width="0" hidden="1" customWidth="1"/>
    <col min="196" max="196" width="32.5703125" customWidth="1"/>
    <col min="197" max="197" width="26.85546875" hidden="1" customWidth="1"/>
    <col min="198" max="198" width="0" hidden="1" customWidth="1"/>
    <col min="204" max="204" width="38.7109375" customWidth="1"/>
    <col min="205" max="207" width="0" hidden="1" customWidth="1"/>
    <col min="208" max="208" width="18.28515625" customWidth="1"/>
  </cols>
  <sheetData>
    <row r="1" spans="1:212" x14ac:dyDescent="0.25">
      <c r="A1" s="1912">
        <v>44562</v>
      </c>
      <c r="B1" s="1909"/>
      <c r="C1" s="1909"/>
      <c r="D1" s="1909"/>
      <c r="E1" s="1909"/>
      <c r="I1" s="1909" t="s">
        <v>694</v>
      </c>
      <c r="J1" s="1909"/>
      <c r="K1" s="1909"/>
      <c r="M1" s="1909" t="s">
        <v>762</v>
      </c>
      <c r="N1" s="1909"/>
      <c r="O1" s="1909"/>
      <c r="P1" s="1909"/>
      <c r="T1" s="1909" t="s">
        <v>693</v>
      </c>
      <c r="U1" s="1909"/>
      <c r="V1" s="1909"/>
      <c r="W1" s="1909"/>
      <c r="X1" s="1909"/>
      <c r="AB1" s="1909" t="s">
        <v>695</v>
      </c>
      <c r="AC1" s="1909"/>
      <c r="AD1" s="1909"/>
      <c r="AE1" s="1909"/>
      <c r="AF1" s="1909"/>
      <c r="AJ1" s="1909" t="s">
        <v>696</v>
      </c>
      <c r="AK1" s="1909"/>
      <c r="AL1" s="1909"/>
      <c r="AM1" s="1909"/>
      <c r="AN1" s="1909"/>
      <c r="AO1" s="1909"/>
      <c r="AP1" s="1909"/>
      <c r="AQ1" s="1909"/>
      <c r="AR1" s="1909"/>
      <c r="AS1" s="1909"/>
      <c r="AW1" s="1909" t="s">
        <v>697</v>
      </c>
      <c r="AX1" s="1909"/>
      <c r="AY1" s="1909"/>
      <c r="AZ1" s="1909"/>
      <c r="BA1" s="1909"/>
      <c r="BB1" s="1909"/>
      <c r="BC1" s="1909"/>
      <c r="BD1" s="1909"/>
      <c r="BE1" s="1909"/>
      <c r="BF1" s="1909"/>
      <c r="BG1" s="1909"/>
      <c r="BK1" s="1912" t="s">
        <v>845</v>
      </c>
      <c r="BL1" s="1909"/>
      <c r="BM1" s="1909"/>
      <c r="BN1" s="1909"/>
      <c r="BO1" s="1909"/>
      <c r="BP1" s="1909"/>
      <c r="BQ1" s="1909"/>
      <c r="BR1" s="1909"/>
      <c r="BS1" s="1909"/>
      <c r="BT1" s="1909"/>
      <c r="BU1" s="1909"/>
      <c r="BV1" s="1909"/>
      <c r="BX1" s="1909" t="s">
        <v>650</v>
      </c>
      <c r="BY1" s="1909"/>
      <c r="BZ1" s="1909"/>
      <c r="CA1" s="1909"/>
      <c r="CB1" s="1909"/>
      <c r="CC1" s="1909"/>
      <c r="CD1" s="1909"/>
      <c r="CE1" s="1909"/>
      <c r="CF1" s="1909"/>
      <c r="CJ1" s="1909" t="s">
        <v>79</v>
      </c>
      <c r="CK1" s="1909"/>
      <c r="CL1" s="1909"/>
      <c r="CM1" s="1909"/>
      <c r="CN1" s="1909"/>
      <c r="CO1" s="1909"/>
      <c r="CS1" s="1909" t="s">
        <v>861</v>
      </c>
      <c r="CT1" s="1909"/>
      <c r="CU1" s="1909"/>
      <c r="CV1" s="1909"/>
      <c r="CW1" s="1909"/>
      <c r="CX1" s="1909"/>
      <c r="CY1" s="1909"/>
      <c r="CZ1" s="1909"/>
      <c r="DA1" s="1909"/>
      <c r="DE1" s="1909" t="s">
        <v>10</v>
      </c>
      <c r="DF1" s="1909"/>
      <c r="DG1" s="1909"/>
      <c r="DH1" s="1909"/>
      <c r="DI1" s="1909"/>
      <c r="DJ1" s="1909"/>
      <c r="DK1" s="1909"/>
      <c r="DL1" s="1909"/>
      <c r="DO1" s="1909" t="s">
        <v>870</v>
      </c>
      <c r="DP1" s="1909"/>
      <c r="DQ1" s="1909"/>
      <c r="DR1" s="1909"/>
      <c r="DS1" s="1909"/>
      <c r="DT1" s="1909"/>
      <c r="DU1" s="1909"/>
      <c r="DV1" s="1909"/>
      <c r="DW1" s="1909"/>
      <c r="EA1" s="1909" t="s">
        <v>877</v>
      </c>
      <c r="EB1" s="1909"/>
      <c r="EC1" s="1909"/>
      <c r="ED1" s="1909"/>
      <c r="EE1" s="1909"/>
      <c r="EF1" s="1909"/>
      <c r="EH1" s="1909" t="s">
        <v>876</v>
      </c>
      <c r="EI1" s="1909"/>
      <c r="EJ1" s="1909"/>
      <c r="EK1" s="1909"/>
      <c r="EL1" s="1909"/>
      <c r="EM1" s="1909"/>
      <c r="EN1" s="1909"/>
      <c r="EO1" s="1909"/>
      <c r="EP1" s="1909"/>
      <c r="EQ1" s="1909"/>
      <c r="ET1" s="1909" t="s">
        <v>12</v>
      </c>
      <c r="EU1" s="1909"/>
      <c r="EV1" s="1909"/>
      <c r="EW1" s="1909"/>
      <c r="EX1" s="1909"/>
      <c r="EY1" s="1909"/>
      <c r="EZ1" s="1909"/>
      <c r="FB1" s="1909" t="s">
        <v>898</v>
      </c>
      <c r="FC1" s="1909"/>
      <c r="FD1" s="1909"/>
      <c r="FE1" s="1909"/>
      <c r="FF1" s="1909"/>
      <c r="FG1" s="1909"/>
      <c r="FH1" s="1909"/>
      <c r="FI1" s="1909"/>
      <c r="FJ1" s="1909"/>
      <c r="FN1" s="1909" t="s">
        <v>13</v>
      </c>
      <c r="FO1" s="1909"/>
      <c r="FP1" s="1909"/>
      <c r="FQ1" s="1909"/>
      <c r="FR1" s="1909"/>
      <c r="FS1" s="1909"/>
      <c r="FT1" s="1909"/>
      <c r="FU1" s="751"/>
      <c r="FV1" s="751"/>
      <c r="FZ1" s="1909" t="s">
        <v>909</v>
      </c>
      <c r="GA1" s="1909"/>
      <c r="GB1" s="1909"/>
      <c r="GC1" s="1909"/>
      <c r="GD1" s="1909"/>
      <c r="GE1" s="1909"/>
      <c r="GF1" s="1909"/>
      <c r="GG1" s="1909"/>
      <c r="GH1" s="1909"/>
      <c r="GM1" s="1904" t="s">
        <v>14</v>
      </c>
      <c r="GN1" s="1904"/>
      <c r="GO1" s="1904"/>
      <c r="GP1" s="1904"/>
      <c r="GQ1" s="1904"/>
      <c r="GR1" s="1904"/>
      <c r="GS1" s="1904"/>
      <c r="GT1" s="73"/>
      <c r="GU1" s="1904" t="s">
        <v>917</v>
      </c>
      <c r="GV1" s="1904"/>
      <c r="GW1" s="1904"/>
      <c r="GX1" s="1904"/>
      <c r="GY1" s="1904"/>
      <c r="GZ1" s="1904"/>
      <c r="HA1" s="1904"/>
      <c r="HB1" s="1904"/>
      <c r="HC1" s="1904"/>
      <c r="HD1" s="1904"/>
    </row>
    <row r="2" spans="1:212" ht="33" customHeight="1" x14ac:dyDescent="0.25">
      <c r="A2" s="96" t="s">
        <v>425</v>
      </c>
      <c r="B2" s="96" t="s">
        <v>453</v>
      </c>
      <c r="C2" s="96" t="s">
        <v>467</v>
      </c>
      <c r="D2" s="96" t="s">
        <v>467</v>
      </c>
      <c r="E2" s="96" t="s">
        <v>429</v>
      </c>
      <c r="F2">
        <v>1000</v>
      </c>
      <c r="G2">
        <v>1.0629999999999999</v>
      </c>
      <c r="I2" s="98" t="s">
        <v>425</v>
      </c>
      <c r="J2" s="98" t="s">
        <v>453</v>
      </c>
      <c r="K2" s="98" t="s">
        <v>429</v>
      </c>
      <c r="M2" s="98" t="s">
        <v>425</v>
      </c>
      <c r="N2" s="98" t="s">
        <v>453</v>
      </c>
      <c r="O2" s="98" t="s">
        <v>467</v>
      </c>
      <c r="P2" s="98" t="s">
        <v>467</v>
      </c>
      <c r="Q2" s="74">
        <v>1000</v>
      </c>
      <c r="R2" s="74">
        <v>1.0629999999999999</v>
      </c>
      <c r="T2" s="295" t="s">
        <v>425</v>
      </c>
      <c r="U2" s="295" t="s">
        <v>453</v>
      </c>
      <c r="V2" s="295" t="s">
        <v>467</v>
      </c>
      <c r="W2" s="295" t="s">
        <v>467</v>
      </c>
      <c r="X2" s="295" t="s">
        <v>429</v>
      </c>
      <c r="Y2">
        <v>1000</v>
      </c>
      <c r="Z2">
        <v>1.0629999999999999</v>
      </c>
      <c r="AB2" s="295" t="s">
        <v>425</v>
      </c>
      <c r="AC2" s="295" t="s">
        <v>453</v>
      </c>
      <c r="AD2" s="295" t="s">
        <v>467</v>
      </c>
      <c r="AE2" s="295" t="s">
        <v>467</v>
      </c>
      <c r="AF2" s="295">
        <v>1000</v>
      </c>
      <c r="AG2">
        <v>1.0629999999999999</v>
      </c>
      <c r="AJ2" s="295" t="s">
        <v>425</v>
      </c>
      <c r="AK2" s="295" t="s">
        <v>453</v>
      </c>
      <c r="AL2" s="295" t="s">
        <v>427</v>
      </c>
      <c r="AM2" s="295" t="s">
        <v>428</v>
      </c>
      <c r="AN2" s="295" t="s">
        <v>467</v>
      </c>
      <c r="AO2" s="295" t="s">
        <v>487</v>
      </c>
      <c r="AP2" s="295" t="s">
        <v>429</v>
      </c>
      <c r="AQ2" s="295" t="s">
        <v>821</v>
      </c>
      <c r="AR2" s="295" t="s">
        <v>824</v>
      </c>
      <c r="AS2" s="295" t="s">
        <v>823</v>
      </c>
      <c r="AT2">
        <v>1000</v>
      </c>
      <c r="AU2">
        <v>1.0629999999999999</v>
      </c>
      <c r="AW2" s="295" t="s">
        <v>425</v>
      </c>
      <c r="AX2" s="295" t="s">
        <v>453</v>
      </c>
      <c r="AY2" s="295" t="s">
        <v>426</v>
      </c>
      <c r="AZ2" s="295" t="s">
        <v>535</v>
      </c>
      <c r="BA2" s="295" t="s">
        <v>427</v>
      </c>
      <c r="BB2" s="295" t="s">
        <v>467</v>
      </c>
      <c r="BC2" s="295" t="s">
        <v>487</v>
      </c>
      <c r="BD2" s="295" t="s">
        <v>429</v>
      </c>
      <c r="BE2" s="295" t="s">
        <v>821</v>
      </c>
      <c r="BF2" s="295" t="s">
        <v>824</v>
      </c>
      <c r="BG2" s="295" t="s">
        <v>823</v>
      </c>
      <c r="BH2">
        <v>1000</v>
      </c>
      <c r="BI2">
        <v>1.0629999999999999</v>
      </c>
      <c r="BK2" s="295" t="s">
        <v>425</v>
      </c>
      <c r="BL2" s="295" t="s">
        <v>453</v>
      </c>
      <c r="BM2" s="295" t="s">
        <v>427</v>
      </c>
      <c r="BN2" s="295" t="s">
        <v>428</v>
      </c>
      <c r="BO2" s="295" t="s">
        <v>467</v>
      </c>
      <c r="BP2" s="295" t="s">
        <v>487</v>
      </c>
      <c r="BQ2" s="295" t="s">
        <v>429</v>
      </c>
      <c r="BR2" s="295" t="s">
        <v>467</v>
      </c>
      <c r="BS2" s="295" t="s">
        <v>487</v>
      </c>
      <c r="BT2" s="295" t="s">
        <v>429</v>
      </c>
      <c r="BU2">
        <v>1000</v>
      </c>
      <c r="BV2">
        <v>1.0629999999999999</v>
      </c>
      <c r="BX2" s="295" t="s">
        <v>425</v>
      </c>
      <c r="BY2" s="295" t="s">
        <v>453</v>
      </c>
      <c r="BZ2" s="295" t="s">
        <v>427</v>
      </c>
      <c r="CA2" s="295" t="s">
        <v>467</v>
      </c>
      <c r="CB2" s="295" t="s">
        <v>487</v>
      </c>
      <c r="CC2" s="295" t="s">
        <v>429</v>
      </c>
      <c r="CD2" s="295" t="s">
        <v>467</v>
      </c>
      <c r="CE2" s="295" t="s">
        <v>487</v>
      </c>
      <c r="CF2" s="295" t="s">
        <v>429</v>
      </c>
      <c r="CG2">
        <v>1000</v>
      </c>
      <c r="CH2">
        <v>1.0629999999999999</v>
      </c>
      <c r="CJ2" s="295" t="s">
        <v>425</v>
      </c>
      <c r="CK2" s="295" t="s">
        <v>453</v>
      </c>
      <c r="CL2" s="295" t="s">
        <v>467</v>
      </c>
      <c r="CM2" s="295" t="s">
        <v>487</v>
      </c>
      <c r="CN2" s="295" t="s">
        <v>429</v>
      </c>
      <c r="CO2" s="295" t="s">
        <v>858</v>
      </c>
      <c r="CP2">
        <v>1000</v>
      </c>
      <c r="CQ2">
        <v>1.0629999999999999</v>
      </c>
      <c r="CS2" s="295" t="s">
        <v>425</v>
      </c>
      <c r="CT2" s="295" t="s">
        <v>453</v>
      </c>
      <c r="CU2" s="295" t="s">
        <v>427</v>
      </c>
      <c r="CV2" s="295" t="s">
        <v>467</v>
      </c>
      <c r="CW2" s="295" t="s">
        <v>487</v>
      </c>
      <c r="CX2" s="295" t="s">
        <v>429</v>
      </c>
      <c r="CY2" s="295" t="s">
        <v>858</v>
      </c>
      <c r="CZ2" s="295" t="s">
        <v>859</v>
      </c>
      <c r="DA2" s="295" t="s">
        <v>860</v>
      </c>
      <c r="DB2">
        <v>1000</v>
      </c>
      <c r="DC2">
        <v>1.0629999999999999</v>
      </c>
      <c r="DE2" s="954" t="s">
        <v>425</v>
      </c>
      <c r="DF2" s="954" t="s">
        <v>453</v>
      </c>
      <c r="DG2" s="954" t="s">
        <v>427</v>
      </c>
      <c r="DH2" s="954" t="s">
        <v>467</v>
      </c>
      <c r="DI2" s="954" t="s">
        <v>487</v>
      </c>
      <c r="DJ2" s="954" t="s">
        <v>429</v>
      </c>
      <c r="DK2" s="954" t="s">
        <v>467</v>
      </c>
      <c r="DL2">
        <v>1000</v>
      </c>
      <c r="DM2">
        <v>1.0629999999999999</v>
      </c>
      <c r="DO2" s="954" t="s">
        <v>425</v>
      </c>
      <c r="DP2" s="954" t="s">
        <v>453</v>
      </c>
      <c r="DQ2" s="954" t="s">
        <v>427</v>
      </c>
      <c r="DR2" s="954" t="s">
        <v>467</v>
      </c>
      <c r="DS2" s="954" t="s">
        <v>487</v>
      </c>
      <c r="DT2" s="954" t="s">
        <v>429</v>
      </c>
      <c r="DU2" s="954" t="s">
        <v>467</v>
      </c>
      <c r="DV2" s="954" t="s">
        <v>487</v>
      </c>
      <c r="DW2" s="954" t="s">
        <v>429</v>
      </c>
      <c r="DX2">
        <v>1000</v>
      </c>
      <c r="DY2">
        <v>1.0629999999999999</v>
      </c>
      <c r="EA2" s="81" t="s">
        <v>425</v>
      </c>
      <c r="EB2" s="81" t="s">
        <v>453</v>
      </c>
      <c r="EC2" s="81" t="s">
        <v>427</v>
      </c>
      <c r="ED2" s="81" t="s">
        <v>467</v>
      </c>
      <c r="EE2" s="81" t="s">
        <v>487</v>
      </c>
      <c r="EF2" s="81" t="s">
        <v>429</v>
      </c>
      <c r="EH2" s="81" t="s">
        <v>425</v>
      </c>
      <c r="EI2" s="81" t="s">
        <v>453</v>
      </c>
      <c r="EJ2" s="81" t="s">
        <v>427</v>
      </c>
      <c r="EK2" s="81" t="s">
        <v>467</v>
      </c>
      <c r="EL2" s="81" t="s">
        <v>487</v>
      </c>
      <c r="EM2" s="81" t="s">
        <v>429</v>
      </c>
      <c r="EN2" s="81" t="s">
        <v>467</v>
      </c>
      <c r="EO2" s="81" t="s">
        <v>487</v>
      </c>
      <c r="EP2" s="81" t="s">
        <v>429</v>
      </c>
      <c r="EQ2">
        <v>1000</v>
      </c>
      <c r="ER2">
        <v>1.0629999999999999</v>
      </c>
      <c r="ET2" s="316" t="s">
        <v>425</v>
      </c>
      <c r="EU2" s="316" t="s">
        <v>453</v>
      </c>
      <c r="EV2" s="316" t="s">
        <v>427</v>
      </c>
      <c r="EW2" s="316" t="s">
        <v>429</v>
      </c>
      <c r="EX2" s="316" t="s">
        <v>429</v>
      </c>
      <c r="EY2">
        <v>1000</v>
      </c>
      <c r="EZ2">
        <v>1</v>
      </c>
      <c r="FB2" s="316" t="s">
        <v>425</v>
      </c>
      <c r="FC2" s="316" t="s">
        <v>453</v>
      </c>
      <c r="FD2" s="316" t="s">
        <v>427</v>
      </c>
      <c r="FE2" s="316" t="s">
        <v>467</v>
      </c>
      <c r="FF2" s="316" t="s">
        <v>487</v>
      </c>
      <c r="FG2" s="316" t="s">
        <v>429</v>
      </c>
      <c r="FH2" s="316" t="s">
        <v>467</v>
      </c>
      <c r="FI2" s="316" t="s">
        <v>487</v>
      </c>
      <c r="FJ2" s="316" t="s">
        <v>429</v>
      </c>
      <c r="FK2">
        <v>1000</v>
      </c>
      <c r="FL2">
        <v>1</v>
      </c>
      <c r="FN2" s="770" t="s">
        <v>425</v>
      </c>
      <c r="FO2" s="770" t="s">
        <v>453</v>
      </c>
      <c r="FP2" s="770" t="s">
        <v>427</v>
      </c>
      <c r="FQ2" s="770" t="s">
        <v>467</v>
      </c>
      <c r="FR2" s="770" t="s">
        <v>487</v>
      </c>
      <c r="FS2" s="770" t="s">
        <v>429</v>
      </c>
      <c r="FT2" s="770" t="s">
        <v>467</v>
      </c>
      <c r="FU2" s="770" t="s">
        <v>487</v>
      </c>
      <c r="FV2" s="770" t="s">
        <v>429</v>
      </c>
      <c r="FW2">
        <v>1000</v>
      </c>
      <c r="FX2">
        <v>1</v>
      </c>
      <c r="FZ2" s="770" t="s">
        <v>425</v>
      </c>
      <c r="GA2" s="770" t="s">
        <v>453</v>
      </c>
      <c r="GB2" s="770" t="s">
        <v>427</v>
      </c>
      <c r="GC2" s="770" t="s">
        <v>467</v>
      </c>
      <c r="GD2" s="770" t="s">
        <v>487</v>
      </c>
      <c r="GE2" s="770" t="s">
        <v>429</v>
      </c>
      <c r="GF2" s="770" t="s">
        <v>467</v>
      </c>
      <c r="GG2" s="770" t="s">
        <v>487</v>
      </c>
      <c r="GH2" s="770" t="s">
        <v>429</v>
      </c>
      <c r="GI2">
        <v>1000</v>
      </c>
      <c r="GJ2">
        <v>1</v>
      </c>
      <c r="GM2" s="803" t="s">
        <v>425</v>
      </c>
      <c r="GN2" s="803" t="s">
        <v>453</v>
      </c>
      <c r="GO2" s="803" t="s">
        <v>427</v>
      </c>
      <c r="GP2" s="803" t="s">
        <v>429</v>
      </c>
      <c r="GQ2" s="803" t="s">
        <v>429</v>
      </c>
      <c r="GR2">
        <v>1000</v>
      </c>
      <c r="GS2">
        <v>1</v>
      </c>
      <c r="GU2" s="803" t="s">
        <v>425</v>
      </c>
      <c r="GV2" s="803" t="s">
        <v>453</v>
      </c>
      <c r="GW2" s="803" t="s">
        <v>467</v>
      </c>
      <c r="GX2" s="803" t="s">
        <v>487</v>
      </c>
      <c r="GY2" s="803" t="s">
        <v>429</v>
      </c>
      <c r="GZ2" s="803" t="s">
        <v>467</v>
      </c>
      <c r="HA2" s="803" t="s">
        <v>487</v>
      </c>
      <c r="HB2" s="803" t="s">
        <v>429</v>
      </c>
      <c r="HC2">
        <v>1000</v>
      </c>
      <c r="HD2">
        <v>1</v>
      </c>
    </row>
    <row r="3" spans="1:212" ht="15" customHeight="1" x14ac:dyDescent="0.25">
      <c r="A3" s="91" t="s">
        <v>486</v>
      </c>
      <c r="B3" s="91" t="s">
        <v>246</v>
      </c>
      <c r="C3" s="92">
        <v>43660135000</v>
      </c>
      <c r="D3" s="92">
        <f>+C3/$F$2*$G$2</f>
        <v>46410723.504999995</v>
      </c>
      <c r="E3" s="92">
        <v>0</v>
      </c>
      <c r="I3" s="89" t="s">
        <v>703</v>
      </c>
      <c r="J3" s="89" t="s">
        <v>704</v>
      </c>
      <c r="K3" s="90">
        <v>0</v>
      </c>
      <c r="M3" s="89" t="s">
        <v>703</v>
      </c>
      <c r="N3" s="89" t="s">
        <v>704</v>
      </c>
      <c r="O3" s="90">
        <v>2860372000</v>
      </c>
      <c r="P3" s="90">
        <f>+O3/$Q$2*$R$2</f>
        <v>3040575.4359999998</v>
      </c>
      <c r="T3" s="89" t="s">
        <v>703</v>
      </c>
      <c r="U3" s="89" t="s">
        <v>781</v>
      </c>
      <c r="V3" s="90">
        <v>2860372000</v>
      </c>
      <c r="W3" s="90">
        <f>+V3/$Y$2*$Z$2</f>
        <v>3040575.4359999998</v>
      </c>
      <c r="X3" s="90">
        <v>0</v>
      </c>
      <c r="AB3" s="89" t="s">
        <v>703</v>
      </c>
      <c r="AC3" s="89" t="s">
        <v>781</v>
      </c>
      <c r="AD3" s="90">
        <v>2860372000</v>
      </c>
      <c r="AE3" s="240">
        <f>+AD3/$AF$2*$AG$2</f>
        <v>3040575.4359999998</v>
      </c>
      <c r="AF3" s="80"/>
      <c r="AG3" s="80"/>
      <c r="AJ3" s="86" t="s">
        <v>544</v>
      </c>
      <c r="AK3" s="86" t="s">
        <v>545</v>
      </c>
      <c r="AL3" s="296" t="s">
        <v>825</v>
      </c>
      <c r="AM3" s="296" t="s">
        <v>826</v>
      </c>
      <c r="AN3" s="87">
        <v>10</v>
      </c>
      <c r="AO3" s="87">
        <v>0</v>
      </c>
      <c r="AP3" s="87">
        <v>0</v>
      </c>
      <c r="AQ3" s="301">
        <f t="shared" ref="AQ3:AS4" si="0">+AN3/$AT$2*$AU$2</f>
        <v>1.0629999999999999E-2</v>
      </c>
      <c r="AR3" s="301">
        <f t="shared" si="0"/>
        <v>0</v>
      </c>
      <c r="AS3" s="301">
        <f t="shared" si="0"/>
        <v>0</v>
      </c>
      <c r="AW3" s="86" t="s">
        <v>544</v>
      </c>
      <c r="AX3" s="86" t="s">
        <v>545</v>
      </c>
      <c r="AY3" s="86" t="s">
        <v>447</v>
      </c>
      <c r="AZ3" s="86" t="s">
        <v>447</v>
      </c>
      <c r="BA3" s="296" t="s">
        <v>825</v>
      </c>
      <c r="BB3" s="87">
        <v>10</v>
      </c>
      <c r="BC3" s="87">
        <v>0</v>
      </c>
      <c r="BD3" s="87">
        <v>0</v>
      </c>
      <c r="BE3" s="166">
        <f t="shared" ref="BE3:BG7" si="1">+BB3/$BH$2*$BI$2</f>
        <v>1.0629999999999999E-2</v>
      </c>
      <c r="BF3" s="166">
        <f t="shared" si="1"/>
        <v>0</v>
      </c>
      <c r="BG3" s="166">
        <f t="shared" si="1"/>
        <v>0</v>
      </c>
      <c r="BK3" s="88" t="s">
        <v>544</v>
      </c>
      <c r="BL3" s="88" t="s">
        <v>545</v>
      </c>
      <c r="BM3" s="354" t="s">
        <v>825</v>
      </c>
      <c r="BN3" s="354" t="s">
        <v>826</v>
      </c>
      <c r="BO3" s="79">
        <v>116132000</v>
      </c>
      <c r="BP3" s="79">
        <v>0</v>
      </c>
      <c r="BQ3" s="79">
        <v>0</v>
      </c>
      <c r="BR3" s="166">
        <f t="shared" ref="BR3:BT5" si="2">+BO3/$BU$2*$BV$2</f>
        <v>123448.31599999999</v>
      </c>
      <c r="BS3" s="166">
        <f t="shared" si="2"/>
        <v>0</v>
      </c>
      <c r="BT3" s="166">
        <f t="shared" si="2"/>
        <v>0</v>
      </c>
      <c r="BX3" s="307" t="s">
        <v>544</v>
      </c>
      <c r="BY3" s="307" t="s">
        <v>545</v>
      </c>
      <c r="BZ3" s="308" t="s">
        <v>825</v>
      </c>
      <c r="CA3" s="309">
        <v>116132010</v>
      </c>
      <c r="CB3" s="309">
        <v>0</v>
      </c>
      <c r="CC3" s="309">
        <v>0</v>
      </c>
      <c r="CD3" s="166">
        <f t="shared" ref="CD3:CF7" si="3">+CA3/$CG$2*$CH$2</f>
        <v>123448.32662999998</v>
      </c>
      <c r="CE3" s="166">
        <f t="shared" si="3"/>
        <v>0</v>
      </c>
      <c r="CF3" s="166">
        <f t="shared" si="3"/>
        <v>0</v>
      </c>
      <c r="CJ3" s="308" t="s">
        <v>703</v>
      </c>
      <c r="CK3" s="308" t="s">
        <v>781</v>
      </c>
      <c r="CL3" s="549">
        <v>454776000</v>
      </c>
      <c r="CM3" s="307">
        <v>0</v>
      </c>
      <c r="CN3" s="307">
        <v>0</v>
      </c>
      <c r="CO3" s="549">
        <f>+CL3/$CP$2*$CQ$2</f>
        <v>483426.88799999998</v>
      </c>
      <c r="CS3" s="308" t="s">
        <v>544</v>
      </c>
      <c r="CT3" s="308" t="s">
        <v>545</v>
      </c>
      <c r="CU3" s="308" t="s">
        <v>825</v>
      </c>
      <c r="CV3" s="549">
        <v>116132010</v>
      </c>
      <c r="CW3" s="549">
        <v>0</v>
      </c>
      <c r="CX3" s="549">
        <v>0</v>
      </c>
      <c r="CY3" s="549">
        <f t="shared" ref="CY3:DA7" si="4">+CV3/$DB$2*$DC$2</f>
        <v>123448.32662999998</v>
      </c>
      <c r="CZ3" s="549">
        <f t="shared" si="4"/>
        <v>0</v>
      </c>
      <c r="DA3" s="549">
        <f t="shared" si="4"/>
        <v>0</v>
      </c>
      <c r="DE3" s="602" t="s">
        <v>703</v>
      </c>
      <c r="DF3" s="602" t="s">
        <v>781</v>
      </c>
      <c r="DG3" s="603" t="s">
        <v>825</v>
      </c>
      <c r="DH3" s="604">
        <v>21830067000</v>
      </c>
      <c r="DI3" s="604">
        <v>0</v>
      </c>
      <c r="DJ3" s="604">
        <v>0</v>
      </c>
      <c r="DK3" s="605">
        <f>+DH3/$DL$2*$DM$2</f>
        <v>23205361.220999997</v>
      </c>
      <c r="DO3" s="86" t="s">
        <v>544</v>
      </c>
      <c r="DP3" s="86" t="s">
        <v>545</v>
      </c>
      <c r="DQ3" s="296" t="s">
        <v>825</v>
      </c>
      <c r="DR3" s="87">
        <v>116132010</v>
      </c>
      <c r="DS3" s="87">
        <v>0</v>
      </c>
      <c r="DT3" s="87">
        <v>0</v>
      </c>
      <c r="DU3" s="601">
        <f t="shared" ref="DU3:DW7" si="5">+DR3/$DX$2*$DY$2</f>
        <v>123448.32662999998</v>
      </c>
      <c r="DV3" s="601">
        <f t="shared" si="5"/>
        <v>0</v>
      </c>
      <c r="DW3" s="601">
        <f t="shared" si="5"/>
        <v>0</v>
      </c>
      <c r="EA3" s="350" t="s">
        <v>712</v>
      </c>
      <c r="EB3" s="350" t="s">
        <v>713</v>
      </c>
      <c r="EC3" s="638" t="s">
        <v>825</v>
      </c>
      <c r="ED3" s="244">
        <v>-942984000</v>
      </c>
      <c r="EE3" s="244">
        <v>0</v>
      </c>
      <c r="EF3" s="244">
        <v>0</v>
      </c>
      <c r="EH3" s="646" t="s">
        <v>544</v>
      </c>
      <c r="EI3" s="646" t="s">
        <v>545</v>
      </c>
      <c r="EJ3" s="647" t="s">
        <v>825</v>
      </c>
      <c r="EK3" s="648">
        <v>116132010</v>
      </c>
      <c r="EL3" s="648">
        <v>0</v>
      </c>
      <c r="EM3" s="648">
        <v>0</v>
      </c>
      <c r="EN3" s="637">
        <f t="shared" ref="EN3:EP7" si="6">+EK3/$EQ$2*$ER$2</f>
        <v>123448.32662999998</v>
      </c>
      <c r="EO3" s="637">
        <f t="shared" si="6"/>
        <v>0</v>
      </c>
      <c r="EP3" s="637">
        <f t="shared" si="6"/>
        <v>0</v>
      </c>
      <c r="ET3" s="624" t="s">
        <v>703</v>
      </c>
      <c r="EU3" s="624" t="s">
        <v>781</v>
      </c>
      <c r="EV3" s="354" t="s">
        <v>825</v>
      </c>
      <c r="EW3" s="79">
        <v>4635810000</v>
      </c>
      <c r="EX3" s="166">
        <f>+EW3/EY2*EZ2</f>
        <v>4635810</v>
      </c>
      <c r="FB3" s="307" t="s">
        <v>544</v>
      </c>
      <c r="FC3" s="624" t="s">
        <v>545</v>
      </c>
      <c r="FD3" s="354" t="s">
        <v>825</v>
      </c>
      <c r="FE3" s="79">
        <v>116132010</v>
      </c>
      <c r="FF3" s="79">
        <v>0</v>
      </c>
      <c r="FG3" s="79">
        <v>0</v>
      </c>
      <c r="FH3" s="166">
        <f t="shared" ref="FH3:FJ8" si="7">+FE3/$FK$2*$FL$2</f>
        <v>116132.01</v>
      </c>
      <c r="FI3" s="166">
        <f t="shared" si="7"/>
        <v>0</v>
      </c>
      <c r="FJ3" s="166">
        <f t="shared" si="7"/>
        <v>0</v>
      </c>
      <c r="FN3" s="307" t="s">
        <v>703</v>
      </c>
      <c r="FO3" s="307" t="s">
        <v>781</v>
      </c>
      <c r="FP3" s="308" t="s">
        <v>825</v>
      </c>
      <c r="FQ3" s="309">
        <v>12898063000</v>
      </c>
      <c r="FR3" s="752">
        <v>0</v>
      </c>
      <c r="FS3" s="752">
        <v>0</v>
      </c>
      <c r="FT3" s="240">
        <f>+FQ3/$FW$2*$FX$2</f>
        <v>12898063</v>
      </c>
      <c r="FU3" s="240">
        <f t="shared" ref="FU3:FV3" si="8">+FR3/$FW$2*$FX$2</f>
        <v>0</v>
      </c>
      <c r="FV3" s="240">
        <f t="shared" si="8"/>
        <v>0</v>
      </c>
      <c r="FZ3" s="88" t="s">
        <v>544</v>
      </c>
      <c r="GA3" s="88" t="s">
        <v>545</v>
      </c>
      <c r="GB3" s="354" t="s">
        <v>825</v>
      </c>
      <c r="GC3" s="79">
        <v>116132010</v>
      </c>
      <c r="GD3" s="79">
        <v>0</v>
      </c>
      <c r="GE3" s="79">
        <v>0</v>
      </c>
      <c r="GF3" s="79">
        <f>+GC3/$GI$2*$GJ$2</f>
        <v>116132.01</v>
      </c>
      <c r="GG3" s="79">
        <f t="shared" ref="GG3:GH8" si="9">+GD3/$GI$2*$GJ$2</f>
        <v>0</v>
      </c>
      <c r="GH3" s="79">
        <f t="shared" si="9"/>
        <v>0</v>
      </c>
      <c r="GM3" s="88" t="s">
        <v>544</v>
      </c>
      <c r="GN3" s="88" t="s">
        <v>545</v>
      </c>
      <c r="GO3" s="88" t="s">
        <v>825</v>
      </c>
      <c r="GP3" s="79">
        <v>0</v>
      </c>
      <c r="GQ3" s="79">
        <f>+GP3/$GR$2*$GS$2</f>
        <v>0</v>
      </c>
      <c r="GU3" s="773" t="s">
        <v>544</v>
      </c>
      <c r="GV3" s="773" t="s">
        <v>545</v>
      </c>
      <c r="GW3" s="761">
        <v>1493087010</v>
      </c>
      <c r="GX3" s="761">
        <v>0</v>
      </c>
      <c r="GY3" s="761">
        <v>0</v>
      </c>
      <c r="GZ3" s="166">
        <f>+GW3/$HC$2*$HD$2</f>
        <v>1493087.01</v>
      </c>
      <c r="HA3" s="166">
        <f t="shared" ref="HA3:HB3" si="10">+GX3/$HC$2*$HD$2</f>
        <v>0</v>
      </c>
      <c r="HB3" s="166">
        <f t="shared" si="10"/>
        <v>0</v>
      </c>
    </row>
    <row r="4" spans="1:212" ht="15" customHeight="1" x14ac:dyDescent="0.25">
      <c r="A4" s="91" t="s">
        <v>712</v>
      </c>
      <c r="B4" s="91" t="s">
        <v>713</v>
      </c>
      <c r="C4" s="92">
        <v>34794607000</v>
      </c>
      <c r="D4" s="92">
        <f>+C4/$F$2*$G$2</f>
        <v>36986667.240999997</v>
      </c>
      <c r="E4" s="92">
        <v>0</v>
      </c>
      <c r="I4" s="89" t="s">
        <v>712</v>
      </c>
      <c r="J4" s="89" t="s">
        <v>713</v>
      </c>
      <c r="K4" s="90">
        <v>0</v>
      </c>
      <c r="M4" s="89" t="s">
        <v>486</v>
      </c>
      <c r="N4" s="89" t="s">
        <v>246</v>
      </c>
      <c r="O4" s="90">
        <v>43660135000</v>
      </c>
      <c r="P4" s="90">
        <f>+O4/$Q$2*$R$2</f>
        <v>46410723.504999995</v>
      </c>
      <c r="T4" s="89" t="s">
        <v>486</v>
      </c>
      <c r="U4" s="89" t="s">
        <v>246</v>
      </c>
      <c r="V4" s="90">
        <v>43660135000</v>
      </c>
      <c r="W4" s="90">
        <f>+V4/$Y$2*$Z$2</f>
        <v>46410723.504999995</v>
      </c>
      <c r="X4" s="90">
        <v>0</v>
      </c>
      <c r="AB4" s="89" t="s">
        <v>486</v>
      </c>
      <c r="AC4" s="89" t="s">
        <v>246</v>
      </c>
      <c r="AD4" s="90">
        <v>43660135000</v>
      </c>
      <c r="AE4" s="240">
        <f>+AD4/$AF$2*$AG$2</f>
        <v>46410723.504999995</v>
      </c>
      <c r="AF4" s="80"/>
      <c r="AG4" s="80"/>
      <c r="AJ4" s="86" t="s">
        <v>544</v>
      </c>
      <c r="AK4" s="86" t="s">
        <v>545</v>
      </c>
      <c r="AL4" s="296" t="s">
        <v>825</v>
      </c>
      <c r="AM4" s="296" t="s">
        <v>826</v>
      </c>
      <c r="AN4" s="87">
        <v>0</v>
      </c>
      <c r="AO4" s="87">
        <v>1376955000</v>
      </c>
      <c r="AP4" s="87">
        <v>1376955000</v>
      </c>
      <c r="AQ4" s="301">
        <f t="shared" si="0"/>
        <v>0</v>
      </c>
      <c r="AR4" s="301">
        <f t="shared" si="0"/>
        <v>1463703.165</v>
      </c>
      <c r="AS4" s="301">
        <f t="shared" si="0"/>
        <v>1463703.165</v>
      </c>
      <c r="AW4" s="86" t="s">
        <v>544</v>
      </c>
      <c r="AX4" s="86" t="s">
        <v>545</v>
      </c>
      <c r="AY4" s="86" t="s">
        <v>447</v>
      </c>
      <c r="AZ4" s="86" t="s">
        <v>447</v>
      </c>
      <c r="BA4" s="296" t="s">
        <v>825</v>
      </c>
      <c r="BB4" s="87">
        <v>0</v>
      </c>
      <c r="BC4" s="87">
        <v>1376955000</v>
      </c>
      <c r="BD4" s="87">
        <v>1376955000</v>
      </c>
      <c r="BE4" s="166">
        <f t="shared" si="1"/>
        <v>0</v>
      </c>
      <c r="BF4" s="166">
        <f t="shared" si="1"/>
        <v>1463703.165</v>
      </c>
      <c r="BG4" s="166">
        <f t="shared" si="1"/>
        <v>1463703.165</v>
      </c>
      <c r="BK4" s="88" t="s">
        <v>544</v>
      </c>
      <c r="BL4" s="88" t="s">
        <v>545</v>
      </c>
      <c r="BM4" s="354" t="s">
        <v>825</v>
      </c>
      <c r="BN4" s="354" t="s">
        <v>826</v>
      </c>
      <c r="BO4" s="79">
        <v>0</v>
      </c>
      <c r="BP4" s="79">
        <v>116132000</v>
      </c>
      <c r="BQ4" s="79">
        <v>116132000</v>
      </c>
      <c r="BR4" s="166">
        <f t="shared" si="2"/>
        <v>0</v>
      </c>
      <c r="BS4" s="166">
        <f t="shared" si="2"/>
        <v>123448.31599999999</v>
      </c>
      <c r="BT4" s="166">
        <f t="shared" si="2"/>
        <v>123448.31599999999</v>
      </c>
      <c r="BX4" s="307" t="s">
        <v>544</v>
      </c>
      <c r="BY4" s="307" t="s">
        <v>545</v>
      </c>
      <c r="BZ4" s="308" t="s">
        <v>825</v>
      </c>
      <c r="CA4" s="309">
        <v>0</v>
      </c>
      <c r="CB4" s="309">
        <v>1493087000</v>
      </c>
      <c r="CC4" s="309">
        <v>1493087000</v>
      </c>
      <c r="CD4" s="166">
        <f t="shared" si="3"/>
        <v>0</v>
      </c>
      <c r="CE4" s="166">
        <f t="shared" si="3"/>
        <v>1587151.4809999999</v>
      </c>
      <c r="CF4" s="166">
        <f t="shared" si="3"/>
        <v>1587151.4809999999</v>
      </c>
      <c r="CJ4" s="308" t="s">
        <v>486</v>
      </c>
      <c r="CK4" s="308" t="s">
        <v>246</v>
      </c>
      <c r="CL4" s="549">
        <v>-1474804000</v>
      </c>
      <c r="CM4" s="307">
        <v>0</v>
      </c>
      <c r="CN4" s="307">
        <v>0</v>
      </c>
      <c r="CO4" s="549">
        <f>+CL4/$CP$2*$CQ$2</f>
        <v>-1567716.652</v>
      </c>
      <c r="CS4" s="308" t="s">
        <v>544</v>
      </c>
      <c r="CT4" s="308" t="s">
        <v>545</v>
      </c>
      <c r="CU4" s="308" t="s">
        <v>825</v>
      </c>
      <c r="CV4" s="549">
        <v>0</v>
      </c>
      <c r="CW4" s="549">
        <v>1493087000</v>
      </c>
      <c r="CX4" s="549">
        <v>1493087000</v>
      </c>
      <c r="CY4" s="549">
        <f t="shared" si="4"/>
        <v>0</v>
      </c>
      <c r="CZ4" s="549">
        <f t="shared" si="4"/>
        <v>1587151.4809999999</v>
      </c>
      <c r="DA4" s="549">
        <f t="shared" si="4"/>
        <v>1587151.4809999999</v>
      </c>
      <c r="DE4" s="602" t="s">
        <v>712</v>
      </c>
      <c r="DF4" s="602" t="s">
        <v>713</v>
      </c>
      <c r="DG4" s="603" t="s">
        <v>825</v>
      </c>
      <c r="DH4" s="604">
        <v>-23868290000</v>
      </c>
      <c r="DI4" s="604">
        <v>0</v>
      </c>
      <c r="DJ4" s="604">
        <v>0</v>
      </c>
      <c r="DK4" s="605">
        <f>+DH4/$DL$2*$DM$2</f>
        <v>-25371992.27</v>
      </c>
      <c r="DO4" s="86" t="s">
        <v>544</v>
      </c>
      <c r="DP4" s="86" t="s">
        <v>545</v>
      </c>
      <c r="DQ4" s="296" t="s">
        <v>825</v>
      </c>
      <c r="DR4" s="87">
        <v>0</v>
      </c>
      <c r="DS4" s="87">
        <v>1493087000</v>
      </c>
      <c r="DT4" s="87">
        <v>1493087000</v>
      </c>
      <c r="DU4" s="601">
        <f t="shared" si="5"/>
        <v>0</v>
      </c>
      <c r="DV4" s="601">
        <f t="shared" si="5"/>
        <v>1587151.4809999999</v>
      </c>
      <c r="DW4" s="601">
        <f t="shared" si="5"/>
        <v>1587151.4809999999</v>
      </c>
      <c r="EH4" s="646" t="s">
        <v>544</v>
      </c>
      <c r="EI4" s="646" t="s">
        <v>545</v>
      </c>
      <c r="EJ4" s="647" t="s">
        <v>825</v>
      </c>
      <c r="EK4" s="648">
        <v>0</v>
      </c>
      <c r="EL4" s="648">
        <v>1493087000</v>
      </c>
      <c r="EM4" s="648">
        <v>1493087000</v>
      </c>
      <c r="EN4" s="637">
        <f t="shared" si="6"/>
        <v>0</v>
      </c>
      <c r="EO4" s="637">
        <f t="shared" si="6"/>
        <v>1587151.4809999999</v>
      </c>
      <c r="EP4" s="637">
        <f t="shared" si="6"/>
        <v>1587151.4809999999</v>
      </c>
      <c r="FB4" s="307" t="s">
        <v>544</v>
      </c>
      <c r="FC4" s="624" t="s">
        <v>545</v>
      </c>
      <c r="FD4" s="354" t="s">
        <v>825</v>
      </c>
      <c r="FE4" s="79">
        <v>0</v>
      </c>
      <c r="FF4" s="79">
        <v>1493087000</v>
      </c>
      <c r="FG4" s="79">
        <v>1493087000</v>
      </c>
      <c r="FH4" s="166">
        <f t="shared" si="7"/>
        <v>0</v>
      </c>
      <c r="FI4" s="166">
        <f t="shared" si="7"/>
        <v>1493087</v>
      </c>
      <c r="FJ4" s="166">
        <f t="shared" si="7"/>
        <v>1493087</v>
      </c>
      <c r="FN4" s="307" t="s">
        <v>486</v>
      </c>
      <c r="FO4" s="307" t="s">
        <v>246</v>
      </c>
      <c r="FP4" s="308" t="s">
        <v>825</v>
      </c>
      <c r="FQ4" s="309">
        <v>-36526553000</v>
      </c>
      <c r="FR4" s="752">
        <v>0</v>
      </c>
      <c r="FS4" s="752">
        <v>0</v>
      </c>
      <c r="FT4" s="240">
        <f t="shared" ref="FT4:FT5" si="11">+FQ4/$FW$2*$FX$2</f>
        <v>-36526553</v>
      </c>
      <c r="FU4" s="240">
        <f t="shared" ref="FU4:FU5" si="12">+FR4/$FW$2*$FX$2</f>
        <v>0</v>
      </c>
      <c r="FV4" s="240">
        <f t="shared" ref="FV4:FV5" si="13">+FS4/$FW$2*$FX$2</f>
        <v>0</v>
      </c>
      <c r="FZ4" s="88" t="s">
        <v>544</v>
      </c>
      <c r="GA4" s="88" t="s">
        <v>545</v>
      </c>
      <c r="GB4" s="354" t="s">
        <v>825</v>
      </c>
      <c r="GC4" s="79">
        <v>0</v>
      </c>
      <c r="GD4" s="79">
        <v>1493087000</v>
      </c>
      <c r="GE4" s="79">
        <v>1493087000</v>
      </c>
      <c r="GF4" s="79">
        <f t="shared" ref="GF4:GF8" si="14">+GC4/$GI$2*$GJ$2</f>
        <v>0</v>
      </c>
      <c r="GG4" s="79">
        <f t="shared" si="9"/>
        <v>1493087</v>
      </c>
      <c r="GH4" s="79">
        <f t="shared" si="9"/>
        <v>1493087</v>
      </c>
      <c r="GM4" s="88" t="s">
        <v>703</v>
      </c>
      <c r="GN4" s="88" t="s">
        <v>781</v>
      </c>
      <c r="GO4" s="88" t="s">
        <v>825</v>
      </c>
      <c r="GP4" s="79">
        <v>33073588000</v>
      </c>
      <c r="GQ4" s="79">
        <f t="shared" ref="GQ4:GQ7" si="15">+GP4/$GR$2*$GS$2</f>
        <v>33073588</v>
      </c>
      <c r="GU4" s="773" t="s">
        <v>544</v>
      </c>
      <c r="GV4" s="773" t="s">
        <v>545</v>
      </c>
      <c r="GW4" s="761">
        <v>0</v>
      </c>
      <c r="GX4" s="761">
        <v>1493087000</v>
      </c>
      <c r="GY4" s="761">
        <v>1493087000</v>
      </c>
      <c r="GZ4" s="166">
        <f t="shared" ref="GZ4:GZ8" si="16">+GW4/$HC$2*$HD$2</f>
        <v>0</v>
      </c>
      <c r="HA4" s="166">
        <f t="shared" ref="HA4:HA8" si="17">+GX4/$HC$2*$HD$2</f>
        <v>1493087</v>
      </c>
      <c r="HB4" s="166">
        <f t="shared" ref="HB4:HB8" si="18">+GY4/$HC$2*$HD$2</f>
        <v>1493087</v>
      </c>
    </row>
    <row r="5" spans="1:212" ht="15" customHeight="1" x14ac:dyDescent="0.25">
      <c r="M5" s="89" t="s">
        <v>712</v>
      </c>
      <c r="N5" s="89" t="s">
        <v>713</v>
      </c>
      <c r="O5" s="90">
        <v>31934235000</v>
      </c>
      <c r="P5" s="90">
        <f>+O5/$Q$2*$R$2</f>
        <v>33946091.805</v>
      </c>
      <c r="T5" s="89" t="s">
        <v>712</v>
      </c>
      <c r="U5" s="89" t="s">
        <v>713</v>
      </c>
      <c r="V5" s="90">
        <v>31934235000</v>
      </c>
      <c r="W5" s="90">
        <f>+V5/$Y$2*$Z$2</f>
        <v>33946091.805</v>
      </c>
      <c r="X5" s="90">
        <v>0</v>
      </c>
      <c r="AB5" s="89" t="s">
        <v>712</v>
      </c>
      <c r="AC5" s="89" t="s">
        <v>713</v>
      </c>
      <c r="AD5" s="90">
        <v>31934235000</v>
      </c>
      <c r="AE5" s="240">
        <f>+AD5/$AF$2*$AG$2</f>
        <v>33946091.805</v>
      </c>
      <c r="AF5" s="80"/>
      <c r="AG5" s="80"/>
      <c r="AW5" s="86" t="s">
        <v>703</v>
      </c>
      <c r="AX5" s="86" t="s">
        <v>781</v>
      </c>
      <c r="AY5" s="86" t="s">
        <v>447</v>
      </c>
      <c r="AZ5" s="86" t="s">
        <v>447</v>
      </c>
      <c r="BA5" s="296" t="s">
        <v>825</v>
      </c>
      <c r="BB5" s="87">
        <v>2860372000</v>
      </c>
      <c r="BC5" s="87">
        <v>0</v>
      </c>
      <c r="BD5" s="87">
        <v>0</v>
      </c>
      <c r="BE5" s="166">
        <f t="shared" si="1"/>
        <v>3040575.4359999998</v>
      </c>
      <c r="BF5" s="166">
        <f t="shared" si="1"/>
        <v>0</v>
      </c>
      <c r="BG5" s="166">
        <f t="shared" si="1"/>
        <v>0</v>
      </c>
      <c r="BK5" s="88" t="s">
        <v>486</v>
      </c>
      <c r="BL5" s="88" t="s">
        <v>246</v>
      </c>
      <c r="BM5" s="354" t="s">
        <v>825</v>
      </c>
      <c r="BN5" s="354" t="s">
        <v>846</v>
      </c>
      <c r="BO5" s="79">
        <v>-1266890000</v>
      </c>
      <c r="BP5" s="79">
        <v>0</v>
      </c>
      <c r="BQ5" s="79">
        <v>0</v>
      </c>
      <c r="BR5" s="166">
        <f t="shared" si="2"/>
        <v>-1346704.0699999998</v>
      </c>
      <c r="BS5" s="166">
        <f t="shared" si="2"/>
        <v>0</v>
      </c>
      <c r="BT5" s="166">
        <f t="shared" si="2"/>
        <v>0</v>
      </c>
      <c r="BX5" s="307" t="s">
        <v>703</v>
      </c>
      <c r="BY5" s="307" t="s">
        <v>781</v>
      </c>
      <c r="BZ5" s="308" t="s">
        <v>825</v>
      </c>
      <c r="CA5" s="309">
        <v>2860372000</v>
      </c>
      <c r="CB5" s="309">
        <v>0</v>
      </c>
      <c r="CC5" s="309">
        <v>0</v>
      </c>
      <c r="CD5" s="166">
        <f t="shared" si="3"/>
        <v>3040575.4359999998</v>
      </c>
      <c r="CE5" s="166">
        <f t="shared" si="3"/>
        <v>0</v>
      </c>
      <c r="CF5" s="166">
        <f t="shared" si="3"/>
        <v>0</v>
      </c>
      <c r="CJ5" s="308" t="s">
        <v>712</v>
      </c>
      <c r="CK5" s="308" t="s">
        <v>713</v>
      </c>
      <c r="CL5" s="549">
        <v>-1791711000</v>
      </c>
      <c r="CM5" s="307">
        <v>0</v>
      </c>
      <c r="CN5" s="307">
        <v>0</v>
      </c>
      <c r="CO5" s="549">
        <f>+CL5/$CP$2*$CQ$2</f>
        <v>-1904588.7929999998</v>
      </c>
      <c r="CS5" s="308" t="s">
        <v>703</v>
      </c>
      <c r="CT5" s="308" t="s">
        <v>781</v>
      </c>
      <c r="CU5" s="308" t="s">
        <v>825</v>
      </c>
      <c r="CV5" s="549">
        <v>3315148000</v>
      </c>
      <c r="CW5" s="549">
        <v>0</v>
      </c>
      <c r="CX5" s="549">
        <v>0</v>
      </c>
      <c r="CY5" s="549">
        <f t="shared" si="4"/>
        <v>3524002.324</v>
      </c>
      <c r="CZ5" s="549">
        <f t="shared" si="4"/>
        <v>0</v>
      </c>
      <c r="DA5" s="549">
        <f t="shared" si="4"/>
        <v>0</v>
      </c>
      <c r="DO5" s="86" t="s">
        <v>703</v>
      </c>
      <c r="DP5" s="86" t="s">
        <v>781</v>
      </c>
      <c r="DQ5" s="296" t="s">
        <v>825</v>
      </c>
      <c r="DR5" s="87">
        <v>25145215000</v>
      </c>
      <c r="DS5" s="87">
        <v>0</v>
      </c>
      <c r="DT5" s="87">
        <v>0</v>
      </c>
      <c r="DU5" s="601">
        <f t="shared" si="5"/>
        <v>26729363.544999998</v>
      </c>
      <c r="DV5" s="601">
        <f t="shared" si="5"/>
        <v>0</v>
      </c>
      <c r="DW5" s="601">
        <f t="shared" si="5"/>
        <v>0</v>
      </c>
      <c r="EH5" s="646" t="s">
        <v>703</v>
      </c>
      <c r="EI5" s="646" t="s">
        <v>781</v>
      </c>
      <c r="EJ5" s="647" t="s">
        <v>825</v>
      </c>
      <c r="EK5" s="648">
        <v>25145215000</v>
      </c>
      <c r="EL5" s="648">
        <v>0</v>
      </c>
      <c r="EM5" s="648">
        <v>0</v>
      </c>
      <c r="EN5" s="637">
        <f t="shared" si="6"/>
        <v>26729363.544999998</v>
      </c>
      <c r="EO5" s="637">
        <f t="shared" si="6"/>
        <v>0</v>
      </c>
      <c r="EP5" s="637">
        <f t="shared" si="6"/>
        <v>0</v>
      </c>
      <c r="FB5" s="307" t="s">
        <v>703</v>
      </c>
      <c r="FC5" s="624" t="s">
        <v>781</v>
      </c>
      <c r="FD5" s="354" t="s">
        <v>825</v>
      </c>
      <c r="FE5" s="79">
        <v>25145215000</v>
      </c>
      <c r="FF5" s="79">
        <v>0</v>
      </c>
      <c r="FG5" s="79">
        <v>0</v>
      </c>
      <c r="FH5" s="166">
        <f t="shared" si="7"/>
        <v>25145215</v>
      </c>
      <c r="FI5" s="166">
        <f t="shared" si="7"/>
        <v>0</v>
      </c>
      <c r="FJ5" s="166">
        <f t="shared" si="7"/>
        <v>0</v>
      </c>
      <c r="FN5" s="307" t="s">
        <v>712</v>
      </c>
      <c r="FO5" s="307" t="s">
        <v>713</v>
      </c>
      <c r="FP5" s="308" t="s">
        <v>825</v>
      </c>
      <c r="FQ5" s="309">
        <v>8154047000</v>
      </c>
      <c r="FR5" s="752">
        <v>0</v>
      </c>
      <c r="FS5" s="752">
        <v>0</v>
      </c>
      <c r="FT5" s="240">
        <f t="shared" si="11"/>
        <v>8154047</v>
      </c>
      <c r="FU5" s="240">
        <f t="shared" si="12"/>
        <v>0</v>
      </c>
      <c r="FV5" s="240">
        <f t="shared" si="13"/>
        <v>0</v>
      </c>
      <c r="FZ5" s="88" t="s">
        <v>703</v>
      </c>
      <c r="GA5" s="88" t="s">
        <v>781</v>
      </c>
      <c r="GB5" s="354" t="s">
        <v>825</v>
      </c>
      <c r="GC5" s="79">
        <v>38043278000</v>
      </c>
      <c r="GD5" s="79">
        <v>0</v>
      </c>
      <c r="GE5" s="79">
        <v>0</v>
      </c>
      <c r="GF5" s="79">
        <f t="shared" si="14"/>
        <v>38043278</v>
      </c>
      <c r="GG5" s="79">
        <f t="shared" si="9"/>
        <v>0</v>
      </c>
      <c r="GH5" s="79">
        <f t="shared" si="9"/>
        <v>0</v>
      </c>
      <c r="GM5" s="88" t="s">
        <v>703</v>
      </c>
      <c r="GN5" s="88" t="s">
        <v>781</v>
      </c>
      <c r="GO5" s="88" t="s">
        <v>825</v>
      </c>
      <c r="GP5" s="79">
        <v>0</v>
      </c>
      <c r="GQ5" s="79">
        <f t="shared" si="15"/>
        <v>0</v>
      </c>
      <c r="GU5" s="773" t="s">
        <v>703</v>
      </c>
      <c r="GV5" s="773" t="s">
        <v>781</v>
      </c>
      <c r="GW5" s="761">
        <v>37857248000</v>
      </c>
      <c r="GX5" s="761">
        <v>0</v>
      </c>
      <c r="GY5" s="761">
        <v>0</v>
      </c>
      <c r="GZ5" s="166">
        <f t="shared" si="16"/>
        <v>37857248</v>
      </c>
      <c r="HA5" s="166">
        <f t="shared" si="17"/>
        <v>0</v>
      </c>
      <c r="HB5" s="166">
        <f t="shared" si="18"/>
        <v>0</v>
      </c>
    </row>
    <row r="6" spans="1:212" ht="15" customHeight="1" x14ac:dyDescent="0.25">
      <c r="W6" s="78">
        <f>SUM(W3:W5)</f>
        <v>83397390.745999992</v>
      </c>
      <c r="AW6" s="86" t="s">
        <v>486</v>
      </c>
      <c r="AX6" s="86" t="s">
        <v>246</v>
      </c>
      <c r="AY6" s="86" t="s">
        <v>447</v>
      </c>
      <c r="AZ6" s="86" t="s">
        <v>447</v>
      </c>
      <c r="BA6" s="296" t="s">
        <v>825</v>
      </c>
      <c r="BB6" s="87">
        <v>43660135000</v>
      </c>
      <c r="BC6" s="87">
        <v>0</v>
      </c>
      <c r="BD6" s="87">
        <v>0</v>
      </c>
      <c r="BE6" s="166">
        <f t="shared" si="1"/>
        <v>46410723.504999995</v>
      </c>
      <c r="BF6" s="166">
        <f t="shared" si="1"/>
        <v>0</v>
      </c>
      <c r="BG6" s="166">
        <f t="shared" si="1"/>
        <v>0</v>
      </c>
      <c r="BX6" s="307" t="s">
        <v>486</v>
      </c>
      <c r="BY6" s="307" t="s">
        <v>246</v>
      </c>
      <c r="BZ6" s="308" t="s">
        <v>825</v>
      </c>
      <c r="CA6" s="309">
        <v>42393245000</v>
      </c>
      <c r="CB6" s="309">
        <v>0</v>
      </c>
      <c r="CC6" s="309">
        <v>0</v>
      </c>
      <c r="CD6" s="166">
        <f t="shared" si="3"/>
        <v>45064019.434999995</v>
      </c>
      <c r="CE6" s="166">
        <f t="shared" si="3"/>
        <v>0</v>
      </c>
      <c r="CF6" s="166">
        <f t="shared" si="3"/>
        <v>0</v>
      </c>
      <c r="CS6" s="308" t="s">
        <v>486</v>
      </c>
      <c r="CT6" s="308" t="s">
        <v>246</v>
      </c>
      <c r="CU6" s="308" t="s">
        <v>825</v>
      </c>
      <c r="CV6" s="549">
        <v>37985246000</v>
      </c>
      <c r="CW6" s="549">
        <v>0</v>
      </c>
      <c r="CX6" s="549">
        <v>0</v>
      </c>
      <c r="CY6" s="549">
        <f t="shared" si="4"/>
        <v>40378316.497999996</v>
      </c>
      <c r="CZ6" s="549">
        <f t="shared" si="4"/>
        <v>0</v>
      </c>
      <c r="DA6" s="549">
        <f t="shared" si="4"/>
        <v>0</v>
      </c>
      <c r="DO6" s="86" t="s">
        <v>486</v>
      </c>
      <c r="DP6" s="86" t="s">
        <v>246</v>
      </c>
      <c r="DQ6" s="296" t="s">
        <v>825</v>
      </c>
      <c r="DR6" s="87">
        <v>37985246000</v>
      </c>
      <c r="DS6" s="87">
        <v>0</v>
      </c>
      <c r="DT6" s="87">
        <v>0</v>
      </c>
      <c r="DU6" s="601">
        <f t="shared" si="5"/>
        <v>40378316.497999996</v>
      </c>
      <c r="DV6" s="601">
        <f t="shared" si="5"/>
        <v>0</v>
      </c>
      <c r="DW6" s="601">
        <f t="shared" si="5"/>
        <v>0</v>
      </c>
      <c r="EH6" s="646" t="s">
        <v>486</v>
      </c>
      <c r="EI6" s="646" t="s">
        <v>246</v>
      </c>
      <c r="EJ6" s="647" t="s">
        <v>825</v>
      </c>
      <c r="EK6" s="648">
        <v>37985246000</v>
      </c>
      <c r="EL6" s="648">
        <v>0</v>
      </c>
      <c r="EM6" s="648">
        <v>0</v>
      </c>
      <c r="EN6" s="637">
        <f t="shared" si="6"/>
        <v>40378316.497999996</v>
      </c>
      <c r="EO6" s="637">
        <f t="shared" si="6"/>
        <v>0</v>
      </c>
      <c r="EP6" s="637">
        <f t="shared" si="6"/>
        <v>0</v>
      </c>
      <c r="FB6" s="307">
        <v>3302020</v>
      </c>
      <c r="FC6" s="624" t="s">
        <v>781</v>
      </c>
      <c r="FD6" s="354" t="s">
        <v>825</v>
      </c>
      <c r="FE6" s="79">
        <v>0</v>
      </c>
      <c r="FF6" s="79">
        <v>4635810000</v>
      </c>
      <c r="FG6" s="79">
        <v>4635810000</v>
      </c>
      <c r="FH6" s="166">
        <f t="shared" si="7"/>
        <v>0</v>
      </c>
      <c r="FI6" s="166">
        <f t="shared" si="7"/>
        <v>4635810</v>
      </c>
      <c r="FJ6" s="166">
        <f t="shared" si="7"/>
        <v>4635810</v>
      </c>
      <c r="FN6" s="74"/>
      <c r="FO6" s="74"/>
      <c r="FP6" s="74"/>
      <c r="FQ6" s="74"/>
      <c r="FZ6" s="88" t="s">
        <v>703</v>
      </c>
      <c r="GA6" s="88" t="s">
        <v>781</v>
      </c>
      <c r="GB6" s="354" t="s">
        <v>825</v>
      </c>
      <c r="GC6" s="79">
        <v>0</v>
      </c>
      <c r="GD6" s="79">
        <v>4635810000</v>
      </c>
      <c r="GE6" s="79">
        <v>4635810000</v>
      </c>
      <c r="GF6" s="79">
        <f t="shared" si="14"/>
        <v>0</v>
      </c>
      <c r="GG6" s="79">
        <f t="shared" si="9"/>
        <v>4635810</v>
      </c>
      <c r="GH6" s="79">
        <f t="shared" si="9"/>
        <v>4635810</v>
      </c>
      <c r="GM6" s="88" t="s">
        <v>486</v>
      </c>
      <c r="GN6" s="88" t="s">
        <v>246</v>
      </c>
      <c r="GO6" s="88" t="s">
        <v>825</v>
      </c>
      <c r="GP6" s="79">
        <v>0</v>
      </c>
      <c r="GQ6" s="79">
        <f t="shared" si="15"/>
        <v>0</v>
      </c>
      <c r="GU6" s="773" t="s">
        <v>703</v>
      </c>
      <c r="GV6" s="773" t="s">
        <v>781</v>
      </c>
      <c r="GW6" s="761">
        <v>0</v>
      </c>
      <c r="GX6" s="761">
        <v>37709398000</v>
      </c>
      <c r="GY6" s="761">
        <v>37709398000</v>
      </c>
      <c r="GZ6" s="166">
        <f t="shared" si="16"/>
        <v>0</v>
      </c>
      <c r="HA6" s="166">
        <f t="shared" si="17"/>
        <v>37709398</v>
      </c>
      <c r="HB6" s="166">
        <f t="shared" si="18"/>
        <v>37709398</v>
      </c>
    </row>
    <row r="7" spans="1:212" ht="15" customHeight="1" x14ac:dyDescent="0.25">
      <c r="AW7" s="86" t="s">
        <v>712</v>
      </c>
      <c r="AX7" s="86" t="s">
        <v>713</v>
      </c>
      <c r="AY7" s="86" t="s">
        <v>447</v>
      </c>
      <c r="AZ7" s="86" t="s">
        <v>447</v>
      </c>
      <c r="BA7" s="296" t="s">
        <v>825</v>
      </c>
      <c r="BB7" s="87">
        <v>31934235000</v>
      </c>
      <c r="BC7" s="87">
        <v>0</v>
      </c>
      <c r="BD7" s="87">
        <v>0</v>
      </c>
      <c r="BE7" s="166">
        <f t="shared" si="1"/>
        <v>33946091.805</v>
      </c>
      <c r="BF7" s="166">
        <f t="shared" si="1"/>
        <v>0</v>
      </c>
      <c r="BG7" s="166">
        <f t="shared" si="1"/>
        <v>0</v>
      </c>
      <c r="BX7" s="307" t="s">
        <v>712</v>
      </c>
      <c r="BY7" s="307" t="s">
        <v>713</v>
      </c>
      <c r="BZ7" s="308" t="s">
        <v>825</v>
      </c>
      <c r="CA7" s="309">
        <v>31934235000</v>
      </c>
      <c r="CB7" s="309">
        <v>0</v>
      </c>
      <c r="CC7" s="309">
        <v>0</v>
      </c>
      <c r="CD7" s="166">
        <f t="shared" si="3"/>
        <v>33946091.805</v>
      </c>
      <c r="CE7" s="166">
        <f t="shared" si="3"/>
        <v>0</v>
      </c>
      <c r="CF7" s="166">
        <f t="shared" si="3"/>
        <v>0</v>
      </c>
      <c r="CS7" s="308" t="s">
        <v>712</v>
      </c>
      <c r="CT7" s="308" t="s">
        <v>713</v>
      </c>
      <c r="CU7" s="308" t="s">
        <v>825</v>
      </c>
      <c r="CV7" s="549">
        <v>30142524000</v>
      </c>
      <c r="CW7" s="549">
        <v>0</v>
      </c>
      <c r="CX7" s="549">
        <v>0</v>
      </c>
      <c r="CY7" s="549">
        <f t="shared" si="4"/>
        <v>32041503.011999998</v>
      </c>
      <c r="CZ7" s="549">
        <f t="shared" si="4"/>
        <v>0</v>
      </c>
      <c r="DA7" s="549">
        <f t="shared" si="4"/>
        <v>0</v>
      </c>
      <c r="DO7" s="86" t="s">
        <v>712</v>
      </c>
      <c r="DP7" s="86" t="s">
        <v>713</v>
      </c>
      <c r="DQ7" s="296" t="s">
        <v>825</v>
      </c>
      <c r="DR7" s="87">
        <v>6274234000</v>
      </c>
      <c r="DS7" s="87">
        <v>0</v>
      </c>
      <c r="DT7" s="87">
        <v>0</v>
      </c>
      <c r="DU7" s="601">
        <f t="shared" si="5"/>
        <v>6669510.7419999996</v>
      </c>
      <c r="DV7" s="601">
        <f t="shared" si="5"/>
        <v>0</v>
      </c>
      <c r="DW7" s="601">
        <f t="shared" si="5"/>
        <v>0</v>
      </c>
      <c r="EH7" s="646" t="s">
        <v>712</v>
      </c>
      <c r="EI7" s="646" t="s">
        <v>713</v>
      </c>
      <c r="EJ7" s="647" t="s">
        <v>825</v>
      </c>
      <c r="EK7" s="648">
        <v>5331250000</v>
      </c>
      <c r="EL7" s="648">
        <v>0</v>
      </c>
      <c r="EM7" s="648">
        <v>0</v>
      </c>
      <c r="EN7" s="637">
        <f t="shared" si="6"/>
        <v>5667118.75</v>
      </c>
      <c r="EO7" s="637">
        <f t="shared" si="6"/>
        <v>0</v>
      </c>
      <c r="EP7" s="637">
        <f t="shared" si="6"/>
        <v>0</v>
      </c>
      <c r="FB7" s="307" t="s">
        <v>486</v>
      </c>
      <c r="FC7" s="624" t="s">
        <v>246</v>
      </c>
      <c r="FD7" s="354" t="s">
        <v>825</v>
      </c>
      <c r="FE7" s="79">
        <v>37985246000</v>
      </c>
      <c r="FF7" s="79">
        <v>0</v>
      </c>
      <c r="FG7" s="79">
        <v>0</v>
      </c>
      <c r="FH7" s="166">
        <f t="shared" si="7"/>
        <v>37985246</v>
      </c>
      <c r="FI7" s="166">
        <f t="shared" si="7"/>
        <v>0</v>
      </c>
      <c r="FJ7" s="166">
        <f t="shared" si="7"/>
        <v>0</v>
      </c>
      <c r="FZ7" s="88" t="s">
        <v>486</v>
      </c>
      <c r="GA7" s="88" t="s">
        <v>246</v>
      </c>
      <c r="GB7" s="354" t="s">
        <v>825</v>
      </c>
      <c r="GC7" s="79">
        <v>1458693000</v>
      </c>
      <c r="GD7" s="79">
        <v>0</v>
      </c>
      <c r="GE7" s="79">
        <v>0</v>
      </c>
      <c r="GF7" s="79">
        <f t="shared" si="14"/>
        <v>1458693</v>
      </c>
      <c r="GG7" s="79">
        <f t="shared" si="9"/>
        <v>0</v>
      </c>
      <c r="GH7" s="79">
        <f t="shared" si="9"/>
        <v>0</v>
      </c>
      <c r="GM7" s="88" t="s">
        <v>712</v>
      </c>
      <c r="GN7" s="88" t="s">
        <v>713</v>
      </c>
      <c r="GO7" s="88" t="s">
        <v>825</v>
      </c>
      <c r="GP7" s="79">
        <v>0</v>
      </c>
      <c r="GQ7" s="79">
        <f t="shared" si="15"/>
        <v>0</v>
      </c>
      <c r="GU7" s="773" t="s">
        <v>486</v>
      </c>
      <c r="GV7" s="773" t="s">
        <v>246</v>
      </c>
      <c r="GW7" s="761">
        <v>0</v>
      </c>
      <c r="GX7" s="761">
        <v>0</v>
      </c>
      <c r="GY7" s="761">
        <v>0</v>
      </c>
      <c r="GZ7" s="166">
        <f t="shared" si="16"/>
        <v>0</v>
      </c>
      <c r="HA7" s="166">
        <f t="shared" si="17"/>
        <v>0</v>
      </c>
      <c r="HB7" s="166">
        <f t="shared" si="18"/>
        <v>0</v>
      </c>
    </row>
    <row r="8" spans="1:212" ht="15" customHeight="1" x14ac:dyDescent="0.25">
      <c r="CD8" s="283"/>
      <c r="CY8" s="283"/>
      <c r="FB8" s="307" t="s">
        <v>712</v>
      </c>
      <c r="FC8" s="624" t="s">
        <v>713</v>
      </c>
      <c r="FD8" s="354" t="s">
        <v>825</v>
      </c>
      <c r="FE8" s="79">
        <v>5331250000</v>
      </c>
      <c r="FF8" s="79">
        <v>0</v>
      </c>
      <c r="FG8" s="79">
        <v>0</v>
      </c>
      <c r="FH8" s="166">
        <f t="shared" si="7"/>
        <v>5331250</v>
      </c>
      <c r="FI8" s="166">
        <f t="shared" si="7"/>
        <v>0</v>
      </c>
      <c r="FJ8" s="166">
        <f t="shared" si="7"/>
        <v>0</v>
      </c>
      <c r="FZ8" s="88" t="s">
        <v>712</v>
      </c>
      <c r="GA8" s="88" t="s">
        <v>713</v>
      </c>
      <c r="GB8" s="354" t="s">
        <v>825</v>
      </c>
      <c r="GC8" s="79">
        <v>13485297000</v>
      </c>
      <c r="GD8" s="79">
        <v>0</v>
      </c>
      <c r="GE8" s="79">
        <v>0</v>
      </c>
      <c r="GF8" s="79">
        <f t="shared" si="14"/>
        <v>13485297</v>
      </c>
      <c r="GG8" s="79">
        <f t="shared" si="9"/>
        <v>0</v>
      </c>
      <c r="GH8" s="79">
        <f t="shared" si="9"/>
        <v>0</v>
      </c>
      <c r="GU8" s="773" t="s">
        <v>712</v>
      </c>
      <c r="GV8" s="773" t="s">
        <v>713</v>
      </c>
      <c r="GW8" s="761">
        <v>0</v>
      </c>
      <c r="GX8" s="761">
        <v>0</v>
      </c>
      <c r="GY8" s="761">
        <v>0</v>
      </c>
      <c r="GZ8" s="166">
        <f t="shared" si="16"/>
        <v>0</v>
      </c>
      <c r="HA8" s="166">
        <f t="shared" si="17"/>
        <v>0</v>
      </c>
      <c r="HB8" s="166">
        <f t="shared" si="18"/>
        <v>0</v>
      </c>
    </row>
    <row r="9" spans="1:212" ht="15" customHeight="1" x14ac:dyDescent="0.25">
      <c r="GU9" s="80"/>
      <c r="GV9" s="80"/>
      <c r="GW9" s="80"/>
      <c r="GX9" s="80"/>
      <c r="GY9" s="80"/>
    </row>
    <row r="10" spans="1:212" ht="15" customHeight="1" x14ac:dyDescent="0.25"/>
    <row r="11" spans="1:212" ht="15" customHeight="1" x14ac:dyDescent="0.25"/>
    <row r="14" spans="1:212" x14ac:dyDescent="0.25">
      <c r="BZ14" s="283"/>
    </row>
  </sheetData>
  <mergeCells count="21">
    <mergeCell ref="GM1:GS1"/>
    <mergeCell ref="GU1:HD1"/>
    <mergeCell ref="DE1:DL1"/>
    <mergeCell ref="DO1:DW1"/>
    <mergeCell ref="A1:E1"/>
    <mergeCell ref="I1:K1"/>
    <mergeCell ref="M1:P1"/>
    <mergeCell ref="T1:X1"/>
    <mergeCell ref="AB1:AF1"/>
    <mergeCell ref="CJ1:CO1"/>
    <mergeCell ref="CS1:DA1"/>
    <mergeCell ref="BK1:BV1"/>
    <mergeCell ref="BX1:CF1"/>
    <mergeCell ref="AJ1:AS1"/>
    <mergeCell ref="AW1:BG1"/>
    <mergeCell ref="FN1:FT1"/>
    <mergeCell ref="FZ1:GH1"/>
    <mergeCell ref="ET1:EZ1"/>
    <mergeCell ref="FB1:FJ1"/>
    <mergeCell ref="EA1:EF1"/>
    <mergeCell ref="EH1:EQ1"/>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1C1D6"/>
  </sheetPr>
  <dimension ref="A1:DJ7"/>
  <sheetViews>
    <sheetView topLeftCell="CT1" zoomScale="120" zoomScaleNormal="120" workbookViewId="0">
      <selection activeCell="DD20" sqref="DD20"/>
    </sheetView>
  </sheetViews>
  <sheetFormatPr baseColWidth="10" defaultRowHeight="15" x14ac:dyDescent="0.35"/>
  <cols>
    <col min="1" max="1" width="13.28515625" style="1264" customWidth="1"/>
    <col min="2" max="2" width="24.140625" style="1264" customWidth="1"/>
    <col min="3" max="3" width="24.140625" style="1264" hidden="1" customWidth="1"/>
    <col min="4" max="6" width="0" style="1264" hidden="1" customWidth="1"/>
    <col min="7" max="9" width="11.7109375" style="1264" bestFit="1" customWidth="1"/>
    <col min="10" max="11" width="11.42578125" style="1264"/>
    <col min="12" max="12" width="20" style="1264" customWidth="1"/>
    <col min="13" max="15" width="14.42578125" style="1264" hidden="1" customWidth="1"/>
    <col min="16" max="16" width="13.140625" style="1264" bestFit="1" customWidth="1"/>
    <col min="17" max="18" width="11.7109375" style="1264" bestFit="1" customWidth="1"/>
    <col min="19" max="20" width="11.42578125" style="1264"/>
    <col min="21" max="21" width="31" style="1264" customWidth="1"/>
    <col min="22" max="24" width="0" style="1264" hidden="1" customWidth="1"/>
    <col min="25" max="27" width="11.7109375" style="1264" bestFit="1" customWidth="1"/>
    <col min="28" max="30" width="11.42578125" style="1264"/>
    <col min="31" max="31" width="12.42578125" style="1264" bestFit="1" customWidth="1"/>
    <col min="32" max="33" width="11.7109375" style="1264" bestFit="1" customWidth="1"/>
    <col min="34" max="36" width="11.42578125" style="1264"/>
    <col min="37" max="37" width="13.28515625" style="1264" hidden="1" customWidth="1"/>
    <col min="38" max="39" width="11.85546875" style="1264" hidden="1" customWidth="1"/>
    <col min="40" max="40" width="11.85546875" style="1264" bestFit="1" customWidth="1"/>
    <col min="41" max="41" width="11.7109375" style="1264" bestFit="1" customWidth="1"/>
    <col min="42" max="43" width="11.42578125" style="1264"/>
    <col min="44" max="44" width="25.42578125" style="1264" customWidth="1"/>
    <col min="45" max="45" width="14.85546875" style="1264" hidden="1" customWidth="1"/>
    <col min="46" max="47" width="0" style="1264" hidden="1" customWidth="1"/>
    <col min="48" max="49" width="11.42578125" style="1264"/>
    <col min="50" max="50" width="20.7109375" style="1264" customWidth="1"/>
    <col min="51" max="52" width="11.42578125" style="1264"/>
    <col min="53" max="54" width="0" style="1264" hidden="1" customWidth="1"/>
    <col min="55" max="61" width="11.42578125" style="1264"/>
    <col min="62" max="63" width="0" style="1264" hidden="1" customWidth="1"/>
    <col min="64" max="67" width="11.42578125" style="1264"/>
    <col min="68" max="68" width="39.85546875" style="1264" customWidth="1"/>
    <col min="69" max="69" width="13.85546875" style="1264" hidden="1" customWidth="1"/>
    <col min="70" max="71" width="12.42578125" style="1264" hidden="1" customWidth="1"/>
    <col min="72" max="74" width="11.42578125" style="1264"/>
    <col min="75" max="75" width="10.140625" style="1264" customWidth="1"/>
    <col min="76" max="76" width="30.140625" style="1264" customWidth="1"/>
    <col min="77" max="78" width="0" style="1264" hidden="1" customWidth="1"/>
    <col min="79" max="79" width="13" style="1264" hidden="1" customWidth="1"/>
    <col min="80" max="92" width="11.42578125" style="1264"/>
    <col min="93" max="93" width="32.7109375" style="1264" customWidth="1"/>
    <col min="94" max="96" width="0" style="1264" hidden="1" customWidth="1"/>
    <col min="97" max="101" width="11.42578125" style="1264"/>
    <col min="102" max="102" width="32.85546875" style="1264" customWidth="1"/>
    <col min="103" max="16384" width="11.42578125" style="1264"/>
  </cols>
  <sheetData>
    <row r="1" spans="1:114" s="1547" customFormat="1" x14ac:dyDescent="0.35">
      <c r="A1" s="1973" t="s">
        <v>0</v>
      </c>
      <c r="B1" s="1905"/>
      <c r="C1" s="1905"/>
      <c r="D1" s="1905"/>
      <c r="E1" s="1905"/>
      <c r="F1" s="1905"/>
      <c r="G1" s="1547">
        <v>1000</v>
      </c>
      <c r="H1" s="1547">
        <v>1</v>
      </c>
      <c r="K1" s="1905" t="s">
        <v>137</v>
      </c>
      <c r="L1" s="1905"/>
      <c r="M1" s="1905"/>
      <c r="N1" s="1905"/>
      <c r="O1" s="1905"/>
      <c r="P1" s="1547">
        <v>1000</v>
      </c>
      <c r="Q1" s="1547">
        <v>1</v>
      </c>
      <c r="T1" s="1905" t="s">
        <v>762</v>
      </c>
      <c r="U1" s="1905"/>
      <c r="V1" s="1905"/>
      <c r="W1" s="1905"/>
      <c r="X1" s="1905"/>
      <c r="Y1" s="1547">
        <v>1000</v>
      </c>
      <c r="Z1" s="1547">
        <v>1</v>
      </c>
      <c r="AC1" s="1905" t="s">
        <v>6</v>
      </c>
      <c r="AD1" s="1905"/>
      <c r="AE1" s="1905"/>
      <c r="AF1" s="1905"/>
      <c r="AG1" s="1905"/>
      <c r="AI1" s="1905" t="s">
        <v>1014</v>
      </c>
      <c r="AJ1" s="1905"/>
      <c r="AK1" s="1905"/>
      <c r="AL1" s="1905"/>
      <c r="AM1" s="1905"/>
      <c r="AN1" s="1547">
        <v>1000</v>
      </c>
      <c r="AO1" s="1547">
        <v>1</v>
      </c>
      <c r="AQ1" s="1547" t="s">
        <v>1023</v>
      </c>
      <c r="AU1" s="1547">
        <v>1000</v>
      </c>
      <c r="AV1" s="1547">
        <v>1</v>
      </c>
      <c r="AX1" s="1547" t="s">
        <v>1026</v>
      </c>
      <c r="BC1" s="1547">
        <v>1000</v>
      </c>
      <c r="BD1" s="1547">
        <v>1</v>
      </c>
      <c r="BF1" s="1905" t="s">
        <v>1041</v>
      </c>
      <c r="BG1" s="1905"/>
      <c r="BH1" s="1905"/>
      <c r="BI1" s="1905"/>
      <c r="BL1" s="1547">
        <v>1000</v>
      </c>
      <c r="BM1" s="1547">
        <v>1</v>
      </c>
      <c r="BO1" s="1905" t="s">
        <v>79</v>
      </c>
      <c r="BP1" s="1905"/>
      <c r="BT1" s="1547">
        <v>1000</v>
      </c>
      <c r="BU1" s="1547">
        <v>1</v>
      </c>
      <c r="BW1" s="1905" t="s">
        <v>861</v>
      </c>
      <c r="BX1" s="1905"/>
      <c r="BY1" s="1905"/>
      <c r="BZ1" s="1905"/>
      <c r="CA1" s="1905"/>
      <c r="CC1" s="1547">
        <v>1000</v>
      </c>
      <c r="CD1" s="1547">
        <v>1</v>
      </c>
      <c r="CG1" s="1905" t="s">
        <v>10</v>
      </c>
      <c r="CH1" s="1905"/>
      <c r="CI1" s="1905"/>
      <c r="CJ1" s="1905"/>
      <c r="CK1" s="1905"/>
      <c r="CL1" s="1905"/>
      <c r="CN1" s="1905" t="s">
        <v>871</v>
      </c>
      <c r="CO1" s="1905"/>
      <c r="CP1" s="1905"/>
      <c r="CQ1" s="1905"/>
      <c r="CR1" s="1905"/>
      <c r="CS1" s="1905"/>
      <c r="CT1" s="1547">
        <v>1000</v>
      </c>
      <c r="CU1" s="1547">
        <v>1</v>
      </c>
      <c r="CW1" s="1905" t="s">
        <v>11</v>
      </c>
      <c r="CX1" s="1905"/>
      <c r="CY1" s="1905"/>
      <c r="CZ1" s="1547">
        <v>1000</v>
      </c>
      <c r="DA1" s="1547">
        <v>1</v>
      </c>
      <c r="DC1" s="1905" t="s">
        <v>1072</v>
      </c>
      <c r="DD1" s="1905"/>
      <c r="DE1" s="1905"/>
      <c r="DF1" s="1905"/>
      <c r="DG1" s="1905"/>
      <c r="DH1" s="1547">
        <v>1000</v>
      </c>
      <c r="DI1" s="1547">
        <v>1</v>
      </c>
    </row>
    <row r="2" spans="1:114" s="1265" customFormat="1" ht="45" x14ac:dyDescent="0.35">
      <c r="A2" s="1237" t="s">
        <v>425</v>
      </c>
      <c r="B2" s="1237" t="s">
        <v>453</v>
      </c>
      <c r="C2" s="1237" t="s">
        <v>427</v>
      </c>
      <c r="D2" s="1237" t="s">
        <v>467</v>
      </c>
      <c r="E2" s="1237" t="s">
        <v>487</v>
      </c>
      <c r="F2" s="1237" t="s">
        <v>429</v>
      </c>
      <c r="G2" s="1237" t="s">
        <v>467</v>
      </c>
      <c r="H2" s="1237" t="s">
        <v>487</v>
      </c>
      <c r="I2" s="1237" t="s">
        <v>429</v>
      </c>
      <c r="K2" s="1237" t="s">
        <v>425</v>
      </c>
      <c r="L2" s="1237" t="s">
        <v>453</v>
      </c>
      <c r="M2" s="1237" t="s">
        <v>467</v>
      </c>
      <c r="N2" s="1237" t="s">
        <v>487</v>
      </c>
      <c r="O2" s="1237" t="s">
        <v>429</v>
      </c>
      <c r="P2" s="1237" t="s">
        <v>467</v>
      </c>
      <c r="Q2" s="1237" t="s">
        <v>487</v>
      </c>
      <c r="R2" s="1237" t="s">
        <v>429</v>
      </c>
      <c r="T2" s="1237" t="s">
        <v>425</v>
      </c>
      <c r="U2" s="1237" t="s">
        <v>453</v>
      </c>
      <c r="V2" s="1237" t="s">
        <v>467</v>
      </c>
      <c r="W2" s="1237" t="s">
        <v>487</v>
      </c>
      <c r="X2" s="1237" t="s">
        <v>429</v>
      </c>
      <c r="Y2" s="1237" t="s">
        <v>467</v>
      </c>
      <c r="Z2" s="1237" t="s">
        <v>487</v>
      </c>
      <c r="AA2" s="1237" t="s">
        <v>429</v>
      </c>
      <c r="AC2" s="1237" t="s">
        <v>425</v>
      </c>
      <c r="AD2" s="1237" t="s">
        <v>453</v>
      </c>
      <c r="AE2" s="1237" t="s">
        <v>467</v>
      </c>
      <c r="AF2" s="1237" t="s">
        <v>487</v>
      </c>
      <c r="AG2" s="1237" t="s">
        <v>429</v>
      </c>
      <c r="AI2" s="1237" t="s">
        <v>425</v>
      </c>
      <c r="AJ2" s="1237" t="s">
        <v>453</v>
      </c>
      <c r="AK2" s="1237" t="s">
        <v>467</v>
      </c>
      <c r="AL2" s="1237" t="s">
        <v>487</v>
      </c>
      <c r="AM2" s="1237" t="s">
        <v>429</v>
      </c>
      <c r="AN2" s="1237" t="s">
        <v>467</v>
      </c>
      <c r="AQ2" s="954" t="s">
        <v>425</v>
      </c>
      <c r="AR2" s="954" t="s">
        <v>453</v>
      </c>
      <c r="AS2" s="954" t="s">
        <v>467</v>
      </c>
      <c r="AT2" s="954" t="s">
        <v>487</v>
      </c>
      <c r="AU2" s="954" t="s">
        <v>429</v>
      </c>
      <c r="AV2" s="954" t="str">
        <f>+AS2</f>
        <v>Monto Requerimiento</v>
      </c>
      <c r="AX2" s="954" t="s">
        <v>425</v>
      </c>
      <c r="AY2" s="954" t="s">
        <v>453</v>
      </c>
      <c r="AZ2" s="954" t="s">
        <v>467</v>
      </c>
      <c r="BA2" s="954" t="s">
        <v>487</v>
      </c>
      <c r="BB2" s="954" t="s">
        <v>429</v>
      </c>
      <c r="BC2" s="954" t="s">
        <v>467</v>
      </c>
      <c r="BF2" s="954" t="s">
        <v>425</v>
      </c>
      <c r="BG2" s="954" t="s">
        <v>453</v>
      </c>
      <c r="BH2" s="954" t="s">
        <v>427</v>
      </c>
      <c r="BI2" s="954" t="s">
        <v>467</v>
      </c>
      <c r="BJ2" s="954" t="s">
        <v>487</v>
      </c>
      <c r="BK2" s="954" t="s">
        <v>429</v>
      </c>
      <c r="BL2" s="954" t="str">
        <f>+BI2</f>
        <v>Monto Requerimiento</v>
      </c>
      <c r="BO2" s="954" t="s">
        <v>425</v>
      </c>
      <c r="BP2" s="954" t="s">
        <v>453</v>
      </c>
      <c r="BQ2" s="954" t="s">
        <v>467</v>
      </c>
      <c r="BR2" s="954" t="s">
        <v>487</v>
      </c>
      <c r="BS2" s="954" t="s">
        <v>429</v>
      </c>
      <c r="BT2" s="954" t="s">
        <v>429</v>
      </c>
      <c r="BW2" s="954" t="s">
        <v>425</v>
      </c>
      <c r="BX2" s="954" t="s">
        <v>453</v>
      </c>
      <c r="BY2" s="954" t="s">
        <v>467</v>
      </c>
      <c r="BZ2" s="954" t="s">
        <v>487</v>
      </c>
      <c r="CA2" s="954" t="s">
        <v>429</v>
      </c>
      <c r="CB2" s="954" t="s">
        <v>467</v>
      </c>
      <c r="CC2" s="954" t="s">
        <v>487</v>
      </c>
      <c r="CD2" s="954" t="s">
        <v>429</v>
      </c>
      <c r="CG2" s="954" t="s">
        <v>1057</v>
      </c>
      <c r="CH2" s="954" t="s">
        <v>425</v>
      </c>
      <c r="CI2" s="954" t="s">
        <v>453</v>
      </c>
      <c r="CJ2" s="954" t="s">
        <v>467</v>
      </c>
      <c r="CK2" s="954" t="s">
        <v>487</v>
      </c>
      <c r="CL2" s="954" t="s">
        <v>429</v>
      </c>
      <c r="CN2" s="954" t="s">
        <v>425</v>
      </c>
      <c r="CO2" s="954" t="s">
        <v>453</v>
      </c>
      <c r="CP2" s="954" t="s">
        <v>467</v>
      </c>
      <c r="CQ2" s="954" t="s">
        <v>487</v>
      </c>
      <c r="CR2" s="954" t="s">
        <v>429</v>
      </c>
      <c r="CS2" s="954" t="s">
        <v>467</v>
      </c>
      <c r="CT2" s="954" t="s">
        <v>487</v>
      </c>
      <c r="CU2" s="954" t="s">
        <v>429</v>
      </c>
      <c r="CW2" s="81" t="s">
        <v>425</v>
      </c>
      <c r="CX2" s="81" t="s">
        <v>453</v>
      </c>
      <c r="CY2" s="81" t="s">
        <v>429</v>
      </c>
      <c r="CZ2" s="81" t="s">
        <v>429</v>
      </c>
      <c r="DC2" s="81" t="s">
        <v>425</v>
      </c>
      <c r="DD2" s="81" t="s">
        <v>453</v>
      </c>
      <c r="DE2" s="81" t="s">
        <v>467</v>
      </c>
      <c r="DF2" s="81" t="s">
        <v>487</v>
      </c>
      <c r="DG2" s="81" t="s">
        <v>429</v>
      </c>
      <c r="DH2" s="81" t="s">
        <v>467</v>
      </c>
      <c r="DI2" s="81" t="s">
        <v>487</v>
      </c>
      <c r="DJ2" s="81" t="s">
        <v>429</v>
      </c>
    </row>
    <row r="3" spans="1:114" ht="15" customHeight="1" x14ac:dyDescent="0.35">
      <c r="A3" s="1266" t="s">
        <v>486</v>
      </c>
      <c r="B3" s="1262" t="s">
        <v>246</v>
      </c>
      <c r="C3" s="1262" t="s">
        <v>825</v>
      </c>
      <c r="D3" s="355">
        <v>76538652000</v>
      </c>
      <c r="E3" s="355">
        <v>0</v>
      </c>
      <c r="F3" s="355">
        <v>0</v>
      </c>
      <c r="G3" s="355">
        <f>+D3/$G$1*$H$1</f>
        <v>76538652</v>
      </c>
      <c r="H3" s="355">
        <f t="shared" ref="H3:I4" si="0">+E3/$G$1*$H$1</f>
        <v>0</v>
      </c>
      <c r="I3" s="355">
        <f t="shared" si="0"/>
        <v>0</v>
      </c>
      <c r="K3" s="1266" t="s">
        <v>486</v>
      </c>
      <c r="L3" s="1262" t="s">
        <v>246</v>
      </c>
      <c r="M3" s="355">
        <v>-6800000000</v>
      </c>
      <c r="N3" s="355">
        <v>0</v>
      </c>
      <c r="O3" s="355">
        <v>0</v>
      </c>
      <c r="P3" s="1263">
        <f>+M3/$P$1*$Q$1</f>
        <v>-6800000</v>
      </c>
      <c r="Q3" s="1263">
        <f t="shared" ref="Q3:R3" si="1">+N3/$P$1*$Q$1</f>
        <v>0</v>
      </c>
      <c r="R3" s="1263">
        <f t="shared" si="1"/>
        <v>0</v>
      </c>
      <c r="T3" s="1262" t="s">
        <v>486</v>
      </c>
      <c r="U3" s="1262" t="s">
        <v>246</v>
      </c>
      <c r="V3" s="355">
        <v>69738652000</v>
      </c>
      <c r="W3" s="355">
        <v>0</v>
      </c>
      <c r="X3" s="355">
        <v>0</v>
      </c>
      <c r="Y3" s="355">
        <f>+V3/$Y$1*$Z$1</f>
        <v>69738652</v>
      </c>
      <c r="Z3" s="355">
        <f t="shared" ref="Z3:AA4" si="2">+W3/$Y$1*$Z$1</f>
        <v>0</v>
      </c>
      <c r="AA3" s="355">
        <f t="shared" si="2"/>
        <v>0</v>
      </c>
      <c r="AC3" s="1267" t="s">
        <v>486</v>
      </c>
      <c r="AD3" s="1269" t="s">
        <v>246</v>
      </c>
      <c r="AE3" s="1268">
        <v>-1626465000</v>
      </c>
      <c r="AF3" s="1268">
        <v>0</v>
      </c>
      <c r="AG3" s="1268">
        <v>0</v>
      </c>
      <c r="AI3" s="1267" t="s">
        <v>486</v>
      </c>
      <c r="AJ3" s="1269" t="s">
        <v>246</v>
      </c>
      <c r="AK3" s="1270">
        <v>68112187000</v>
      </c>
      <c r="AL3" s="1270">
        <v>0</v>
      </c>
      <c r="AM3" s="1270">
        <v>0</v>
      </c>
      <c r="AN3" s="1271">
        <f>+AK3/$AN$1*$AO$1</f>
        <v>68112187</v>
      </c>
      <c r="AQ3" s="1267" t="s">
        <v>1021</v>
      </c>
      <c r="AR3" s="1269" t="s">
        <v>1022</v>
      </c>
      <c r="AS3" s="1271">
        <v>17013352000</v>
      </c>
      <c r="AT3" s="244">
        <v>0</v>
      </c>
      <c r="AU3" s="244">
        <v>0</v>
      </c>
      <c r="AV3" s="1335">
        <f>+AS3/$AU$1*$AV$1</f>
        <v>17013352</v>
      </c>
      <c r="AX3" s="350" t="s">
        <v>1021</v>
      </c>
      <c r="AY3" s="350" t="s">
        <v>1022</v>
      </c>
      <c r="AZ3" s="244">
        <v>19550231000</v>
      </c>
      <c r="BA3" s="244">
        <v>0</v>
      </c>
      <c r="BB3" s="244">
        <v>0</v>
      </c>
      <c r="BC3" s="1335">
        <f>+AZ3/$BC$1*$BD$1</f>
        <v>19550231</v>
      </c>
      <c r="BF3" s="1264" t="s">
        <v>1021</v>
      </c>
      <c r="BG3" s="1264" t="s">
        <v>1022</v>
      </c>
      <c r="BH3" s="1264" t="s">
        <v>825</v>
      </c>
      <c r="BI3" s="1264">
        <v>19550231000</v>
      </c>
      <c r="BJ3" s="1264">
        <v>0</v>
      </c>
      <c r="BK3" s="1264">
        <v>0</v>
      </c>
      <c r="BL3" s="1335">
        <f>+BI3/$BL$1*$BM$1</f>
        <v>19550231</v>
      </c>
      <c r="BO3" s="1264" t="s">
        <v>1021</v>
      </c>
      <c r="BP3" s="1264" t="s">
        <v>1022</v>
      </c>
      <c r="BQ3" s="1335">
        <v>11020373000</v>
      </c>
      <c r="BR3" s="1335">
        <v>0</v>
      </c>
      <c r="BS3" s="1335">
        <v>0</v>
      </c>
      <c r="BT3" s="1335">
        <f>+BS3/$BT$1*$BU$1</f>
        <v>0</v>
      </c>
      <c r="BW3" s="1264" t="s">
        <v>1021</v>
      </c>
      <c r="BX3" s="1264" t="s">
        <v>1022</v>
      </c>
      <c r="BY3" s="1471">
        <v>30570604000</v>
      </c>
      <c r="BZ3" s="1471">
        <v>0</v>
      </c>
      <c r="CA3" s="1471">
        <v>0</v>
      </c>
      <c r="CB3" s="1335">
        <f>+BY3/$CC$1*$CD$1</f>
        <v>30570604</v>
      </c>
      <c r="CC3" s="1335">
        <f t="shared" ref="CC3:CD3" si="3">+BZ3/$CC$1*$CD$1</f>
        <v>0</v>
      </c>
      <c r="CD3" s="1335">
        <f t="shared" si="3"/>
        <v>0</v>
      </c>
      <c r="CG3" s="88" t="s">
        <v>1058</v>
      </c>
      <c r="CH3" s="88" t="s">
        <v>1021</v>
      </c>
      <c r="CI3" s="88" t="s">
        <v>1022</v>
      </c>
      <c r="CJ3" s="79">
        <v>0</v>
      </c>
      <c r="CK3" s="79">
        <v>0</v>
      </c>
      <c r="CL3" s="79">
        <v>0</v>
      </c>
      <c r="CN3" s="88" t="s">
        <v>1021</v>
      </c>
      <c r="CO3" s="88" t="s">
        <v>1022</v>
      </c>
      <c r="CP3" s="79">
        <v>30570604000</v>
      </c>
      <c r="CQ3" s="79">
        <v>0</v>
      </c>
      <c r="CR3" s="79">
        <v>0</v>
      </c>
      <c r="CS3" s="1705">
        <f>+CP3/$CT$1*$CU$1</f>
        <v>30570604</v>
      </c>
      <c r="CT3" s="1705">
        <f t="shared" ref="CT3:CU3" si="4">+CQ3/$CT$1*$CU$1</f>
        <v>0</v>
      </c>
      <c r="CU3" s="1705">
        <f t="shared" si="4"/>
        <v>0</v>
      </c>
      <c r="CW3" s="88" t="s">
        <v>1021</v>
      </c>
      <c r="CX3" s="88" t="s">
        <v>1022</v>
      </c>
      <c r="CY3" s="79">
        <v>7373296000</v>
      </c>
      <c r="CZ3" s="79">
        <f>+CY3/CZ1*DA1</f>
        <v>7373296</v>
      </c>
      <c r="DC3" s="88" t="s">
        <v>1021</v>
      </c>
      <c r="DD3" s="88" t="s">
        <v>1022</v>
      </c>
      <c r="DE3" s="79">
        <v>30570604000</v>
      </c>
      <c r="DF3" s="79">
        <v>0</v>
      </c>
      <c r="DG3" s="79">
        <v>0</v>
      </c>
      <c r="DH3" s="1335">
        <f>+DE3/$DH$1*$DI$1</f>
        <v>30570604</v>
      </c>
      <c r="DI3" s="1335">
        <f t="shared" ref="DI3:DJ3" si="5">+DF3/$DH$1*$DI$1</f>
        <v>0</v>
      </c>
      <c r="DJ3" s="1335">
        <f t="shared" si="5"/>
        <v>0</v>
      </c>
    </row>
    <row r="4" spans="1:114" ht="15" customHeight="1" x14ac:dyDescent="0.35">
      <c r="A4" s="1266" t="s">
        <v>712</v>
      </c>
      <c r="B4" s="1262" t="s">
        <v>713</v>
      </c>
      <c r="C4" s="1262" t="s">
        <v>825</v>
      </c>
      <c r="D4" s="355">
        <v>36987209000</v>
      </c>
      <c r="E4" s="355">
        <v>0</v>
      </c>
      <c r="F4" s="355">
        <v>0</v>
      </c>
      <c r="G4" s="355">
        <f>+D4/$G$1*$H$1</f>
        <v>36987209</v>
      </c>
      <c r="H4" s="355">
        <f t="shared" si="0"/>
        <v>0</v>
      </c>
      <c r="I4" s="355">
        <f t="shared" si="0"/>
        <v>0</v>
      </c>
      <c r="T4" s="1262" t="s">
        <v>712</v>
      </c>
      <c r="U4" s="1262" t="s">
        <v>713</v>
      </c>
      <c r="V4" s="355">
        <v>36987209000</v>
      </c>
      <c r="W4" s="355">
        <v>0</v>
      </c>
      <c r="X4" s="355">
        <v>0</v>
      </c>
      <c r="Y4" s="355">
        <f>+V4/$Y$1*$Z$1</f>
        <v>36987209</v>
      </c>
      <c r="Z4" s="355">
        <f t="shared" si="2"/>
        <v>0</v>
      </c>
      <c r="AA4" s="355">
        <f t="shared" si="2"/>
        <v>0</v>
      </c>
      <c r="AC4" s="1267" t="s">
        <v>712</v>
      </c>
      <c r="AD4" s="1269" t="s">
        <v>713</v>
      </c>
      <c r="AE4" s="1268">
        <v>-9873000</v>
      </c>
      <c r="AF4" s="1268">
        <v>0</v>
      </c>
      <c r="AG4" s="1268">
        <v>0</v>
      </c>
      <c r="AI4" s="1267" t="s">
        <v>712</v>
      </c>
      <c r="AJ4" s="1269" t="s">
        <v>713</v>
      </c>
      <c r="AK4" s="1270">
        <v>36977336000</v>
      </c>
      <c r="AL4" s="1270">
        <v>0</v>
      </c>
      <c r="AM4" s="1270">
        <v>0</v>
      </c>
      <c r="AN4" s="1271">
        <f>+AK4/$AN$1*$AO$1</f>
        <v>36977336</v>
      </c>
      <c r="AQ4" s="1267" t="s">
        <v>486</v>
      </c>
      <c r="AR4" s="1269" t="s">
        <v>246</v>
      </c>
      <c r="AS4" s="1271">
        <v>67312190000</v>
      </c>
      <c r="AT4" s="244">
        <v>0</v>
      </c>
      <c r="AU4" s="244">
        <v>0</v>
      </c>
      <c r="AV4" s="1335">
        <f t="shared" ref="AV4:AV5" si="6">+AS4/$AU$1*$AV$1</f>
        <v>67312190</v>
      </c>
      <c r="AX4" s="350" t="s">
        <v>486</v>
      </c>
      <c r="AY4" s="350" t="s">
        <v>246</v>
      </c>
      <c r="AZ4" s="244">
        <v>48975311000</v>
      </c>
      <c r="BA4" s="244">
        <v>0</v>
      </c>
      <c r="BB4" s="244">
        <v>0</v>
      </c>
      <c r="BC4" s="1335">
        <f t="shared" ref="BC4:BC5" si="7">+AZ4/$BC$1*$BD$1</f>
        <v>48975311</v>
      </c>
      <c r="BF4" s="1264" t="s">
        <v>486</v>
      </c>
      <c r="BG4" s="1264" t="s">
        <v>246</v>
      </c>
      <c r="BH4" s="1264" t="s">
        <v>825</v>
      </c>
      <c r="BI4" s="1264">
        <v>48975311000</v>
      </c>
      <c r="BJ4" s="1264">
        <v>0</v>
      </c>
      <c r="BK4" s="1264">
        <v>0</v>
      </c>
      <c r="BL4" s="1335">
        <f t="shared" ref="BL4:BL5" si="8">+BI4/$BL$1*$BM$1</f>
        <v>48975311</v>
      </c>
      <c r="BO4" s="1264" t="s">
        <v>1021</v>
      </c>
      <c r="BP4" s="1264" t="s">
        <v>1022</v>
      </c>
      <c r="BQ4" s="1335">
        <v>0</v>
      </c>
      <c r="BR4" s="1335">
        <v>4150429000</v>
      </c>
      <c r="BS4" s="1335">
        <v>4150429000</v>
      </c>
      <c r="BT4" s="1335">
        <f t="shared" ref="BT4:BT6" si="9">+BS4/$BT$1*$BU$1</f>
        <v>4150429</v>
      </c>
      <c r="BW4" s="1264" t="s">
        <v>1021</v>
      </c>
      <c r="BX4" s="1264" t="s">
        <v>1022</v>
      </c>
      <c r="BY4" s="1471">
        <v>0</v>
      </c>
      <c r="BZ4" s="1471">
        <v>4150429000</v>
      </c>
      <c r="CA4" s="1471">
        <v>4150429000</v>
      </c>
      <c r="CB4" s="1335">
        <f t="shared" ref="CB4:CB6" si="10">+BY4/$CC$1*$CD$1</f>
        <v>0</v>
      </c>
      <c r="CC4" s="1335">
        <f t="shared" ref="CC4:CC6" si="11">+BZ4/$CC$1*$CD$1</f>
        <v>4150429</v>
      </c>
      <c r="CD4" s="1335">
        <f t="shared" ref="CD4:CD6" si="12">+CA4/$CC$1*$CD$1</f>
        <v>4150429</v>
      </c>
      <c r="CN4" s="88" t="s">
        <v>1021</v>
      </c>
      <c r="CO4" s="88" t="s">
        <v>1022</v>
      </c>
      <c r="CP4" s="79">
        <v>0</v>
      </c>
      <c r="CQ4" s="79">
        <v>4150429000</v>
      </c>
      <c r="CR4" s="79">
        <v>4150429000</v>
      </c>
      <c r="CS4" s="1705">
        <f t="shared" ref="CS4:CS6" si="13">+CP4/$CT$1*$CU$1</f>
        <v>0</v>
      </c>
      <c r="CT4" s="1705">
        <f t="shared" ref="CT4:CT6" si="14">+CQ4/$CT$1*$CU$1</f>
        <v>4150429</v>
      </c>
      <c r="CU4" s="1705">
        <f t="shared" ref="CU4:CU6" si="15">+CR4/$CT$1*$CU$1</f>
        <v>4150429</v>
      </c>
      <c r="CW4" s="88" t="s">
        <v>486</v>
      </c>
      <c r="CX4" s="88" t="s">
        <v>246</v>
      </c>
      <c r="CY4" s="79">
        <v>0</v>
      </c>
      <c r="CZ4" s="736"/>
      <c r="DC4" s="88" t="s">
        <v>1021</v>
      </c>
      <c r="DD4" s="88" t="s">
        <v>1022</v>
      </c>
      <c r="DE4" s="79">
        <v>0</v>
      </c>
      <c r="DF4" s="79">
        <v>11523725000</v>
      </c>
      <c r="DG4" s="79">
        <v>11523725000</v>
      </c>
      <c r="DH4" s="1335">
        <f t="shared" ref="DH4:DH6" si="16">+DE4/$DH$1*$DI$1</f>
        <v>0</v>
      </c>
      <c r="DI4" s="1335">
        <f t="shared" ref="DI4:DI6" si="17">+DF4/$DH$1*$DI$1</f>
        <v>11523725</v>
      </c>
      <c r="DJ4" s="1335">
        <f t="shared" ref="DJ4:DJ6" si="18">+DG4/$DH$1*$DI$1</f>
        <v>11523725</v>
      </c>
    </row>
    <row r="5" spans="1:114" ht="15" customHeight="1" x14ac:dyDescent="0.35">
      <c r="AQ5" s="1267" t="s">
        <v>712</v>
      </c>
      <c r="AR5" s="1269" t="s">
        <v>713</v>
      </c>
      <c r="AS5" s="1271">
        <v>18978292000</v>
      </c>
      <c r="AT5" s="244">
        <v>0</v>
      </c>
      <c r="AU5" s="244">
        <v>0</v>
      </c>
      <c r="AV5" s="1335">
        <f t="shared" si="6"/>
        <v>18978292</v>
      </c>
      <c r="AX5" s="350" t="s">
        <v>712</v>
      </c>
      <c r="AY5" s="350" t="s">
        <v>713</v>
      </c>
      <c r="AZ5" s="244">
        <v>15748376000</v>
      </c>
      <c r="BA5" s="244">
        <v>0</v>
      </c>
      <c r="BB5" s="244">
        <v>0</v>
      </c>
      <c r="BC5" s="1335">
        <f t="shared" si="7"/>
        <v>15748376</v>
      </c>
      <c r="BF5" s="1264" t="s">
        <v>712</v>
      </c>
      <c r="BG5" s="1264" t="s">
        <v>713</v>
      </c>
      <c r="BH5" s="1264" t="s">
        <v>825</v>
      </c>
      <c r="BI5" s="1264">
        <v>15248376000</v>
      </c>
      <c r="BJ5" s="1264">
        <v>0</v>
      </c>
      <c r="BK5" s="1264">
        <v>0</v>
      </c>
      <c r="BL5" s="1335">
        <f t="shared" si="8"/>
        <v>15248376</v>
      </c>
      <c r="BO5" s="1264" t="s">
        <v>486</v>
      </c>
      <c r="BP5" s="1264" t="s">
        <v>246</v>
      </c>
      <c r="BQ5" s="1335">
        <v>-5300000000</v>
      </c>
      <c r="BR5" s="1335">
        <v>0</v>
      </c>
      <c r="BS5" s="1335">
        <v>0</v>
      </c>
      <c r="BT5" s="1335">
        <f t="shared" si="9"/>
        <v>0</v>
      </c>
      <c r="BW5" s="1264" t="s">
        <v>486</v>
      </c>
      <c r="BX5" s="1264" t="s">
        <v>246</v>
      </c>
      <c r="BY5" s="1471">
        <v>43675311000</v>
      </c>
      <c r="BZ5" s="1471">
        <v>0</v>
      </c>
      <c r="CA5" s="1471">
        <v>0</v>
      </c>
      <c r="CB5" s="1335">
        <f t="shared" si="10"/>
        <v>43675311</v>
      </c>
      <c r="CC5" s="1335">
        <f t="shared" si="11"/>
        <v>0</v>
      </c>
      <c r="CD5" s="1335">
        <f t="shared" si="12"/>
        <v>0</v>
      </c>
      <c r="CN5" s="88" t="s">
        <v>486</v>
      </c>
      <c r="CO5" s="88" t="s">
        <v>246</v>
      </c>
      <c r="CP5" s="79">
        <v>43675311000</v>
      </c>
      <c r="CQ5" s="79">
        <v>0</v>
      </c>
      <c r="CR5" s="79">
        <v>0</v>
      </c>
      <c r="CS5" s="1705">
        <f t="shared" si="13"/>
        <v>43675311</v>
      </c>
      <c r="CT5" s="1705">
        <f t="shared" si="14"/>
        <v>0</v>
      </c>
      <c r="CU5" s="1705">
        <f t="shared" si="15"/>
        <v>0</v>
      </c>
      <c r="DC5" s="88" t="s">
        <v>486</v>
      </c>
      <c r="DD5" s="88" t="s">
        <v>246</v>
      </c>
      <c r="DE5" s="79">
        <v>0</v>
      </c>
      <c r="DF5" s="79">
        <v>0</v>
      </c>
      <c r="DG5" s="79">
        <v>0</v>
      </c>
      <c r="DH5" s="1335">
        <f t="shared" si="16"/>
        <v>0</v>
      </c>
      <c r="DI5" s="1335">
        <f t="shared" si="17"/>
        <v>0</v>
      </c>
      <c r="DJ5" s="1335">
        <f t="shared" si="18"/>
        <v>0</v>
      </c>
    </row>
    <row r="6" spans="1:114" ht="15" customHeight="1" x14ac:dyDescent="0.35">
      <c r="BO6" s="1264" t="s">
        <v>712</v>
      </c>
      <c r="BP6" s="1264" t="s">
        <v>713</v>
      </c>
      <c r="BQ6" s="1335">
        <v>-10895581000</v>
      </c>
      <c r="BR6" s="1335">
        <v>0</v>
      </c>
      <c r="BS6" s="1335">
        <v>0</v>
      </c>
      <c r="BT6" s="1335">
        <f t="shared" si="9"/>
        <v>0</v>
      </c>
      <c r="BW6" s="1264" t="s">
        <v>712</v>
      </c>
      <c r="BX6" s="1264" t="s">
        <v>713</v>
      </c>
      <c r="BY6" s="1471">
        <v>4352795000</v>
      </c>
      <c r="BZ6" s="1471">
        <v>0</v>
      </c>
      <c r="CA6" s="1471">
        <v>0</v>
      </c>
      <c r="CB6" s="1335">
        <f t="shared" si="10"/>
        <v>4352795</v>
      </c>
      <c r="CC6" s="1335">
        <f t="shared" si="11"/>
        <v>0</v>
      </c>
      <c r="CD6" s="1335">
        <f t="shared" si="12"/>
        <v>0</v>
      </c>
      <c r="CN6" s="88" t="s">
        <v>712</v>
      </c>
      <c r="CO6" s="88" t="s">
        <v>713</v>
      </c>
      <c r="CP6" s="79">
        <v>4352795000</v>
      </c>
      <c r="CQ6" s="79">
        <v>0</v>
      </c>
      <c r="CR6" s="79">
        <v>0</v>
      </c>
      <c r="CS6" s="1705">
        <f t="shared" si="13"/>
        <v>4352795</v>
      </c>
      <c r="CT6" s="1705">
        <f t="shared" si="14"/>
        <v>0</v>
      </c>
      <c r="CU6" s="1705">
        <f t="shared" si="15"/>
        <v>0</v>
      </c>
      <c r="DC6" s="88" t="s">
        <v>712</v>
      </c>
      <c r="DD6" s="88" t="s">
        <v>713</v>
      </c>
      <c r="DE6" s="79">
        <v>4352795000</v>
      </c>
      <c r="DF6" s="79">
        <v>0</v>
      </c>
      <c r="DG6" s="79">
        <v>0</v>
      </c>
      <c r="DH6" s="1335">
        <f t="shared" si="16"/>
        <v>4352795</v>
      </c>
      <c r="DI6" s="1335">
        <f t="shared" si="17"/>
        <v>0</v>
      </c>
      <c r="DJ6" s="1335">
        <f t="shared" si="18"/>
        <v>0</v>
      </c>
    </row>
    <row r="7" spans="1:114" x14ac:dyDescent="0.35">
      <c r="CB7" s="1548">
        <f>SUM(CB3:CB6)</f>
        <v>78598710</v>
      </c>
    </row>
  </sheetData>
  <mergeCells count="12">
    <mergeCell ref="CW1:CY1"/>
    <mergeCell ref="DC1:DG1"/>
    <mergeCell ref="CG1:CL1"/>
    <mergeCell ref="CN1:CS1"/>
    <mergeCell ref="A1:F1"/>
    <mergeCell ref="K1:O1"/>
    <mergeCell ref="T1:X1"/>
    <mergeCell ref="BW1:CA1"/>
    <mergeCell ref="BO1:BP1"/>
    <mergeCell ref="BF1:BI1"/>
    <mergeCell ref="AI1:AM1"/>
    <mergeCell ref="AC1:AG1"/>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sheetPr>
  <dimension ref="A1:AY310"/>
  <sheetViews>
    <sheetView tabSelected="1" zoomScale="80" zoomScaleNormal="80" workbookViewId="0">
      <pane xSplit="7" ySplit="9" topLeftCell="H10" activePane="bottomRight" state="frozen"/>
      <selection activeCell="H72" sqref="H72"/>
      <selection pane="topRight" activeCell="H72" sqref="H72"/>
      <selection pane="bottomLeft" activeCell="H72" sqref="H72"/>
      <selection pane="bottomRight" activeCell="O9" sqref="O9"/>
    </sheetView>
  </sheetViews>
  <sheetFormatPr baseColWidth="10" defaultColWidth="11.42578125" defaultRowHeight="12.75" customHeight="1" outlineLevelRow="3" x14ac:dyDescent="0.2"/>
  <cols>
    <col min="1" max="1" width="2.85546875" style="83" customWidth="1"/>
    <col min="2" max="2" width="6.28515625" style="149" customWidth="1"/>
    <col min="3" max="3" width="4.85546875" style="150" hidden="1" customWidth="1"/>
    <col min="4" max="4" width="6.7109375" style="151" hidden="1" customWidth="1"/>
    <col min="5" max="5" width="5.7109375" style="152" hidden="1" customWidth="1"/>
    <col min="6" max="6" width="20.42578125" style="152" hidden="1" customWidth="1"/>
    <col min="7" max="7" width="76.42578125" style="737" customWidth="1"/>
    <col min="8" max="8" width="19.7109375" style="83" customWidth="1"/>
    <col min="9" max="11" width="19.7109375" style="82" customWidth="1"/>
    <col min="12" max="12" width="19.7109375" style="214" customWidth="1"/>
    <col min="13" max="13" width="19.7109375" style="212" customWidth="1"/>
    <col min="14" max="14" width="19.7109375" style="214" customWidth="1"/>
    <col min="15" max="17" width="19.7109375" style="82" customWidth="1"/>
    <col min="18" max="18" width="19.7109375" style="153" customWidth="1"/>
    <col min="19" max="19" width="19.7109375" style="154" hidden="1" customWidth="1"/>
    <col min="20" max="21" width="26" style="211" customWidth="1"/>
    <col min="22" max="23" width="14.42578125" style="211" customWidth="1"/>
    <col min="24" max="24" width="5.7109375" style="83" customWidth="1"/>
    <col min="25" max="25" width="3.85546875" style="83" customWidth="1"/>
    <col min="26" max="26" width="5.42578125" style="83" customWidth="1"/>
    <col min="27" max="50" width="11.42578125" style="83" customWidth="1"/>
    <col min="51" max="16384" width="11.42578125" style="83"/>
  </cols>
  <sheetData>
    <row r="1" spans="2:27" ht="12.75" customHeight="1" thickBot="1" x14ac:dyDescent="0.25">
      <c r="L1" s="1108"/>
    </row>
    <row r="2" spans="2:27" s="209" customFormat="1" ht="21" customHeight="1" thickBot="1" x14ac:dyDescent="0.35">
      <c r="B2" s="1794" t="s">
        <v>1073</v>
      </c>
      <c r="C2" s="1795"/>
      <c r="D2" s="1795"/>
      <c r="E2" s="1795"/>
      <c r="F2" s="1795"/>
      <c r="G2" s="1795"/>
      <c r="H2" s="1795"/>
      <c r="I2" s="1795"/>
      <c r="J2" s="1795"/>
      <c r="K2" s="1795"/>
      <c r="L2" s="1795"/>
      <c r="M2" s="1795"/>
      <c r="N2" s="1795"/>
      <c r="O2" s="1795"/>
      <c r="P2" s="1795"/>
      <c r="Q2" s="1795"/>
      <c r="R2" s="1796"/>
      <c r="S2" s="258"/>
      <c r="T2" s="631"/>
      <c r="U2" s="631"/>
      <c r="V2" s="631"/>
      <c r="W2" s="631"/>
    </row>
    <row r="3" spans="2:27" s="209" customFormat="1" ht="15" hidden="1" customHeight="1" thickBot="1" x14ac:dyDescent="0.35">
      <c r="B3" s="1803"/>
      <c r="C3" s="1804"/>
      <c r="D3" s="1804"/>
      <c r="E3" s="1804"/>
      <c r="F3" s="1804"/>
      <c r="G3" s="1804"/>
      <c r="H3" s="1804"/>
      <c r="I3" s="1804"/>
      <c r="J3" s="1804"/>
      <c r="K3" s="1804"/>
      <c r="L3" s="1804"/>
      <c r="M3" s="1804"/>
      <c r="N3" s="1804"/>
      <c r="O3" s="1804"/>
      <c r="P3" s="1804"/>
      <c r="Q3" s="1804"/>
      <c r="R3" s="1805"/>
      <c r="S3" s="258"/>
      <c r="T3" s="631"/>
      <c r="U3" s="631"/>
      <c r="V3" s="631"/>
      <c r="W3" s="631"/>
    </row>
    <row r="4" spans="2:27" s="209" customFormat="1" ht="21" customHeight="1" thickBot="1" x14ac:dyDescent="0.35">
      <c r="B4" s="1794" t="s">
        <v>653</v>
      </c>
      <c r="C4" s="1795"/>
      <c r="D4" s="1795"/>
      <c r="E4" s="1795"/>
      <c r="F4" s="1795"/>
      <c r="G4" s="1795"/>
      <c r="H4" s="1795"/>
      <c r="I4" s="1795"/>
      <c r="J4" s="1795"/>
      <c r="K4" s="1795"/>
      <c r="L4" s="1795"/>
      <c r="M4" s="1795"/>
      <c r="N4" s="1795"/>
      <c r="O4" s="1795"/>
      <c r="P4" s="1795"/>
      <c r="Q4" s="1795"/>
      <c r="R4" s="1796"/>
      <c r="S4" s="258"/>
      <c r="T4" s="631"/>
      <c r="U4" s="631"/>
      <c r="V4" s="631"/>
      <c r="W4" s="631"/>
    </row>
    <row r="5" spans="2:27" ht="21.75" customHeight="1" thickBot="1" x14ac:dyDescent="0.25">
      <c r="B5" s="1806" t="s">
        <v>283</v>
      </c>
      <c r="C5" s="1807"/>
      <c r="D5" s="1807"/>
      <c r="E5" s="1807"/>
      <c r="F5" s="1807"/>
      <c r="G5" s="1807"/>
      <c r="H5" s="1824" t="s">
        <v>942</v>
      </c>
      <c r="I5" s="1825"/>
      <c r="J5" s="1825"/>
      <c r="K5" s="1825"/>
      <c r="L5" s="1825"/>
      <c r="M5" s="1825"/>
      <c r="N5" s="1825"/>
      <c r="O5" s="1826"/>
      <c r="P5" s="1800" t="s">
        <v>707</v>
      </c>
      <c r="Q5" s="1801"/>
      <c r="R5" s="1802"/>
    </row>
    <row r="6" spans="2:27" ht="16.5" customHeight="1" thickBot="1" x14ac:dyDescent="0.25">
      <c r="B6" s="1808"/>
      <c r="C6" s="1809"/>
      <c r="D6" s="1809"/>
      <c r="E6" s="1809"/>
      <c r="F6" s="1809"/>
      <c r="G6" s="1809"/>
      <c r="H6" s="573" t="s">
        <v>130</v>
      </c>
      <c r="I6" s="511" t="s">
        <v>131</v>
      </c>
      <c r="J6" s="1580" t="s">
        <v>132</v>
      </c>
      <c r="K6" s="511" t="s">
        <v>133</v>
      </c>
      <c r="L6" s="512" t="s">
        <v>789</v>
      </c>
      <c r="M6" s="513" t="s">
        <v>791</v>
      </c>
      <c r="N6" s="512" t="s">
        <v>790</v>
      </c>
      <c r="O6" s="1019" t="s">
        <v>792</v>
      </c>
      <c r="P6" s="514" t="s">
        <v>130</v>
      </c>
      <c r="Q6" s="514" t="s">
        <v>131</v>
      </c>
      <c r="R6" s="514" t="s">
        <v>134</v>
      </c>
    </row>
    <row r="7" spans="2:27" ht="76.5" customHeight="1" thickBot="1" x14ac:dyDescent="0.25">
      <c r="B7" s="955"/>
      <c r="C7" s="956"/>
      <c r="D7" s="956"/>
      <c r="E7" s="956"/>
      <c r="F7" s="956"/>
      <c r="G7" s="956"/>
      <c r="H7" s="524" t="s">
        <v>944</v>
      </c>
      <c r="I7" s="515" t="s">
        <v>943</v>
      </c>
      <c r="J7" s="515" t="s">
        <v>1059</v>
      </c>
      <c r="K7" s="515" t="s">
        <v>1060</v>
      </c>
      <c r="L7" s="515" t="s">
        <v>814</v>
      </c>
      <c r="M7" s="515" t="s">
        <v>813</v>
      </c>
      <c r="N7" s="515" t="s">
        <v>811</v>
      </c>
      <c r="O7" s="516" t="s">
        <v>812</v>
      </c>
      <c r="P7" s="517" t="s">
        <v>1061</v>
      </c>
      <c r="Q7" s="518" t="s">
        <v>1062</v>
      </c>
      <c r="R7" s="519" t="s">
        <v>1063</v>
      </c>
    </row>
    <row r="8" spans="2:27" ht="69" hidden="1" customHeight="1" thickBot="1" x14ac:dyDescent="0.25">
      <c r="B8" s="199" t="s">
        <v>855</v>
      </c>
      <c r="C8" s="200" t="s">
        <v>92</v>
      </c>
      <c r="D8" s="201" t="s">
        <v>93</v>
      </c>
      <c r="E8" s="201" t="s">
        <v>94</v>
      </c>
      <c r="F8" s="201" t="s">
        <v>291</v>
      </c>
      <c r="G8" s="502" t="s">
        <v>856</v>
      </c>
      <c r="H8" s="524" t="s">
        <v>774</v>
      </c>
      <c r="I8" s="515" t="s">
        <v>775</v>
      </c>
      <c r="J8" s="515" t="s">
        <v>888</v>
      </c>
      <c r="K8" s="515" t="s">
        <v>893</v>
      </c>
      <c r="L8" s="1109" t="s">
        <v>814</v>
      </c>
      <c r="M8" s="515" t="s">
        <v>813</v>
      </c>
      <c r="N8" s="515" t="s">
        <v>811</v>
      </c>
      <c r="O8" s="516" t="s">
        <v>812</v>
      </c>
      <c r="P8" s="517" t="s">
        <v>887</v>
      </c>
      <c r="Q8" s="518" t="s">
        <v>889</v>
      </c>
      <c r="R8" s="519" t="s">
        <v>891</v>
      </c>
      <c r="T8" s="633"/>
      <c r="U8" s="633"/>
      <c r="V8" s="633"/>
      <c r="W8" s="633"/>
    </row>
    <row r="9" spans="2:27" ht="17.25" customHeight="1" x14ac:dyDescent="0.2">
      <c r="B9" s="266" t="s">
        <v>91</v>
      </c>
      <c r="C9" s="267" t="s">
        <v>92</v>
      </c>
      <c r="D9" s="268" t="s">
        <v>93</v>
      </c>
      <c r="E9" s="268" t="s">
        <v>94</v>
      </c>
      <c r="F9" s="268" t="s">
        <v>291</v>
      </c>
      <c r="G9" s="1018" t="s">
        <v>147</v>
      </c>
      <c r="H9" s="1020">
        <f>+H10+H78+H142+H145+H196+H201+H206+H207+H212+H277+H282</f>
        <v>431131509.99800003</v>
      </c>
      <c r="I9" s="269">
        <f>+I10+I78+I142+I145+I196+I201+I206+I207+I212+I277+I282</f>
        <v>456278382</v>
      </c>
      <c r="J9" s="269">
        <f ca="1">+J10+J78+J142+J145+J196+J201+J206+J207+J212+J277+J282</f>
        <v>274294049.25700003</v>
      </c>
      <c r="K9" s="343">
        <f t="shared" ref="K9:K75" ca="1" si="0">IFERROR(J9/I9,"0.00%")</f>
        <v>0.60115504060194558</v>
      </c>
      <c r="L9" s="1110">
        <f ca="1">+L10+L78+L142+L145+L196+L201+L206+L207+L212+L277+L282</f>
        <v>306236187.54900002</v>
      </c>
      <c r="M9" s="343">
        <f ca="1">IFERROR(L9/I9,"0.00%")</f>
        <v>0.67116085186126573</v>
      </c>
      <c r="N9" s="344">
        <f>+N10+N78+N142+N145+N196+N201+N206+N207+N212+N277+N282</f>
        <v>150042194.45100001</v>
      </c>
      <c r="O9" s="270">
        <f>+N9/I9</f>
        <v>0.32883914813873433</v>
      </c>
      <c r="P9" s="347">
        <f>+P10+P78+P145+P196+P206+P201+P207+P212+P277+P142+P282+P199</f>
        <v>431180288.12763</v>
      </c>
      <c r="Q9" s="269">
        <f ca="1">+Q10+Q78+Q145+Q196+Q201+Q206+Q212+Q207+Q277+Q282+Q142+Q199</f>
        <v>232908852.095772</v>
      </c>
      <c r="R9" s="270">
        <f t="shared" ref="R9:R75" ca="1" si="1">IFERROR(Q9/P9,"0.00%")</f>
        <v>0.5401658158056396</v>
      </c>
      <c r="S9" s="271"/>
      <c r="T9" s="1049"/>
    </row>
    <row r="10" spans="2:27" ht="15.75" customHeight="1" x14ac:dyDescent="0.25">
      <c r="B10" s="165" t="s">
        <v>155</v>
      </c>
      <c r="C10" s="106"/>
      <c r="D10" s="107"/>
      <c r="E10" s="108"/>
      <c r="F10" s="108"/>
      <c r="G10" s="1008" t="s">
        <v>16</v>
      </c>
      <c r="H10" s="163">
        <f>+H11+H41+H72</f>
        <v>17419021</v>
      </c>
      <c r="I10" s="109">
        <f>+I11+I41+I72</f>
        <v>17374205</v>
      </c>
      <c r="J10" s="109">
        <f ca="1">+J11+J41+J72</f>
        <v>13594888.455</v>
      </c>
      <c r="K10" s="256">
        <f t="shared" ca="1" si="0"/>
        <v>0.78247542578207174</v>
      </c>
      <c r="L10" s="1111">
        <f>+L11+L41+L72</f>
        <v>13594888.455</v>
      </c>
      <c r="M10" s="256">
        <f t="shared" ref="M10:M76" si="2">+IFERROR(L10/I10,0)</f>
        <v>0.78247542578207174</v>
      </c>
      <c r="N10" s="257">
        <f>+N11+N41+N72</f>
        <v>3779316.5450000004</v>
      </c>
      <c r="O10" s="162">
        <f t="shared" ref="O10:O76" si="3">+IFERROR(N10/I10,0)</f>
        <v>0.21752457421792826</v>
      </c>
      <c r="P10" s="163">
        <f>+P11+P41+P72</f>
        <v>16432199.475</v>
      </c>
      <c r="Q10" s="109">
        <f ca="1">+Q11+Q41+Q72</f>
        <v>12571039.013038998</v>
      </c>
      <c r="R10" s="162">
        <f t="shared" ca="1" si="1"/>
        <v>0.76502473282195826</v>
      </c>
      <c r="T10" s="537"/>
      <c r="U10" s="537"/>
      <c r="V10" s="634"/>
      <c r="W10" s="634"/>
      <c r="X10" s="627"/>
      <c r="Y10" s="627"/>
      <c r="Z10" s="627"/>
      <c r="AA10" s="632"/>
    </row>
    <row r="11" spans="2:27" ht="15" hidden="1" customHeight="1" outlineLevel="1" x14ac:dyDescent="0.25">
      <c r="B11" s="165"/>
      <c r="C11" s="106" t="s">
        <v>157</v>
      </c>
      <c r="D11" s="107"/>
      <c r="E11" s="108"/>
      <c r="F11" s="108"/>
      <c r="G11" s="1008" t="s">
        <v>17</v>
      </c>
      <c r="H11" s="163">
        <f>+H12+H25+H28+H32+H37</f>
        <v>1085491.78</v>
      </c>
      <c r="I11" s="109">
        <f>+I12+I25+I28+I32+I37</f>
        <v>1109233.8419999999</v>
      </c>
      <c r="J11" s="109">
        <f ca="1">+J12+J25+J28+J32+J37</f>
        <v>628913.06400000001</v>
      </c>
      <c r="K11" s="256">
        <f t="shared" ca="1" si="0"/>
        <v>0.56697969371908152</v>
      </c>
      <c r="L11" s="1111">
        <f>+L12+L25+L28+L32+L37</f>
        <v>628913.06400000001</v>
      </c>
      <c r="M11" s="256">
        <f t="shared" si="2"/>
        <v>0.56697969371908152</v>
      </c>
      <c r="N11" s="257">
        <f>+N12+N25+N28+N32+N37</f>
        <v>480320.77799999993</v>
      </c>
      <c r="O11" s="162">
        <f t="shared" si="3"/>
        <v>0.43302030628091848</v>
      </c>
      <c r="P11" s="163">
        <f>+P12+P25+P28+P32+P37</f>
        <v>973920.43417199992</v>
      </c>
      <c r="Q11" s="109">
        <f ca="1">+Q12+Q25+Q28+Q32+Q37</f>
        <v>654756.49871299998</v>
      </c>
      <c r="R11" s="162">
        <f t="shared" ca="1" si="1"/>
        <v>0.67228951743851206</v>
      </c>
      <c r="T11" s="537"/>
      <c r="U11" s="537"/>
      <c r="X11" s="627"/>
      <c r="Y11" s="627"/>
      <c r="Z11" s="627"/>
      <c r="AA11" s="632"/>
    </row>
    <row r="12" spans="2:27" ht="15" hidden="1" customHeight="1" outlineLevel="2" x14ac:dyDescent="0.25">
      <c r="B12" s="165"/>
      <c r="C12" s="106"/>
      <c r="D12" s="107" t="s">
        <v>156</v>
      </c>
      <c r="E12" s="108"/>
      <c r="F12" s="108"/>
      <c r="G12" s="1008" t="s">
        <v>18</v>
      </c>
      <c r="H12" s="163">
        <f>SUM(H13:H24)</f>
        <v>769096.17999999993</v>
      </c>
      <c r="I12" s="109">
        <f t="shared" ref="I12:N12" si="4">SUM(I13:I24)</f>
        <v>792328.17999999993</v>
      </c>
      <c r="J12" s="109">
        <f t="shared" ca="1" si="4"/>
        <v>473757.12199999992</v>
      </c>
      <c r="K12" s="256">
        <f t="shared" ca="1" si="0"/>
        <v>0.59793042070016988</v>
      </c>
      <c r="L12" s="109">
        <f t="shared" si="4"/>
        <v>473757.12199999992</v>
      </c>
      <c r="M12" s="256">
        <f t="shared" si="2"/>
        <v>0.59793042070016988</v>
      </c>
      <c r="N12" s="109">
        <f t="shared" si="4"/>
        <v>318571.05799999996</v>
      </c>
      <c r="O12" s="162">
        <f t="shared" si="3"/>
        <v>0.40206957929983</v>
      </c>
      <c r="P12" s="163">
        <f>SUM(P13:P24)</f>
        <v>707179.65226599993</v>
      </c>
      <c r="Q12" s="109">
        <f>SUM(Q13:Q24)</f>
        <v>490971.65699699998</v>
      </c>
      <c r="R12" s="162">
        <f t="shared" si="1"/>
        <v>0.69426722817008446</v>
      </c>
      <c r="T12" s="537"/>
      <c r="U12" s="537"/>
      <c r="X12" s="627"/>
      <c r="Y12" s="627"/>
      <c r="Z12" s="627"/>
      <c r="AA12" s="632"/>
    </row>
    <row r="13" spans="2:27" ht="15" hidden="1" customHeight="1" outlineLevel="3" x14ac:dyDescent="0.25">
      <c r="B13" s="165"/>
      <c r="C13" s="106"/>
      <c r="D13" s="107"/>
      <c r="E13" s="108">
        <v>1</v>
      </c>
      <c r="F13" s="110" t="str">
        <f>+CONCATENATE($B$10,"",$C$11,"",$D$12,"00",E13)</f>
        <v>21.01.001.001</v>
      </c>
      <c r="G13" s="1009" t="s">
        <v>124</v>
      </c>
      <c r="H13" s="163">
        <f t="shared" ref="H13:H22" si="5">+VLOOKUP(F13,matriz01,3,FALSE)</f>
        <v>144602.905</v>
      </c>
      <c r="I13" s="109">
        <f t="shared" ref="I13:I22" si="6">+VLOOKUP(F13,matriz01,4,FALSE)</f>
        <v>144602.905</v>
      </c>
      <c r="J13" s="109">
        <f t="shared" ref="J13:J24" si="7">+VLOOKUP(F13,matriz01,5,FALSE)</f>
        <v>83593.831999999995</v>
      </c>
      <c r="K13" s="256">
        <f t="shared" si="0"/>
        <v>0.57809234192079328</v>
      </c>
      <c r="L13" s="1111">
        <f t="shared" ref="L13:L22" si="8">INDEX(coincidenciaP01,MATCH(F13,indicep01,0),7)</f>
        <v>83593.831999999995</v>
      </c>
      <c r="M13" s="256">
        <f t="shared" si="2"/>
        <v>0.57809234192079328</v>
      </c>
      <c r="N13" s="257">
        <f>INDEX(coincidenciaP01,MATCH(F13,indicep01,0),9)</f>
        <v>61009.072999999997</v>
      </c>
      <c r="O13" s="162">
        <f t="shared" si="3"/>
        <v>0.4219076580792066</v>
      </c>
      <c r="P13" s="163">
        <f>+'Prog 01'!Q13</f>
        <v>132840.44187000001</v>
      </c>
      <c r="Q13" s="109">
        <f>+'Prog 01'!R13</f>
        <v>91472.658396999992</v>
      </c>
      <c r="R13" s="162">
        <f t="shared" si="1"/>
        <v>0.68859044060179164</v>
      </c>
      <c r="T13" s="537"/>
      <c r="U13" s="537"/>
      <c r="X13" s="627"/>
      <c r="Y13" s="627"/>
      <c r="Z13" s="627"/>
      <c r="AA13" s="632"/>
    </row>
    <row r="14" spans="2:27" ht="15" hidden="1" customHeight="1" outlineLevel="3" x14ac:dyDescent="0.25">
      <c r="B14" s="165"/>
      <c r="C14" s="106"/>
      <c r="D14" s="107"/>
      <c r="E14" s="108">
        <v>2</v>
      </c>
      <c r="F14" s="110" t="str">
        <f>+CONCATENATE($B$10,"",$C$11,"",$D$12,"00",E14)</f>
        <v>21.01.001.002</v>
      </c>
      <c r="G14" s="1009" t="s">
        <v>19</v>
      </c>
      <c r="H14" s="163">
        <f t="shared" si="5"/>
        <v>18480.027999999998</v>
      </c>
      <c r="I14" s="109">
        <f t="shared" si="6"/>
        <v>18480.027999999998</v>
      </c>
      <c r="J14" s="109">
        <f t="shared" ca="1" si="7"/>
        <v>11840.041000000001</v>
      </c>
      <c r="K14" s="256">
        <f t="shared" ca="1" si="0"/>
        <v>0.64069388855904341</v>
      </c>
      <c r="L14" s="1111">
        <f t="shared" si="8"/>
        <v>11840.040999999999</v>
      </c>
      <c r="M14" s="256">
        <f t="shared" si="2"/>
        <v>0.6406938885590433</v>
      </c>
      <c r="N14" s="257">
        <f>INDEX(coincidenciaP01,MATCH(F14,indicep01,0),9)</f>
        <v>6639.9870000000001</v>
      </c>
      <c r="O14" s="162">
        <f t="shared" si="3"/>
        <v>0.3593061114409567</v>
      </c>
      <c r="P14" s="163">
        <f>+'Prog 01'!Q14</f>
        <v>17054.645503</v>
      </c>
      <c r="Q14" s="109">
        <f>+'Prog 01'!R14</f>
        <v>12176.857402999998</v>
      </c>
      <c r="R14" s="162">
        <f t="shared" si="1"/>
        <v>0.71399064852201277</v>
      </c>
      <c r="T14" s="537"/>
      <c r="U14" s="537"/>
      <c r="X14" s="627"/>
      <c r="Y14" s="627"/>
      <c r="Z14" s="627"/>
      <c r="AA14" s="632"/>
    </row>
    <row r="15" spans="2:27" ht="15" hidden="1" customHeight="1" outlineLevel="3" x14ac:dyDescent="0.25">
      <c r="B15" s="165"/>
      <c r="C15" s="106"/>
      <c r="D15" s="107"/>
      <c r="E15" s="108">
        <v>3</v>
      </c>
      <c r="F15" s="110" t="str">
        <f>+CONCATENATE($B$10,"",$C$11,"",$D$12,"00",E15)</f>
        <v>21.01.001.003</v>
      </c>
      <c r="G15" s="1009" t="s">
        <v>20</v>
      </c>
      <c r="H15" s="163">
        <f t="shared" si="5"/>
        <v>100269.412</v>
      </c>
      <c r="I15" s="109">
        <f t="shared" si="6"/>
        <v>100269.412</v>
      </c>
      <c r="J15" s="109">
        <f t="shared" ca="1" si="7"/>
        <v>63522.558000000005</v>
      </c>
      <c r="K15" s="256">
        <f t="shared" ca="1" si="0"/>
        <v>0.63351880431890839</v>
      </c>
      <c r="L15" s="1111">
        <f t="shared" si="8"/>
        <v>63522.557999999997</v>
      </c>
      <c r="M15" s="256">
        <f t="shared" si="2"/>
        <v>0.63351880431890839</v>
      </c>
      <c r="N15" s="257">
        <f t="shared" ref="N15:N22" si="9">INDEX(coincidenciaP01,MATCH(F15,indicep01,0),9)</f>
        <v>36746.853999999999</v>
      </c>
      <c r="O15" s="162">
        <f t="shared" si="3"/>
        <v>0.36648119568109166</v>
      </c>
      <c r="P15" s="163">
        <f>+'Prog 01'!Q15</f>
        <v>92535.537214999989</v>
      </c>
      <c r="Q15" s="109">
        <f>+'Prog 01'!R15</f>
        <v>66518.384732999984</v>
      </c>
      <c r="R15" s="162">
        <f t="shared" si="1"/>
        <v>0.71884150386947088</v>
      </c>
      <c r="T15" s="537"/>
      <c r="U15" s="537"/>
      <c r="X15" s="627"/>
      <c r="Y15" s="627"/>
      <c r="Z15" s="627"/>
      <c r="AA15" s="632"/>
    </row>
    <row r="16" spans="2:27" ht="15" hidden="1" customHeight="1" outlineLevel="3" x14ac:dyDescent="0.25">
      <c r="B16" s="165"/>
      <c r="C16" s="106"/>
      <c r="D16" s="107"/>
      <c r="E16" s="108">
        <v>7</v>
      </c>
      <c r="F16" s="110" t="str">
        <f>+CONCATENATE($B$10,"",$C$11,"",$D$12,"00",E16)</f>
        <v>21.01.001.007</v>
      </c>
      <c r="G16" s="1009" t="s">
        <v>129</v>
      </c>
      <c r="H16" s="163">
        <f t="shared" si="5"/>
        <v>9704.8359999999993</v>
      </c>
      <c r="I16" s="109">
        <f t="shared" si="6"/>
        <v>9704.8359999999993</v>
      </c>
      <c r="J16" s="109">
        <f t="shared" ca="1" si="7"/>
        <v>7005.6989999999996</v>
      </c>
      <c r="K16" s="256">
        <f t="shared" ca="1" si="0"/>
        <v>0.72187711363695384</v>
      </c>
      <c r="L16" s="1111">
        <f t="shared" si="8"/>
        <v>7005.6989999999996</v>
      </c>
      <c r="M16" s="256">
        <f t="shared" si="2"/>
        <v>0.72187711363695384</v>
      </c>
      <c r="N16" s="257">
        <f t="shared" si="9"/>
        <v>2699.1370000000002</v>
      </c>
      <c r="O16" s="162">
        <f t="shared" si="3"/>
        <v>0.27812288636304627</v>
      </c>
      <c r="P16" s="163">
        <f>+'Prog 01'!Q16</f>
        <v>8919.0876809999991</v>
      </c>
      <c r="Q16" s="109">
        <f>+'Prog 01'!R16</f>
        <v>6649.1606699999984</v>
      </c>
      <c r="R16" s="162">
        <f t="shared" si="1"/>
        <v>0.74549784774113814</v>
      </c>
      <c r="T16" s="537"/>
      <c r="U16" s="537"/>
      <c r="X16" s="627"/>
      <c r="Y16" s="627"/>
      <c r="Z16" s="627"/>
      <c r="AA16" s="632"/>
    </row>
    <row r="17" spans="2:27" ht="15" hidden="1" customHeight="1" outlineLevel="3" x14ac:dyDescent="0.25">
      <c r="B17" s="165"/>
      <c r="C17" s="106"/>
      <c r="D17" s="107"/>
      <c r="E17" s="108">
        <v>12</v>
      </c>
      <c r="F17" s="110" t="str">
        <f t="shared" ref="F17:F24" si="10">+CONCATENATE($B$10,"",$C$11,"",$D$12,"0",E17)</f>
        <v>21.01.001.012</v>
      </c>
      <c r="G17" s="1009" t="s">
        <v>22</v>
      </c>
      <c r="H17" s="163">
        <f t="shared" si="5"/>
        <v>3624.1959999999999</v>
      </c>
      <c r="I17" s="109">
        <f t="shared" si="6"/>
        <v>3624.1959999999999</v>
      </c>
      <c r="J17" s="109">
        <f t="shared" ca="1" si="7"/>
        <v>1597.1940000000002</v>
      </c>
      <c r="K17" s="256">
        <f t="shared" ca="1" si="0"/>
        <v>0.44070298626233245</v>
      </c>
      <c r="L17" s="1111">
        <f t="shared" si="8"/>
        <v>1597.194</v>
      </c>
      <c r="M17" s="256">
        <f t="shared" si="2"/>
        <v>0.4407029862623324</v>
      </c>
      <c r="N17" s="257">
        <f t="shared" si="9"/>
        <v>2027.002</v>
      </c>
      <c r="O17" s="162">
        <f t="shared" si="3"/>
        <v>0.5592970137376676</v>
      </c>
      <c r="P17" s="163">
        <f>+'Prog 01'!Q17</f>
        <v>3344.6582789999998</v>
      </c>
      <c r="Q17" s="109">
        <f>+'Prog 01'!R17</f>
        <v>1697.8172219999999</v>
      </c>
      <c r="R17" s="162">
        <f t="shared" si="1"/>
        <v>0.50762053410957741</v>
      </c>
      <c r="T17" s="537"/>
      <c r="U17" s="537"/>
      <c r="X17" s="627"/>
      <c r="Y17" s="627"/>
      <c r="Z17" s="627"/>
      <c r="AA17" s="632"/>
    </row>
    <row r="18" spans="2:27" ht="15" hidden="1" customHeight="1" outlineLevel="3" x14ac:dyDescent="0.25">
      <c r="B18" s="165"/>
      <c r="C18" s="106"/>
      <c r="D18" s="107"/>
      <c r="E18" s="108">
        <v>13</v>
      </c>
      <c r="F18" s="110" t="str">
        <f t="shared" si="10"/>
        <v>21.01.001.013</v>
      </c>
      <c r="G18" s="1009" t="s">
        <v>23</v>
      </c>
      <c r="H18" s="163">
        <f t="shared" si="5"/>
        <v>63244.34</v>
      </c>
      <c r="I18" s="109">
        <f t="shared" si="6"/>
        <v>63244.34</v>
      </c>
      <c r="J18" s="109">
        <f t="shared" ca="1" si="7"/>
        <v>37735.716999999997</v>
      </c>
      <c r="K18" s="256">
        <f t="shared" ca="1" si="0"/>
        <v>0.59666551979196869</v>
      </c>
      <c r="L18" s="1111">
        <f t="shared" si="8"/>
        <v>37735.716999999997</v>
      </c>
      <c r="M18" s="256">
        <f t="shared" si="2"/>
        <v>0.59666551979196869</v>
      </c>
      <c r="N18" s="257">
        <f>INDEX(coincidenciaP01,MATCH(F18,indicep01,0),9)</f>
        <v>25508.623</v>
      </c>
      <c r="O18" s="162">
        <f t="shared" si="3"/>
        <v>0.40333448020803125</v>
      </c>
      <c r="P18" s="163">
        <f>+'Prog 01'!Q18</f>
        <v>58366.244111</v>
      </c>
      <c r="Q18" s="109">
        <f>+'Prog 01'!R18</f>
        <v>40054.880676999994</v>
      </c>
      <c r="R18" s="162">
        <f t="shared" si="1"/>
        <v>0.68626791542084253</v>
      </c>
      <c r="T18" s="537"/>
      <c r="U18" s="537"/>
      <c r="X18" s="627"/>
      <c r="Y18" s="627"/>
      <c r="Z18" s="627"/>
      <c r="AA18" s="632"/>
    </row>
    <row r="19" spans="2:27" ht="15" hidden="1" customHeight="1" outlineLevel="3" x14ac:dyDescent="0.25">
      <c r="B19" s="165"/>
      <c r="C19" s="106"/>
      <c r="D19" s="107"/>
      <c r="E19" s="108">
        <v>14</v>
      </c>
      <c r="F19" s="110" t="str">
        <f t="shared" si="10"/>
        <v>21.01.001.014</v>
      </c>
      <c r="G19" s="1009" t="s">
        <v>24</v>
      </c>
      <c r="H19" s="163">
        <f t="shared" si="5"/>
        <v>94261.555999999997</v>
      </c>
      <c r="I19" s="109">
        <f t="shared" si="6"/>
        <v>94261.555999999997</v>
      </c>
      <c r="J19" s="109">
        <f t="shared" ca="1" si="7"/>
        <v>57338.796000000002</v>
      </c>
      <c r="K19" s="256">
        <f t="shared" ca="1" si="0"/>
        <v>0.60829460527895385</v>
      </c>
      <c r="L19" s="1111">
        <f t="shared" si="8"/>
        <v>57338.796000000002</v>
      </c>
      <c r="M19" s="256">
        <f t="shared" si="2"/>
        <v>0.60829460527895385</v>
      </c>
      <c r="N19" s="257">
        <f t="shared" si="9"/>
        <v>36922.76</v>
      </c>
      <c r="O19" s="162">
        <f t="shared" si="3"/>
        <v>0.39170539472104621</v>
      </c>
      <c r="P19" s="163">
        <f>+'Prog 01'!Q19</f>
        <v>86991.072719999996</v>
      </c>
      <c r="Q19" s="109">
        <f>+'Prog 01'!R19</f>
        <v>61932.318911999995</v>
      </c>
      <c r="R19" s="162">
        <f t="shared" si="1"/>
        <v>0.7119387883782381</v>
      </c>
      <c r="T19" s="537"/>
      <c r="U19" s="537"/>
      <c r="X19" s="627"/>
      <c r="Y19" s="627"/>
      <c r="Z19" s="627"/>
      <c r="AA19" s="632"/>
    </row>
    <row r="20" spans="2:27" ht="15" hidden="1" customHeight="1" outlineLevel="3" x14ac:dyDescent="0.25">
      <c r="B20" s="165"/>
      <c r="C20" s="106"/>
      <c r="D20" s="107"/>
      <c r="E20" s="108">
        <v>15</v>
      </c>
      <c r="F20" s="110" t="str">
        <f t="shared" si="10"/>
        <v>21.01.001.015</v>
      </c>
      <c r="G20" s="1009" t="s">
        <v>25</v>
      </c>
      <c r="H20" s="163">
        <f t="shared" si="5"/>
        <v>234364.65100000001</v>
      </c>
      <c r="I20" s="109">
        <f t="shared" si="6"/>
        <v>234364.65100000001</v>
      </c>
      <c r="J20" s="109">
        <f t="shared" ca="1" si="7"/>
        <v>141086.11199999999</v>
      </c>
      <c r="K20" s="256">
        <f t="shared" ca="1" si="0"/>
        <v>0.60199399268620923</v>
      </c>
      <c r="L20" s="1111">
        <f t="shared" si="8"/>
        <v>141086.11199999999</v>
      </c>
      <c r="M20" s="256">
        <f t="shared" si="2"/>
        <v>0.60199399268620923</v>
      </c>
      <c r="N20" s="257">
        <f t="shared" si="9"/>
        <v>93278.539000000004</v>
      </c>
      <c r="O20" s="162">
        <f t="shared" si="3"/>
        <v>0.39800600731379066</v>
      </c>
      <c r="P20" s="163">
        <f>+'Prog 01'!Q20</f>
        <v>216287.88290799997</v>
      </c>
      <c r="Q20" s="109">
        <f>+'Prog 01'!R20</f>
        <v>152497.79397499998</v>
      </c>
      <c r="R20" s="162">
        <f t="shared" si="1"/>
        <v>0.70506859619069051</v>
      </c>
      <c r="T20" s="537"/>
      <c r="U20" s="537"/>
      <c r="X20" s="627"/>
      <c r="Y20" s="627"/>
      <c r="Z20" s="627"/>
      <c r="AA20" s="632"/>
    </row>
    <row r="21" spans="2:27" ht="15" hidden="1" customHeight="1" outlineLevel="3" x14ac:dyDescent="0.25">
      <c r="B21" s="165"/>
      <c r="C21" s="106"/>
      <c r="D21" s="107"/>
      <c r="E21" s="108">
        <v>22</v>
      </c>
      <c r="F21" s="110" t="str">
        <f t="shared" si="10"/>
        <v>21.01.001.022</v>
      </c>
      <c r="G21" s="1009" t="s">
        <v>26</v>
      </c>
      <c r="H21" s="163">
        <f t="shared" si="5"/>
        <v>75479.017000000007</v>
      </c>
      <c r="I21" s="109">
        <f t="shared" si="6"/>
        <v>75479.017000000007</v>
      </c>
      <c r="J21" s="109">
        <f t="shared" ca="1" si="7"/>
        <v>45271.597000000002</v>
      </c>
      <c r="K21" s="256">
        <f t="shared" ca="1" si="0"/>
        <v>0.59979049541675933</v>
      </c>
      <c r="L21" s="1111">
        <f t="shared" si="8"/>
        <v>45271.597000000002</v>
      </c>
      <c r="M21" s="256">
        <f t="shared" si="2"/>
        <v>0.59979049541675933</v>
      </c>
      <c r="N21" s="257">
        <f t="shared" si="9"/>
        <v>30207.42</v>
      </c>
      <c r="O21" s="162">
        <f t="shared" si="3"/>
        <v>0.40020950458324062</v>
      </c>
      <c r="P21" s="164">
        <f>+'Prog 01'!Q21</f>
        <v>69657.24833799999</v>
      </c>
      <c r="Q21" s="109">
        <f>+'Prog 01'!R21</f>
        <v>48890.729080000005</v>
      </c>
      <c r="R21" s="162">
        <f t="shared" si="1"/>
        <v>0.70187568769248576</v>
      </c>
      <c r="T21" s="537"/>
      <c r="U21" s="537"/>
      <c r="X21" s="627"/>
      <c r="Y21" s="627"/>
      <c r="Z21" s="627"/>
      <c r="AA21" s="632"/>
    </row>
    <row r="22" spans="2:27" ht="15" hidden="1" customHeight="1" outlineLevel="3" x14ac:dyDescent="0.25">
      <c r="B22" s="165"/>
      <c r="C22" s="106"/>
      <c r="D22" s="107"/>
      <c r="E22" s="108">
        <v>39</v>
      </c>
      <c r="F22" s="110" t="str">
        <f t="shared" si="10"/>
        <v>21.01.001.039</v>
      </c>
      <c r="G22" s="1009" t="s">
        <v>27</v>
      </c>
      <c r="H22" s="163">
        <f t="shared" si="5"/>
        <v>22953.239000000001</v>
      </c>
      <c r="I22" s="109">
        <f t="shared" si="6"/>
        <v>22953.239000000001</v>
      </c>
      <c r="J22" s="109">
        <f t="shared" ca="1" si="7"/>
        <v>7869.576</v>
      </c>
      <c r="K22" s="256">
        <f t="shared" ca="1" si="0"/>
        <v>0.34285252726205656</v>
      </c>
      <c r="L22" s="1111">
        <f t="shared" si="8"/>
        <v>7869.576</v>
      </c>
      <c r="M22" s="256">
        <f t="shared" si="2"/>
        <v>0.34285252726205656</v>
      </c>
      <c r="N22" s="257">
        <f t="shared" si="9"/>
        <v>15083.663</v>
      </c>
      <c r="O22" s="162">
        <f t="shared" si="3"/>
        <v>0.65714747273794338</v>
      </c>
      <c r="P22" s="164">
        <f>+'Prog 01'!Q22</f>
        <v>21182.833640999997</v>
      </c>
      <c r="Q22" s="109">
        <f>+'Prog 01'!R22</f>
        <v>9081.0559279999998</v>
      </c>
      <c r="R22" s="162">
        <f t="shared" si="1"/>
        <v>0.42869882669631831</v>
      </c>
      <c r="T22" s="537"/>
      <c r="U22" s="537"/>
      <c r="X22" s="627"/>
      <c r="Y22" s="627"/>
      <c r="Z22" s="627"/>
      <c r="AA22" s="632"/>
    </row>
    <row r="23" spans="2:27" ht="15" hidden="1" customHeight="1" outlineLevel="3" x14ac:dyDescent="0.25">
      <c r="B23" s="165"/>
      <c r="C23" s="106"/>
      <c r="D23" s="107"/>
      <c r="E23" s="108">
        <v>998</v>
      </c>
      <c r="F23" s="110" t="str">
        <f t="shared" si="10"/>
        <v>21.01.001.0998</v>
      </c>
      <c r="G23" s="1009" t="s">
        <v>998</v>
      </c>
      <c r="H23" s="163">
        <f>+'Prog 01'!I23</f>
        <v>2112</v>
      </c>
      <c r="I23" s="109">
        <f>+'Prog 01'!J23</f>
        <v>25344</v>
      </c>
      <c r="J23" s="109">
        <f ca="1">+'Prog 01'!K23</f>
        <v>16896</v>
      </c>
      <c r="K23" s="256">
        <f t="shared" ca="1" si="0"/>
        <v>0.66666666666666663</v>
      </c>
      <c r="L23" s="109">
        <f>+'Prog 01'!M23</f>
        <v>16896</v>
      </c>
      <c r="M23" s="256">
        <f t="shared" si="2"/>
        <v>0.66666666666666663</v>
      </c>
      <c r="N23" s="109">
        <f>+'Prog 01'!O23</f>
        <v>8448</v>
      </c>
      <c r="O23" s="162">
        <f t="shared" si="3"/>
        <v>0.33333333333333331</v>
      </c>
      <c r="P23" s="331">
        <f>+'Prog 01'!Q23</f>
        <v>0</v>
      </c>
      <c r="Q23" s="323">
        <f>+'Prog 01'!R23</f>
        <v>0</v>
      </c>
      <c r="R23" s="162" t="str">
        <f t="shared" si="1"/>
        <v>0.00%</v>
      </c>
      <c r="T23" s="537"/>
      <c r="U23" s="537"/>
      <c r="X23" s="627"/>
      <c r="Y23" s="627"/>
      <c r="Z23" s="627"/>
      <c r="AA23" s="632"/>
    </row>
    <row r="24" spans="2:27" ht="15" hidden="1" customHeight="1" outlineLevel="3" x14ac:dyDescent="0.25">
      <c r="B24" s="165"/>
      <c r="C24" s="106"/>
      <c r="D24" s="107"/>
      <c r="E24" s="108">
        <v>999</v>
      </c>
      <c r="F24" s="110" t="str">
        <f t="shared" si="10"/>
        <v>21.01.001.0999</v>
      </c>
      <c r="G24" s="1009" t="s">
        <v>930</v>
      </c>
      <c r="H24" s="163">
        <v>0</v>
      </c>
      <c r="I24" s="109">
        <f>+'Prog 01'!J24</f>
        <v>0</v>
      </c>
      <c r="J24" s="323">
        <f t="shared" ca="1" si="7"/>
        <v>0</v>
      </c>
      <c r="K24" s="256" t="str">
        <f t="shared" ca="1" si="0"/>
        <v>0.00%</v>
      </c>
      <c r="L24" s="1111">
        <f>+'Prog 01'!M24</f>
        <v>0</v>
      </c>
      <c r="M24" s="256">
        <f t="shared" si="2"/>
        <v>0</v>
      </c>
      <c r="N24" s="1004">
        <f>+'Prog 01'!O24</f>
        <v>0</v>
      </c>
      <c r="O24" s="162">
        <f t="shared" si="3"/>
        <v>0</v>
      </c>
      <c r="P24" s="164">
        <f>+'Prog 01'!Q24</f>
        <v>0</v>
      </c>
      <c r="Q24" s="109">
        <f>+'Prog 01'!R24</f>
        <v>0</v>
      </c>
      <c r="R24" s="162" t="str">
        <f t="shared" si="1"/>
        <v>0.00%</v>
      </c>
      <c r="T24" s="537"/>
      <c r="U24" s="537"/>
      <c r="X24" s="627"/>
      <c r="Y24" s="627"/>
      <c r="Z24" s="627"/>
      <c r="AA24" s="632"/>
    </row>
    <row r="25" spans="2:27" s="155" customFormat="1" ht="15" hidden="1" customHeight="1" outlineLevel="2" x14ac:dyDescent="0.25">
      <c r="B25" s="165"/>
      <c r="C25" s="106"/>
      <c r="D25" s="107" t="s">
        <v>158</v>
      </c>
      <c r="E25" s="108"/>
      <c r="F25" s="108"/>
      <c r="G25" s="1008" t="s">
        <v>28</v>
      </c>
      <c r="H25" s="163">
        <f>SUM(H26:H27)</f>
        <v>31358.285</v>
      </c>
      <c r="I25" s="109">
        <f>SUM(I26:I27)</f>
        <v>31358.285</v>
      </c>
      <c r="J25" s="323">
        <f ca="1">SUM(J26:J27)</f>
        <v>15908.844000000001</v>
      </c>
      <c r="K25" s="256">
        <f t="shared" ca="1" si="0"/>
        <v>0.50732506576810565</v>
      </c>
      <c r="L25" s="1111">
        <f>SUM(L26:L27)</f>
        <v>15908.843999999999</v>
      </c>
      <c r="M25" s="256">
        <f t="shared" si="2"/>
        <v>0.50732506576810554</v>
      </c>
      <c r="N25" s="257">
        <f>SUM(N26:N27)</f>
        <v>15449.440999999999</v>
      </c>
      <c r="O25" s="162">
        <f t="shared" si="3"/>
        <v>0.49267493423189435</v>
      </c>
      <c r="P25" s="163">
        <f>SUM(P26:P27)</f>
        <v>28939.590349999995</v>
      </c>
      <c r="Q25" s="109">
        <f>SUM(Q26:Q27)</f>
        <v>17122.125806</v>
      </c>
      <c r="R25" s="162">
        <f t="shared" si="1"/>
        <v>0.59165059349224691</v>
      </c>
      <c r="S25" s="154"/>
      <c r="T25" s="537"/>
      <c r="U25" s="537"/>
      <c r="V25" s="628"/>
      <c r="W25" s="628"/>
      <c r="X25" s="627"/>
      <c r="Y25" s="627"/>
      <c r="Z25" s="627"/>
      <c r="AA25" s="632"/>
    </row>
    <row r="26" spans="2:27" s="155" customFormat="1" ht="15" hidden="1" customHeight="1" outlineLevel="3" x14ac:dyDescent="0.25">
      <c r="B26" s="165"/>
      <c r="C26" s="106"/>
      <c r="D26" s="107"/>
      <c r="E26" s="108">
        <v>1</v>
      </c>
      <c r="F26" s="110" t="str">
        <f>+CONCATENATE($B$10,"",$C$11,"",$D$25,"00",E26)</f>
        <v>21.01.002.001</v>
      </c>
      <c r="G26" s="1009" t="s">
        <v>29</v>
      </c>
      <c r="H26" s="163">
        <f>+VLOOKUP(F26,matriz01,3,FALSE)</f>
        <v>7117.165</v>
      </c>
      <c r="I26" s="109">
        <f>+VLOOKUP(F26,matriz01,4,FALSE)</f>
        <v>7117.165</v>
      </c>
      <c r="J26" s="323">
        <f ca="1">+VLOOKUP(F26,matriz01,5,FALSE)</f>
        <v>1008.8</v>
      </c>
      <c r="K26" s="256">
        <f t="shared" ca="1" si="0"/>
        <v>0.14174183119261671</v>
      </c>
      <c r="L26" s="1111">
        <f>INDEX(coincidenciaP01,MATCH(F26,indicep01,0),7)</f>
        <v>1008.8</v>
      </c>
      <c r="M26" s="256">
        <f t="shared" si="2"/>
        <v>0.14174183119261671</v>
      </c>
      <c r="N26" s="257">
        <f>INDEX(coincidenciaP01,MATCH(F26,indicep01,0),9)</f>
        <v>6108.3649999999998</v>
      </c>
      <c r="O26" s="162">
        <f t="shared" si="3"/>
        <v>0.85825816880738326</v>
      </c>
      <c r="P26" s="164">
        <f>+'Prog 01'!Q26</f>
        <v>6568.2110939999993</v>
      </c>
      <c r="Q26" s="109">
        <f>+'Prog 01'!R26</f>
        <v>1219.80313</v>
      </c>
      <c r="R26" s="162">
        <f t="shared" si="1"/>
        <v>0.18571314358551586</v>
      </c>
      <c r="S26" s="154"/>
      <c r="T26" s="537"/>
      <c r="U26" s="537"/>
      <c r="V26" s="628"/>
      <c r="W26" s="628"/>
      <c r="X26" s="627"/>
      <c r="Y26" s="627"/>
      <c r="Z26" s="627"/>
      <c r="AA26" s="632"/>
    </row>
    <row r="27" spans="2:27" s="155" customFormat="1" ht="15" hidden="1" customHeight="1" outlineLevel="3" x14ac:dyDescent="0.25">
      <c r="B27" s="165"/>
      <c r="C27" s="106"/>
      <c r="D27" s="107"/>
      <c r="E27" s="108">
        <v>2</v>
      </c>
      <c r="F27" s="110" t="str">
        <f>+CONCATENATE($B$10,"",$C$11,"",$D$25,"00",E27)</f>
        <v>21.01.002.002</v>
      </c>
      <c r="G27" s="1009" t="s">
        <v>30</v>
      </c>
      <c r="H27" s="163">
        <f>+VLOOKUP(F27,matriz01,3,FALSE)</f>
        <v>24241.119999999999</v>
      </c>
      <c r="I27" s="109">
        <f>+VLOOKUP(F27,matriz01,4,FALSE)</f>
        <v>24241.119999999999</v>
      </c>
      <c r="J27" s="323">
        <f ca="1">+VLOOKUP(F27,matriz01,5,FALSE)</f>
        <v>14900.044000000002</v>
      </c>
      <c r="K27" s="256">
        <f t="shared" ca="1" si="0"/>
        <v>0.61465988370174329</v>
      </c>
      <c r="L27" s="1111">
        <f>INDEX(coincidenciaP01,MATCH(F27,indicep01,0),7)</f>
        <v>14900.044</v>
      </c>
      <c r="M27" s="256">
        <f t="shared" si="2"/>
        <v>0.61465988370174318</v>
      </c>
      <c r="N27" s="257">
        <f>INDEX(coincidenciaP01,MATCH(F27,indicep01,0),9)</f>
        <v>9341.0759999999991</v>
      </c>
      <c r="O27" s="162">
        <f t="shared" si="3"/>
        <v>0.38534011629825682</v>
      </c>
      <c r="P27" s="164">
        <f>+'Prog 01'!Q27</f>
        <v>22371.379255999997</v>
      </c>
      <c r="Q27" s="109">
        <f>+'Prog 01'!R27</f>
        <v>15902.322676</v>
      </c>
      <c r="R27" s="162">
        <f t="shared" si="1"/>
        <v>0.71083335962555827</v>
      </c>
      <c r="S27" s="154"/>
      <c r="T27" s="537"/>
      <c r="U27" s="537"/>
      <c r="V27" s="628"/>
      <c r="W27" s="628"/>
      <c r="X27" s="627"/>
      <c r="Y27" s="627"/>
      <c r="Z27" s="627"/>
      <c r="AA27" s="632"/>
    </row>
    <row r="28" spans="2:27" s="155" customFormat="1" ht="15" hidden="1" customHeight="1" outlineLevel="2" x14ac:dyDescent="0.25">
      <c r="B28" s="165"/>
      <c r="C28" s="106"/>
      <c r="D28" s="107" t="s">
        <v>159</v>
      </c>
      <c r="E28" s="108"/>
      <c r="F28" s="108"/>
      <c r="G28" s="1008" t="s">
        <v>31</v>
      </c>
      <c r="H28" s="163">
        <f>SUM(H29:H30)</f>
        <v>73869.233999999997</v>
      </c>
      <c r="I28" s="109">
        <f>SUM(I29:I31)</f>
        <v>73869.233999999997</v>
      </c>
      <c r="J28" s="323">
        <f t="shared" ref="J28:L28" ca="1" si="11">SUM(J29:J31)</f>
        <v>43050.794999999998</v>
      </c>
      <c r="K28" s="256">
        <f t="shared" ca="1" si="0"/>
        <v>0.5827973659507556</v>
      </c>
      <c r="L28" s="109">
        <f t="shared" si="11"/>
        <v>43050.794999999998</v>
      </c>
      <c r="M28" s="256">
        <f t="shared" si="2"/>
        <v>0.5827973659507556</v>
      </c>
      <c r="N28" s="109">
        <f>SUM(N29:N31)</f>
        <v>30818.438999999998</v>
      </c>
      <c r="O28" s="162">
        <f t="shared" si="3"/>
        <v>0.41720263404924435</v>
      </c>
      <c r="P28" s="163">
        <f>SUM(P29:P30)</f>
        <v>68171.63036499999</v>
      </c>
      <c r="Q28" s="109">
        <f ca="1">SUM(Q29:Q31)</f>
        <v>44711.442531999994</v>
      </c>
      <c r="R28" s="162">
        <f t="shared" ca="1" si="1"/>
        <v>0.65586582413547945</v>
      </c>
      <c r="S28" s="154"/>
      <c r="T28" s="537"/>
      <c r="U28" s="537"/>
      <c r="V28" s="628"/>
      <c r="W28" s="628"/>
      <c r="X28" s="627"/>
      <c r="Y28" s="627"/>
      <c r="Z28" s="627"/>
      <c r="AA28" s="632"/>
    </row>
    <row r="29" spans="2:27" s="155" customFormat="1" ht="15" hidden="1" customHeight="1" outlineLevel="3" x14ac:dyDescent="0.25">
      <c r="B29" s="165"/>
      <c r="C29" s="106"/>
      <c r="D29" s="107"/>
      <c r="E29" s="108">
        <v>1</v>
      </c>
      <c r="F29" s="110" t="str">
        <f>+CONCATENATE($B$10,"",$C$11,"",$D$28,"00",E29)</f>
        <v>21.01.003.001</v>
      </c>
      <c r="G29" s="1009" t="s">
        <v>32</v>
      </c>
      <c r="H29" s="163">
        <f>+VLOOKUP(F29,matriz01,3,FALSE)</f>
        <v>36552.784</v>
      </c>
      <c r="I29" s="109">
        <f>+VLOOKUP(F29,matriz01,4,FALSE)</f>
        <v>36552.784</v>
      </c>
      <c r="J29" s="323">
        <f ca="1">+VLOOKUP(F29,matriz01,5,FALSE)</f>
        <v>21946.735999999997</v>
      </c>
      <c r="K29" s="256">
        <f t="shared" ca="1" si="0"/>
        <v>0.60041216012438337</v>
      </c>
      <c r="L29" s="1111">
        <f>INDEX(coincidenciaP01,MATCH(F29,indicep01,0),7)</f>
        <v>21946.736000000001</v>
      </c>
      <c r="M29" s="256">
        <f t="shared" si="2"/>
        <v>0.60041216012438348</v>
      </c>
      <c r="N29" s="257">
        <f>INDEX(coincidenciaP01,MATCH(F29,indicep01,0),9)</f>
        <v>14606.048000000001</v>
      </c>
      <c r="O29" s="162">
        <f t="shared" si="3"/>
        <v>0.39958783987561663</v>
      </c>
      <c r="P29" s="163">
        <f>+'Prog 01'!Q29</f>
        <v>33733.433339999996</v>
      </c>
      <c r="Q29" s="109">
        <f>+'Prog 01'!R29</f>
        <v>23730.387550999996</v>
      </c>
      <c r="R29" s="162">
        <f t="shared" si="1"/>
        <v>0.70346790117154434</v>
      </c>
      <c r="S29" s="154"/>
      <c r="T29" s="537"/>
      <c r="U29" s="537"/>
      <c r="V29" s="628"/>
      <c r="W29" s="628"/>
      <c r="X29" s="627"/>
      <c r="Y29" s="627"/>
      <c r="Z29" s="627"/>
      <c r="AA29" s="632"/>
    </row>
    <row r="30" spans="2:27" s="155" customFormat="1" ht="15" hidden="1" customHeight="1" outlineLevel="3" x14ac:dyDescent="0.25">
      <c r="B30" s="165"/>
      <c r="C30" s="106"/>
      <c r="D30" s="107"/>
      <c r="E30" s="108">
        <v>2</v>
      </c>
      <c r="F30" s="110" t="str">
        <f>+CONCATENATE($B$10,"",$C$11,"",$D$28,"00",E30)</f>
        <v>21.01.003.002</v>
      </c>
      <c r="G30" s="1009" t="s">
        <v>33</v>
      </c>
      <c r="H30" s="163">
        <f>+VLOOKUP(F30,matriz01,3,FALSE)</f>
        <v>37316.449999999997</v>
      </c>
      <c r="I30" s="109">
        <f>+VLOOKUP(F30,matriz01,4,FALSE)</f>
        <v>37316.449999999997</v>
      </c>
      <c r="J30" s="323">
        <f ca="1">+VLOOKUP(F30,matriz01,5,FALSE)</f>
        <v>21104.059000000001</v>
      </c>
      <c r="K30" s="256">
        <f t="shared" ca="1" si="0"/>
        <v>0.56554305138886474</v>
      </c>
      <c r="L30" s="1111">
        <f>INDEX(coincidenciaP01,MATCH(F30,indicep01,0),7)</f>
        <v>21104.059000000001</v>
      </c>
      <c r="M30" s="256">
        <f t="shared" si="2"/>
        <v>0.56554305138886474</v>
      </c>
      <c r="N30" s="257">
        <f>INDEX(coincidenciaP01,MATCH(F30,indicep01,0),9)</f>
        <v>16212.391</v>
      </c>
      <c r="O30" s="162">
        <f t="shared" si="3"/>
        <v>0.43445694861113532</v>
      </c>
      <c r="P30" s="163">
        <f>+'Prog 01'!Q30</f>
        <v>34438.197024999994</v>
      </c>
      <c r="Q30" s="109">
        <f>+'Prog 01'!R30</f>
        <v>20981.054980999997</v>
      </c>
      <c r="R30" s="162">
        <f t="shared" si="1"/>
        <v>0.60923790423084734</v>
      </c>
      <c r="S30" s="154"/>
      <c r="T30" s="537"/>
      <c r="U30" s="537"/>
      <c r="V30" s="628"/>
      <c r="W30" s="628"/>
      <c r="X30" s="627"/>
      <c r="Y30" s="627"/>
      <c r="Z30" s="627"/>
      <c r="AA30" s="632"/>
    </row>
    <row r="31" spans="2:27" s="155" customFormat="1" ht="15" hidden="1" customHeight="1" outlineLevel="3" x14ac:dyDescent="0.25">
      <c r="B31" s="165"/>
      <c r="C31" s="106"/>
      <c r="D31" s="107"/>
      <c r="E31" s="108">
        <v>3</v>
      </c>
      <c r="F31" s="110" t="str">
        <f>+CONCATENATE($B$10,"",$C$11,"",$D$28,"00",E31)</f>
        <v>21.01.003.003</v>
      </c>
      <c r="G31" s="1009" t="s">
        <v>931</v>
      </c>
      <c r="H31" s="163">
        <v>0</v>
      </c>
      <c r="I31" s="109">
        <f>+'Prog 01'!J31</f>
        <v>0</v>
      </c>
      <c r="J31" s="323">
        <f ca="1">+VLOOKUP(F31,matriz01,5,FALSE)</f>
        <v>0</v>
      </c>
      <c r="K31" s="256" t="str">
        <f t="shared" ca="1" si="0"/>
        <v>0.00%</v>
      </c>
      <c r="L31" s="1111">
        <f>+'Prog 01'!M31</f>
        <v>0</v>
      </c>
      <c r="M31" s="256">
        <f t="shared" si="2"/>
        <v>0</v>
      </c>
      <c r="N31" s="1004">
        <f>+'Prog 01'!O31</f>
        <v>0</v>
      </c>
      <c r="O31" s="162">
        <f t="shared" si="3"/>
        <v>0</v>
      </c>
      <c r="P31" s="163">
        <f>+'Prog 01'!Q31</f>
        <v>0</v>
      </c>
      <c r="Q31" s="109">
        <f ca="1">+'Prog 01'!R31</f>
        <v>0</v>
      </c>
      <c r="R31" s="162" t="str">
        <f t="shared" ca="1" si="1"/>
        <v>0.00%</v>
      </c>
      <c r="S31" s="154"/>
      <c r="T31" s="537"/>
      <c r="U31" s="537"/>
      <c r="V31" s="628"/>
      <c r="W31" s="628"/>
      <c r="X31" s="627"/>
      <c r="Y31" s="627"/>
      <c r="Z31" s="627"/>
      <c r="AA31" s="632"/>
    </row>
    <row r="32" spans="2:27" s="155" customFormat="1" ht="15" hidden="1" customHeight="1" outlineLevel="2" x14ac:dyDescent="0.25">
      <c r="B32" s="165"/>
      <c r="C32" s="106"/>
      <c r="D32" s="107" t="s">
        <v>160</v>
      </c>
      <c r="E32" s="108"/>
      <c r="F32" s="108"/>
      <c r="G32" s="1008" t="s">
        <v>34</v>
      </c>
      <c r="H32" s="163">
        <f>SUM(H33:H36)</f>
        <v>206697.50700000001</v>
      </c>
      <c r="I32" s="109">
        <f>SUM(I33:I36)</f>
        <v>207207.56899999999</v>
      </c>
      <c r="J32" s="323">
        <f ca="1">SUM(J33:J36)</f>
        <v>95686.512999999992</v>
      </c>
      <c r="K32" s="256">
        <f t="shared" ca="1" si="0"/>
        <v>0.46179062599783699</v>
      </c>
      <c r="L32" s="109">
        <f>SUM(L33:L36)</f>
        <v>95686.512999999992</v>
      </c>
      <c r="M32" s="256">
        <f t="shared" si="2"/>
        <v>0.46179062599783699</v>
      </c>
      <c r="N32" s="257">
        <f>SUM(N33:N36)</f>
        <v>111521.05600000001</v>
      </c>
      <c r="O32" s="162">
        <f t="shared" si="3"/>
        <v>0.53820937400216307</v>
      </c>
      <c r="P32" s="163">
        <f>SUM(P33:P36)</f>
        <v>167948.70626000001</v>
      </c>
      <c r="Q32" s="109">
        <f ca="1">SUM(Q33:Q36)</f>
        <v>100922.58489199998</v>
      </c>
      <c r="R32" s="162">
        <f t="shared" ca="1" si="1"/>
        <v>0.60091314270538387</v>
      </c>
      <c r="S32" s="154"/>
      <c r="T32" s="537"/>
      <c r="U32" s="537"/>
      <c r="V32" s="628"/>
      <c r="W32" s="628"/>
      <c r="X32" s="627"/>
      <c r="Y32" s="627"/>
      <c r="Z32" s="627"/>
      <c r="AA32" s="632"/>
    </row>
    <row r="33" spans="2:27" ht="15" hidden="1" customHeight="1" outlineLevel="3" x14ac:dyDescent="0.25">
      <c r="B33" s="165"/>
      <c r="C33" s="106"/>
      <c r="D33" s="107"/>
      <c r="E33" s="108">
        <v>4</v>
      </c>
      <c r="F33" s="110" t="str">
        <f>+CONCATENATE($B$10,"",$C$11,"",$D$32,"00",E33)</f>
        <v>21.01.004.004</v>
      </c>
      <c r="G33" s="1009" t="s">
        <v>35</v>
      </c>
      <c r="H33" s="163">
        <f>+VLOOKUP(F33,matriz01,3,FALSE)</f>
        <v>187398.5</v>
      </c>
      <c r="I33" s="109">
        <f>+VLOOKUP(F33,matriz01,4,FALSE)</f>
        <v>187398.5</v>
      </c>
      <c r="J33" s="323">
        <f ca="1">+VLOOKUP(F33,matriz01,5,FALSE)</f>
        <v>89506.733999999997</v>
      </c>
      <c r="K33" s="256">
        <f t="shared" ca="1" si="0"/>
        <v>0.47762780385115139</v>
      </c>
      <c r="L33" s="1111">
        <f>INDEX(coincidenciaP01,MATCH(F33,indicep01,0),7)</f>
        <v>89506.733999999997</v>
      </c>
      <c r="M33" s="256">
        <f t="shared" si="2"/>
        <v>0.47762780385115139</v>
      </c>
      <c r="N33" s="257">
        <f>INDEX(coincidenciaP01,MATCH(F33,indicep01,0),9)</f>
        <v>97891.766000000003</v>
      </c>
      <c r="O33" s="162">
        <f t="shared" si="3"/>
        <v>0.52237219614884856</v>
      </c>
      <c r="P33" s="164">
        <f>+'Prog 01'!Q33</f>
        <v>154892.60010000001</v>
      </c>
      <c r="Q33" s="109">
        <f ca="1">+'Prog 01'!R33</f>
        <v>94551.523092999982</v>
      </c>
      <c r="R33" s="162">
        <f t="shared" ca="1" si="1"/>
        <v>0.61043279686671081</v>
      </c>
      <c r="T33" s="537"/>
      <c r="U33" s="537"/>
      <c r="X33" s="627"/>
      <c r="Y33" s="627"/>
      <c r="Z33" s="627"/>
      <c r="AA33" s="632"/>
    </row>
    <row r="34" spans="2:27" ht="15" hidden="1" customHeight="1" outlineLevel="3" x14ac:dyDescent="0.25">
      <c r="B34" s="165"/>
      <c r="C34" s="106"/>
      <c r="D34" s="107"/>
      <c r="E34" s="108">
        <v>5</v>
      </c>
      <c r="F34" s="110" t="str">
        <f>+CONCATENATE($B$10,"",$C$11,"",$D$32,"00",E34)</f>
        <v>21.01.004.005</v>
      </c>
      <c r="G34" s="1009" t="s">
        <v>36</v>
      </c>
      <c r="H34" s="163">
        <f>+VLOOKUP(F34,matriz01,3,FALSE)</f>
        <v>7599</v>
      </c>
      <c r="I34" s="109">
        <f>+VLOOKUP(F34,matriz01,4,FALSE)</f>
        <v>7599</v>
      </c>
      <c r="J34" s="323">
        <f ca="1">+VLOOKUP(F34,matriz01,5,FALSE)</f>
        <v>503.41499999999996</v>
      </c>
      <c r="K34" s="256">
        <f t="shared" ca="1" si="0"/>
        <v>6.6247532570074999E-2</v>
      </c>
      <c r="L34" s="109">
        <f>INDEX(coincidenciaP01,MATCH(F34,indicep01,0),7)</f>
        <v>503.41500000000002</v>
      </c>
      <c r="M34" s="256">
        <f t="shared" si="2"/>
        <v>6.6247532570075013E-2</v>
      </c>
      <c r="N34" s="257">
        <f>INDEX(coincidenciaP01,MATCH(F34,indicep01,0),9)</f>
        <v>7095.585</v>
      </c>
      <c r="O34" s="162">
        <f t="shared" si="3"/>
        <v>0.93375246742992501</v>
      </c>
      <c r="P34" s="164">
        <f>+'Prog 01'!Q34</f>
        <v>3778.3271999999997</v>
      </c>
      <c r="Q34" s="109">
        <f ca="1">+'Prog 01'!R34</f>
        <v>0</v>
      </c>
      <c r="R34" s="162">
        <f t="shared" ca="1" si="1"/>
        <v>0</v>
      </c>
      <c r="T34" s="537"/>
      <c r="U34" s="537"/>
      <c r="X34" s="627"/>
      <c r="Y34" s="627"/>
      <c r="Z34" s="627"/>
      <c r="AA34" s="632"/>
    </row>
    <row r="35" spans="2:27" ht="15" hidden="1" customHeight="1" outlineLevel="3" collapsed="1" x14ac:dyDescent="0.25">
      <c r="B35" s="165"/>
      <c r="C35" s="106"/>
      <c r="D35" s="107"/>
      <c r="E35" s="108">
        <v>6</v>
      </c>
      <c r="F35" s="110" t="str">
        <f>+CONCATENATE($B$10,"",$C$11,"",$D$32,"00",E35)</f>
        <v>21.01.004.006</v>
      </c>
      <c r="G35" s="1009" t="s">
        <v>37</v>
      </c>
      <c r="H35" s="163">
        <f>+VLOOKUP(F35,matriz01,3,FALSE)</f>
        <v>9200.0069999999996</v>
      </c>
      <c r="I35" s="109">
        <f>+VLOOKUP(F35,matriz01,4,FALSE)</f>
        <v>9710.0689999999995</v>
      </c>
      <c r="J35" s="323">
        <f ca="1">+VLOOKUP(F35,matriz01,5,FALSE)</f>
        <v>5503.4439999999995</v>
      </c>
      <c r="K35" s="256">
        <f t="shared" ca="1" si="0"/>
        <v>0.56677702290272081</v>
      </c>
      <c r="L35" s="1111">
        <f>INDEX(coincidenciaP01,MATCH(F35,indicep01,0),7)</f>
        <v>5503.4440000000004</v>
      </c>
      <c r="M35" s="256">
        <f t="shared" si="2"/>
        <v>0.56677702290272092</v>
      </c>
      <c r="N35" s="257">
        <f>INDEX(coincidenciaP01,MATCH(F35,indicep01,0),9)</f>
        <v>4206.625</v>
      </c>
      <c r="O35" s="162">
        <f t="shared" si="3"/>
        <v>0.43322297709727914</v>
      </c>
      <c r="P35" s="164">
        <f>+'Prog 01'!Q35</f>
        <v>9086.5239999999994</v>
      </c>
      <c r="Q35" s="109">
        <f ca="1">+'Prog 01'!R35</f>
        <v>6371.0617990000001</v>
      </c>
      <c r="R35" s="162">
        <f t="shared" ca="1" si="1"/>
        <v>0.70115500701918587</v>
      </c>
      <c r="T35" s="537"/>
      <c r="U35" s="537"/>
      <c r="X35" s="627"/>
      <c r="Y35" s="627"/>
      <c r="Z35" s="627"/>
      <c r="AA35" s="632"/>
    </row>
    <row r="36" spans="2:27" ht="15" hidden="1" customHeight="1" outlineLevel="3" x14ac:dyDescent="0.25">
      <c r="B36" s="165"/>
      <c r="C36" s="106"/>
      <c r="D36" s="107"/>
      <c r="E36" s="327">
        <v>7</v>
      </c>
      <c r="F36" s="478" t="str">
        <f>+CONCATENATE($B$10,"",$C$11,"",$D$32,"00",E36)</f>
        <v>21.01.004.007</v>
      </c>
      <c r="G36" s="767" t="s">
        <v>38</v>
      </c>
      <c r="H36" s="331">
        <f>+VLOOKUP(F36,matriz01,3,FALSE)</f>
        <v>2500</v>
      </c>
      <c r="I36" s="109">
        <f>+VLOOKUP(F36,matriz01,4,FALSE)</f>
        <v>2500</v>
      </c>
      <c r="J36" s="323">
        <f ca="1">+VLOOKUP(F36,matriz01,5,FALSE)</f>
        <v>172.92</v>
      </c>
      <c r="K36" s="256">
        <f t="shared" ca="1" si="0"/>
        <v>6.9167999999999993E-2</v>
      </c>
      <c r="L36" s="109">
        <f>INDEX(coincidenciaP01,MATCH(F36,indicep01,0),7)</f>
        <v>172.92</v>
      </c>
      <c r="M36" s="256">
        <f t="shared" si="2"/>
        <v>6.9167999999999993E-2</v>
      </c>
      <c r="N36" s="329">
        <f>INDEX(coincidenciaP01,MATCH(F36,indicep01,0),9)</f>
        <v>2327.08</v>
      </c>
      <c r="O36" s="162">
        <f t="shared" si="3"/>
        <v>0.93083199999999999</v>
      </c>
      <c r="P36" s="164">
        <f>+'Prog 01'!Q36</f>
        <v>191.25495999999998</v>
      </c>
      <c r="Q36" s="109">
        <f ca="1">+'Prog 01'!R36</f>
        <v>0</v>
      </c>
      <c r="R36" s="162">
        <f t="shared" ca="1" si="1"/>
        <v>0</v>
      </c>
      <c r="T36" s="537"/>
      <c r="U36" s="537"/>
      <c r="X36" s="627"/>
      <c r="Y36" s="627"/>
      <c r="Z36" s="627"/>
      <c r="AA36" s="632"/>
    </row>
    <row r="37" spans="2:27" s="155" customFormat="1" ht="15" hidden="1" customHeight="1" outlineLevel="2" x14ac:dyDescent="0.25">
      <c r="B37" s="165"/>
      <c r="C37" s="106"/>
      <c r="D37" s="107" t="s">
        <v>161</v>
      </c>
      <c r="E37" s="108"/>
      <c r="F37" s="108"/>
      <c r="G37" s="1008" t="s">
        <v>34</v>
      </c>
      <c r="H37" s="163">
        <f>SUM(H38:H40)</f>
        <v>4470.5740000000005</v>
      </c>
      <c r="I37" s="109">
        <f>SUM(I38:I40)</f>
        <v>4470.5740000000005</v>
      </c>
      <c r="J37" s="323">
        <f ca="1">SUM(J38:J40)</f>
        <v>509.78999999999996</v>
      </c>
      <c r="K37" s="256">
        <f t="shared" ca="1" si="0"/>
        <v>0.11403233678717764</v>
      </c>
      <c r="L37" s="1111">
        <f>SUM(L38:L40)</f>
        <v>509.78999999999996</v>
      </c>
      <c r="M37" s="256">
        <f t="shared" si="2"/>
        <v>0.11403233678717764</v>
      </c>
      <c r="N37" s="257">
        <f>SUM(N38:N40)</f>
        <v>3960.7839999999997</v>
      </c>
      <c r="O37" s="162">
        <f t="shared" si="3"/>
        <v>0.88596766321282217</v>
      </c>
      <c r="P37" s="163">
        <f>SUM(P38:P40)</f>
        <v>1680.8549309999999</v>
      </c>
      <c r="Q37" s="109">
        <f ca="1">SUM(Q38:Q40)</f>
        <v>1028.688486</v>
      </c>
      <c r="R37" s="162">
        <f t="shared" ca="1" si="1"/>
        <v>0.61200313425501685</v>
      </c>
      <c r="S37" s="154"/>
      <c r="T37" s="537"/>
      <c r="U37" s="537"/>
      <c r="V37" s="628"/>
      <c r="W37" s="628"/>
      <c r="X37" s="627"/>
      <c r="Y37" s="627"/>
      <c r="Z37" s="627"/>
      <c r="AA37" s="632"/>
    </row>
    <row r="38" spans="2:27" ht="15" hidden="1" customHeight="1" outlineLevel="3" x14ac:dyDescent="0.25">
      <c r="B38" s="165"/>
      <c r="C38" s="106"/>
      <c r="D38" s="107"/>
      <c r="E38" s="108">
        <v>1</v>
      </c>
      <c r="F38" s="110" t="str">
        <f>+CONCATENATE($B$10,"",$C$11,"",$D$37,"00",E38)</f>
        <v>21.01.005.001</v>
      </c>
      <c r="G38" s="1009" t="s">
        <v>95</v>
      </c>
      <c r="H38" s="163">
        <f>+VLOOKUP(F38,matriz01,3,FALSE)</f>
        <v>803.73599999999999</v>
      </c>
      <c r="I38" s="109">
        <f>+VLOOKUP(F38,matriz01,4,FALSE)</f>
        <v>803.73599999999999</v>
      </c>
      <c r="J38" s="323">
        <f ca="1">+VLOOKUP(F38,matriz01,5,FALSE)</f>
        <v>193.92599999999999</v>
      </c>
      <c r="K38" s="256">
        <f t="shared" ca="1" si="0"/>
        <v>0.24128071904207352</v>
      </c>
      <c r="L38" s="109">
        <f>INDEX(coincidenciaP01,MATCH(F38,indicep01,0),7)</f>
        <v>193.92599999999999</v>
      </c>
      <c r="M38" s="256">
        <f t="shared" si="2"/>
        <v>0.24128071904207352</v>
      </c>
      <c r="N38" s="257">
        <f>INDEX(coincidenciaP01,MATCH(F38,indicep01,0),9)</f>
        <v>609.80999999999995</v>
      </c>
      <c r="O38" s="162">
        <f t="shared" si="3"/>
        <v>0.7587192809579264</v>
      </c>
      <c r="P38" s="163">
        <f>+'Prog 01'!Q38</f>
        <v>422.84332899999998</v>
      </c>
      <c r="Q38" s="109">
        <f ca="1">+'Prog 01'!R38</f>
        <v>206.14333799999997</v>
      </c>
      <c r="R38" s="162">
        <f t="shared" ca="1" si="1"/>
        <v>0.48751706332347028</v>
      </c>
      <c r="T38" s="537"/>
      <c r="U38" s="537"/>
      <c r="X38" s="627"/>
      <c r="Y38" s="627"/>
      <c r="Z38" s="627"/>
      <c r="AA38" s="632"/>
    </row>
    <row r="39" spans="2:27" ht="15" hidden="1" customHeight="1" outlineLevel="3" x14ac:dyDescent="0.25">
      <c r="B39" s="165"/>
      <c r="C39" s="106"/>
      <c r="D39" s="107"/>
      <c r="E39" s="108">
        <v>2</v>
      </c>
      <c r="F39" s="110" t="str">
        <f>+CONCATENATE($B$10,"",$C$11,"",$D$37,"00",E39)</f>
        <v>21.01.005.002</v>
      </c>
      <c r="G39" s="1009" t="s">
        <v>96</v>
      </c>
      <c r="H39" s="163">
        <f>+VLOOKUP(F39,matriz01,3,FALSE)</f>
        <v>545.73800000000006</v>
      </c>
      <c r="I39" s="109">
        <f>+VLOOKUP(F39,matriz01,4,FALSE)</f>
        <v>545.73800000000006</v>
      </c>
      <c r="J39" s="323">
        <f ca="1">+VLOOKUP(F39,matriz01,5,FALSE)</f>
        <v>315.86399999999998</v>
      </c>
      <c r="K39" s="256">
        <f t="shared" ca="1" si="0"/>
        <v>0.57878322565040352</v>
      </c>
      <c r="L39" s="1111">
        <f>INDEX(coincidenciaP01,MATCH(F39,indicep01,0),7)</f>
        <v>315.86399999999998</v>
      </c>
      <c r="M39" s="256">
        <f t="shared" si="2"/>
        <v>0.57878322565040352</v>
      </c>
      <c r="N39" s="109">
        <f>INDEX(coincidenciaP01,MATCH(F39,indicep01,0),9)</f>
        <v>229.874</v>
      </c>
      <c r="O39" s="162">
        <f t="shared" si="3"/>
        <v>0.42121677434959626</v>
      </c>
      <c r="P39" s="163">
        <f>+'Prog 01'!Q39</f>
        <v>503.64514799999995</v>
      </c>
      <c r="Q39" s="109">
        <f ca="1">+'Prog 01'!R39</f>
        <v>503.64514799999995</v>
      </c>
      <c r="R39" s="162">
        <f t="shared" ca="1" si="1"/>
        <v>1</v>
      </c>
      <c r="T39" s="537"/>
      <c r="U39" s="537"/>
      <c r="X39" s="627"/>
      <c r="Y39" s="627"/>
      <c r="Z39" s="627"/>
      <c r="AA39" s="632"/>
    </row>
    <row r="40" spans="2:27" ht="15" hidden="1" customHeight="1" outlineLevel="3" x14ac:dyDescent="0.25">
      <c r="B40" s="165"/>
      <c r="C40" s="106"/>
      <c r="D40" s="107"/>
      <c r="E40" s="108">
        <v>3</v>
      </c>
      <c r="F40" s="110" t="str">
        <f>+CONCATENATE($B$10,"",$C$11,"",$D$37,"00",E40)</f>
        <v>21.01.005.003</v>
      </c>
      <c r="G40" s="1009" t="s">
        <v>97</v>
      </c>
      <c r="H40" s="163">
        <f>+VLOOKUP(F40,matriz01,3,FALSE)</f>
        <v>3121.1</v>
      </c>
      <c r="I40" s="109">
        <f>+VLOOKUP(F40,matriz01,4,FALSE)</f>
        <v>3121.1</v>
      </c>
      <c r="J40" s="323">
        <f ca="1">+VLOOKUP(F40,matriz01,5,FALSE)</f>
        <v>0</v>
      </c>
      <c r="K40" s="256">
        <f t="shared" ca="1" si="0"/>
        <v>0</v>
      </c>
      <c r="L40" s="1111">
        <f>INDEX(coincidenciaP01,MATCH(F40,indicep01,0),7)</f>
        <v>0</v>
      </c>
      <c r="M40" s="256">
        <f t="shared" si="2"/>
        <v>0</v>
      </c>
      <c r="N40" s="257">
        <f>INDEX(coincidenciaP01,MATCH(F40,indicep01,0),9)</f>
        <v>3121.1</v>
      </c>
      <c r="O40" s="162">
        <f t="shared" si="3"/>
        <v>1</v>
      </c>
      <c r="P40" s="164">
        <f>+'Prog 01'!Q40</f>
        <v>754.36645399999998</v>
      </c>
      <c r="Q40" s="109">
        <f ca="1">+'Prog 01'!R40</f>
        <v>318.89999999999998</v>
      </c>
      <c r="R40" s="162">
        <f t="shared" ca="1" si="1"/>
        <v>0.4227388403991782</v>
      </c>
      <c r="T40" s="537"/>
      <c r="U40" s="537"/>
      <c r="X40" s="627"/>
      <c r="Y40" s="627"/>
      <c r="Z40" s="627"/>
      <c r="AA40" s="632"/>
    </row>
    <row r="41" spans="2:27" s="155" customFormat="1" ht="15" hidden="1" customHeight="1" outlineLevel="1" x14ac:dyDescent="0.25">
      <c r="B41" s="165"/>
      <c r="C41" s="106" t="s">
        <v>162</v>
      </c>
      <c r="D41" s="107"/>
      <c r="E41" s="108"/>
      <c r="F41" s="108"/>
      <c r="G41" s="1008" t="s">
        <v>39</v>
      </c>
      <c r="H41" s="164">
        <f>+H42+H56+H59+H63+H68</f>
        <v>14824050.877</v>
      </c>
      <c r="I41" s="109">
        <f>+I42+I56+I59+I63+I68</f>
        <v>14755492.815000001</v>
      </c>
      <c r="J41" s="328">
        <f ca="1">+J42+J56+J59+J63+J68</f>
        <v>12091614.278000001</v>
      </c>
      <c r="K41" s="256">
        <f t="shared" ca="1" si="0"/>
        <v>0.8194652953717696</v>
      </c>
      <c r="L41" s="1111">
        <f>+L42+L56+L59+L63+L68</f>
        <v>12091614.278000001</v>
      </c>
      <c r="M41" s="256">
        <f t="shared" si="2"/>
        <v>0.8194652953717696</v>
      </c>
      <c r="N41" s="257">
        <f>+N42+N56+N59+N63+N68</f>
        <v>2663878.5370000005</v>
      </c>
      <c r="O41" s="162">
        <f t="shared" si="3"/>
        <v>0.18053470462823035</v>
      </c>
      <c r="P41" s="260">
        <f>+P42+P56+P59+P63+P68</f>
        <v>14179531.170423999</v>
      </c>
      <c r="Q41" s="111">
        <f ca="1">+Q42+Q56+Q59+Q63+Q68</f>
        <v>11020145.916719999</v>
      </c>
      <c r="R41" s="162">
        <f t="shared" ca="1" si="1"/>
        <v>0.77718690302723681</v>
      </c>
      <c r="S41" s="154"/>
      <c r="T41" s="537"/>
      <c r="U41" s="537"/>
      <c r="V41" s="628"/>
      <c r="W41" s="628"/>
      <c r="X41" s="627"/>
      <c r="Y41" s="627"/>
      <c r="Z41" s="627"/>
      <c r="AA41" s="632"/>
    </row>
    <row r="42" spans="2:27" s="155" customFormat="1" ht="15" hidden="1" customHeight="1" outlineLevel="2" x14ac:dyDescent="0.25">
      <c r="B42" s="165"/>
      <c r="C42" s="106"/>
      <c r="D42" s="107" t="s">
        <v>156</v>
      </c>
      <c r="E42" s="108"/>
      <c r="F42" s="108"/>
      <c r="G42" s="1008" t="s">
        <v>18</v>
      </c>
      <c r="H42" s="164">
        <f>SUM(H43:H55)</f>
        <v>12418776.130000001</v>
      </c>
      <c r="I42" s="109">
        <f>SUM(I43:I55)</f>
        <v>12275728.169000002</v>
      </c>
      <c r="J42" s="328">
        <f t="shared" ref="J42:N42" ca="1" si="12">SUM(J43:J55)</f>
        <v>10281690.256999999</v>
      </c>
      <c r="K42" s="256">
        <f t="shared" ca="1" si="0"/>
        <v>0.83756255559360115</v>
      </c>
      <c r="L42" s="114">
        <f t="shared" si="12"/>
        <v>10281690.256999999</v>
      </c>
      <c r="M42" s="256">
        <f t="shared" si="2"/>
        <v>0.83756255559360115</v>
      </c>
      <c r="N42" s="111">
        <f t="shared" si="12"/>
        <v>1994037.912</v>
      </c>
      <c r="O42" s="162">
        <f t="shared" si="3"/>
        <v>0.16243744440639868</v>
      </c>
      <c r="P42" s="260">
        <f>SUM(P43:P53)</f>
        <v>11924055.795369999</v>
      </c>
      <c r="Q42" s="111">
        <f ca="1">+'Prog 01'!R42</f>
        <v>9364270.7554389983</v>
      </c>
      <c r="R42" s="162">
        <f t="shared" ca="1" si="1"/>
        <v>0.78532597600516585</v>
      </c>
      <c r="S42" s="154"/>
      <c r="T42" s="537"/>
      <c r="U42" s="537"/>
      <c r="V42" s="628"/>
      <c r="W42" s="628"/>
      <c r="X42" s="627"/>
      <c r="Y42" s="627"/>
      <c r="Z42" s="627"/>
      <c r="AA42" s="632"/>
    </row>
    <row r="43" spans="2:27" ht="15" hidden="1" customHeight="1" outlineLevel="3" x14ac:dyDescent="0.25">
      <c r="B43" s="165"/>
      <c r="C43" s="106"/>
      <c r="D43" s="107"/>
      <c r="E43" s="108">
        <v>1</v>
      </c>
      <c r="F43" s="110" t="str">
        <f t="shared" ref="F43:F48" si="13">+CONCATENATE($B$10,"",$C$41,"",$D$42,"00",E43)</f>
        <v>21.02.001.001</v>
      </c>
      <c r="G43" s="1009" t="s">
        <v>98</v>
      </c>
      <c r="H43" s="163">
        <f t="shared" ref="H43:H50" si="14">+VLOOKUP(F43,matriz01,3,FALSE)</f>
        <v>2971337.7</v>
      </c>
      <c r="I43" s="109">
        <f t="shared" ref="I43:I50" si="15">+VLOOKUP(F43,matriz01,4,FALSE)</f>
        <v>2284444.9389999998</v>
      </c>
      <c r="J43" s="323">
        <f t="shared" ref="J43:J55" ca="1" si="16">+VLOOKUP(F43,matriz01,5,FALSE)</f>
        <v>2127893.423</v>
      </c>
      <c r="K43" s="256">
        <f t="shared" ca="1" si="0"/>
        <v>0.93147065471907187</v>
      </c>
      <c r="L43" s="1111">
        <f t="shared" ref="L43:L53" si="17">INDEX(coincidenciaP01,MATCH(F43,indicep01,0),7)</f>
        <v>2127893.423</v>
      </c>
      <c r="M43" s="256">
        <f t="shared" si="2"/>
        <v>0.93147065471907187</v>
      </c>
      <c r="N43" s="257">
        <f t="shared" ref="N43:N53" si="18">INDEX(coincidenciaP01,MATCH(F43,indicep01,0),9)</f>
        <v>156551.516</v>
      </c>
      <c r="O43" s="162">
        <f t="shared" si="3"/>
        <v>6.8529345280928231E-2</v>
      </c>
      <c r="P43" s="163">
        <f>+'Prog 01'!Q43</f>
        <v>2696615.1801729999</v>
      </c>
      <c r="Q43" s="109">
        <f ca="1">+'Prog 01'!R43</f>
        <v>1970129.9969119998</v>
      </c>
      <c r="R43" s="162">
        <f t="shared" ca="1" si="1"/>
        <v>0.7305936758783681</v>
      </c>
      <c r="T43" s="537"/>
      <c r="U43" s="537"/>
      <c r="X43" s="627"/>
      <c r="Y43" s="627"/>
      <c r="Z43" s="627"/>
      <c r="AA43" s="632"/>
    </row>
    <row r="44" spans="2:27" ht="15" hidden="1" customHeight="1" outlineLevel="3" x14ac:dyDescent="0.25">
      <c r="B44" s="165"/>
      <c r="C44" s="106"/>
      <c r="D44" s="107"/>
      <c r="E44" s="108">
        <v>2</v>
      </c>
      <c r="F44" s="110" t="str">
        <f t="shared" si="13"/>
        <v>21.02.001.002</v>
      </c>
      <c r="G44" s="1009" t="s">
        <v>19</v>
      </c>
      <c r="H44" s="163">
        <f t="shared" si="14"/>
        <v>126648.201</v>
      </c>
      <c r="I44" s="109">
        <f t="shared" si="15"/>
        <v>126648.201</v>
      </c>
      <c r="J44" s="323">
        <f t="shared" ca="1" si="16"/>
        <v>93440.675999999992</v>
      </c>
      <c r="K44" s="256">
        <f t="shared" ca="1" si="0"/>
        <v>0.7377971045952717</v>
      </c>
      <c r="L44" s="1111">
        <f t="shared" si="17"/>
        <v>93440.676000000007</v>
      </c>
      <c r="M44" s="256">
        <f t="shared" si="2"/>
        <v>0.73779710459527181</v>
      </c>
      <c r="N44" s="257">
        <f t="shared" si="18"/>
        <v>33207.525000000001</v>
      </c>
      <c r="O44" s="162">
        <f t="shared" si="3"/>
        <v>0.26220289540472824</v>
      </c>
      <c r="P44" s="163">
        <f>+'Prog 01'!Q44</f>
        <v>100952.095898</v>
      </c>
      <c r="Q44" s="109">
        <f ca="1">+'Prog 01'!R44</f>
        <v>86428.089848999996</v>
      </c>
      <c r="R44" s="162">
        <f t="shared" ca="1" si="1"/>
        <v>0.85612972252032515</v>
      </c>
      <c r="T44" s="537"/>
      <c r="U44" s="537"/>
      <c r="X44" s="627"/>
      <c r="Y44" s="627"/>
      <c r="Z44" s="627"/>
      <c r="AA44" s="632"/>
    </row>
    <row r="45" spans="2:27" ht="15" hidden="1" customHeight="1" outlineLevel="3" x14ac:dyDescent="0.25">
      <c r="B45" s="165"/>
      <c r="C45" s="106"/>
      <c r="D45" s="107"/>
      <c r="E45" s="108">
        <v>3</v>
      </c>
      <c r="F45" s="110" t="str">
        <f t="shared" si="13"/>
        <v>21.02.001.003</v>
      </c>
      <c r="G45" s="1009" t="s">
        <v>20</v>
      </c>
      <c r="H45" s="163">
        <f t="shared" si="14"/>
        <v>1992107.1370000001</v>
      </c>
      <c r="I45" s="109">
        <f t="shared" si="15"/>
        <v>1992107.1370000001</v>
      </c>
      <c r="J45" s="323">
        <f t="shared" ca="1" si="16"/>
        <v>1494781.2219999998</v>
      </c>
      <c r="K45" s="256">
        <f t="shared" ca="1" si="0"/>
        <v>0.75035182307064829</v>
      </c>
      <c r="L45" s="1111">
        <f t="shared" si="17"/>
        <v>1494781.2220000001</v>
      </c>
      <c r="M45" s="256">
        <f t="shared" si="2"/>
        <v>0.7503518230706484</v>
      </c>
      <c r="N45" s="257">
        <f t="shared" si="18"/>
        <v>497325.91499999998</v>
      </c>
      <c r="O45" s="162">
        <f t="shared" si="3"/>
        <v>0.24964817692935154</v>
      </c>
      <c r="P45" s="163">
        <f>+'Prog 01'!Q45</f>
        <v>1656983.7639810001</v>
      </c>
      <c r="Q45" s="109">
        <f ca="1">+'Prog 01'!R45</f>
        <v>1356092.5689139997</v>
      </c>
      <c r="R45" s="162">
        <f t="shared" ca="1" si="1"/>
        <v>0.81841029368683027</v>
      </c>
      <c r="T45" s="537"/>
      <c r="U45" s="537"/>
      <c r="X45" s="627"/>
      <c r="Y45" s="627"/>
      <c r="Z45" s="627"/>
      <c r="AA45" s="632"/>
    </row>
    <row r="46" spans="2:27" ht="15" hidden="1" customHeight="1" outlineLevel="3" x14ac:dyDescent="0.25">
      <c r="B46" s="165"/>
      <c r="C46" s="106"/>
      <c r="D46" s="107"/>
      <c r="E46" s="108">
        <v>4</v>
      </c>
      <c r="F46" s="110" t="str">
        <f t="shared" si="13"/>
        <v>21.02.001.004</v>
      </c>
      <c r="G46" s="1009" t="s">
        <v>21</v>
      </c>
      <c r="H46" s="163">
        <f t="shared" si="14"/>
        <v>278309.69799999997</v>
      </c>
      <c r="I46" s="109">
        <f t="shared" si="15"/>
        <v>278309.69799999997</v>
      </c>
      <c r="J46" s="323">
        <f t="shared" ca="1" si="16"/>
        <v>200708.39</v>
      </c>
      <c r="K46" s="256">
        <f t="shared" ca="1" si="0"/>
        <v>0.72116922781469162</v>
      </c>
      <c r="L46" s="1111">
        <f t="shared" si="17"/>
        <v>200708.39</v>
      </c>
      <c r="M46" s="256">
        <f t="shared" si="2"/>
        <v>0.72116922781469162</v>
      </c>
      <c r="N46" s="257">
        <f t="shared" si="18"/>
        <v>77601.308000000005</v>
      </c>
      <c r="O46" s="162">
        <f t="shared" si="3"/>
        <v>0.2788307721853085</v>
      </c>
      <c r="P46" s="163">
        <f>+'Prog 01'!Q46</f>
        <v>231712.34137499999</v>
      </c>
      <c r="Q46" s="109">
        <f ca="1">+'Prog 01'!R46</f>
        <v>188541.28363900003</v>
      </c>
      <c r="R46" s="162">
        <f t="shared" ca="1" si="1"/>
        <v>0.81368684343777564</v>
      </c>
      <c r="T46" s="537"/>
      <c r="U46" s="537"/>
      <c r="X46" s="627"/>
      <c r="Y46" s="627"/>
      <c r="Z46" s="627"/>
      <c r="AA46" s="632"/>
    </row>
    <row r="47" spans="2:27" ht="15" hidden="1" customHeight="1" outlineLevel="3" x14ac:dyDescent="0.25">
      <c r="B47" s="165"/>
      <c r="C47" s="106"/>
      <c r="D47" s="107"/>
      <c r="E47" s="108">
        <v>6</v>
      </c>
      <c r="F47" s="110" t="str">
        <f t="shared" si="13"/>
        <v>21.02.001.006</v>
      </c>
      <c r="G47" s="1009" t="s">
        <v>99</v>
      </c>
      <c r="H47" s="163">
        <f t="shared" si="14"/>
        <v>24.742000000000001</v>
      </c>
      <c r="I47" s="109">
        <f t="shared" si="15"/>
        <v>24.742000000000001</v>
      </c>
      <c r="J47" s="323">
        <f t="shared" ca="1" si="16"/>
        <v>0</v>
      </c>
      <c r="K47" s="256">
        <f t="shared" ca="1" si="0"/>
        <v>0</v>
      </c>
      <c r="L47" s="1111">
        <f t="shared" si="17"/>
        <v>0</v>
      </c>
      <c r="M47" s="256">
        <f t="shared" si="2"/>
        <v>0</v>
      </c>
      <c r="N47" s="109">
        <f t="shared" si="18"/>
        <v>24.742000000000001</v>
      </c>
      <c r="O47" s="162">
        <f t="shared" si="3"/>
        <v>1</v>
      </c>
      <c r="P47" s="163">
        <f>+'Prog 01'!Q47</f>
        <v>22.83324</v>
      </c>
      <c r="Q47" s="109">
        <f ca="1">+'Prog 01'!R47</f>
        <v>22.833239999999996</v>
      </c>
      <c r="R47" s="162">
        <f t="shared" ca="1" si="1"/>
        <v>0.99999999999999989</v>
      </c>
      <c r="T47" s="537"/>
      <c r="U47" s="537"/>
      <c r="X47" s="627"/>
      <c r="Y47" s="627"/>
      <c r="Z47" s="627"/>
      <c r="AA47" s="632"/>
    </row>
    <row r="48" spans="2:27" ht="15" hidden="1" customHeight="1" outlineLevel="3" x14ac:dyDescent="0.25">
      <c r="B48" s="165"/>
      <c r="C48" s="106"/>
      <c r="D48" s="107"/>
      <c r="E48" s="108">
        <v>7</v>
      </c>
      <c r="F48" s="110" t="str">
        <f t="shared" si="13"/>
        <v>21.02.001.007</v>
      </c>
      <c r="G48" s="1009" t="s">
        <v>100</v>
      </c>
      <c r="H48" s="163">
        <f t="shared" si="14"/>
        <v>144924.04</v>
      </c>
      <c r="I48" s="109">
        <f t="shared" si="15"/>
        <v>144924.04</v>
      </c>
      <c r="J48" s="323">
        <f t="shared" ca="1" si="16"/>
        <v>101055.76300000001</v>
      </c>
      <c r="K48" s="256">
        <f t="shared" ca="1" si="0"/>
        <v>0.6973015864034704</v>
      </c>
      <c r="L48" s="1111">
        <f t="shared" si="17"/>
        <v>101055.76300000001</v>
      </c>
      <c r="M48" s="256">
        <f t="shared" si="2"/>
        <v>0.6973015864034704</v>
      </c>
      <c r="N48" s="257">
        <f t="shared" si="18"/>
        <v>43868.277000000002</v>
      </c>
      <c r="O48" s="162">
        <f t="shared" si="3"/>
        <v>0.3026984135965296</v>
      </c>
      <c r="P48" s="164">
        <f>+'Prog 01'!Q48</f>
        <v>133745.91164800001</v>
      </c>
      <c r="Q48" s="109">
        <f ca="1">+'Prog 01'!R48</f>
        <v>78898.108244999996</v>
      </c>
      <c r="R48" s="162">
        <f t="shared" ca="1" si="1"/>
        <v>0.5899104299550364</v>
      </c>
      <c r="T48" s="537"/>
      <c r="U48" s="537"/>
      <c r="X48" s="627"/>
      <c r="Y48" s="627"/>
      <c r="Z48" s="627"/>
      <c r="AA48" s="632"/>
    </row>
    <row r="49" spans="2:27" ht="15" hidden="1" customHeight="1" outlineLevel="3" x14ac:dyDescent="0.25">
      <c r="B49" s="165"/>
      <c r="C49" s="106"/>
      <c r="D49" s="107"/>
      <c r="E49" s="108">
        <v>13</v>
      </c>
      <c r="F49" s="110" t="str">
        <f t="shared" ref="F49:F55" si="19">+CONCATENATE($B$10,"",$C$41,"",$D$42,"0",E49)</f>
        <v>21.02.001.013</v>
      </c>
      <c r="G49" s="1009" t="s">
        <v>24</v>
      </c>
      <c r="H49" s="163">
        <f t="shared" si="14"/>
        <v>2269566.5950000002</v>
      </c>
      <c r="I49" s="109">
        <f t="shared" si="15"/>
        <v>2269566.5950000002</v>
      </c>
      <c r="J49" s="323">
        <f t="shared" ca="1" si="16"/>
        <v>1670697.486</v>
      </c>
      <c r="K49" s="256">
        <f t="shared" ca="1" si="0"/>
        <v>0.73613062938124529</v>
      </c>
      <c r="L49" s="1111">
        <f t="shared" si="17"/>
        <v>1670697.486</v>
      </c>
      <c r="M49" s="256">
        <f t="shared" si="2"/>
        <v>0.73613062938124529</v>
      </c>
      <c r="N49" s="257">
        <f t="shared" si="18"/>
        <v>598869.10900000005</v>
      </c>
      <c r="O49" s="162">
        <f t="shared" si="3"/>
        <v>0.26386937061875465</v>
      </c>
      <c r="P49" s="164">
        <f>+'Prog 01'!Q49</f>
        <v>1859589.7685739999</v>
      </c>
      <c r="Q49" s="109">
        <f ca="1">+'Prog 01'!R49</f>
        <v>1538020.6382909999</v>
      </c>
      <c r="R49" s="162">
        <f t="shared" ca="1" si="1"/>
        <v>0.82707523147452533</v>
      </c>
      <c r="T49" s="537"/>
      <c r="U49" s="537"/>
      <c r="X49" s="627"/>
      <c r="Y49" s="627"/>
      <c r="Z49" s="627"/>
      <c r="AA49" s="632"/>
    </row>
    <row r="50" spans="2:27" ht="15" hidden="1" customHeight="1" outlineLevel="3" x14ac:dyDescent="0.25">
      <c r="B50" s="165"/>
      <c r="C50" s="106"/>
      <c r="D50" s="107"/>
      <c r="E50" s="108">
        <v>14</v>
      </c>
      <c r="F50" s="110" t="str">
        <f t="shared" si="19"/>
        <v>21.02.001.014</v>
      </c>
      <c r="G50" s="1009" t="s">
        <v>25</v>
      </c>
      <c r="H50" s="163">
        <f t="shared" si="14"/>
        <v>3085589.9109999998</v>
      </c>
      <c r="I50" s="109">
        <f t="shared" si="15"/>
        <v>3485589.9109999998</v>
      </c>
      <c r="J50" s="323">
        <f t="shared" ca="1" si="16"/>
        <v>3387681.7090000003</v>
      </c>
      <c r="K50" s="256">
        <f t="shared" ca="1" si="0"/>
        <v>0.97191057912721868</v>
      </c>
      <c r="L50" s="1111">
        <f t="shared" si="17"/>
        <v>3387681.7089999998</v>
      </c>
      <c r="M50" s="256">
        <f t="shared" si="2"/>
        <v>0.97191057912721845</v>
      </c>
      <c r="N50" s="257">
        <f t="shared" si="18"/>
        <v>97908.202000000005</v>
      </c>
      <c r="O50" s="162">
        <f t="shared" si="3"/>
        <v>2.80894208727815E-2</v>
      </c>
      <c r="P50" s="164">
        <f>+'Prog 01'!Q50</f>
        <v>3801761.2422849997</v>
      </c>
      <c r="Q50" s="109">
        <f ca="1">+'Prog 01'!R50</f>
        <v>3119318.4312849999</v>
      </c>
      <c r="R50" s="162">
        <f t="shared" ca="1" si="1"/>
        <v>0.82049298535385506</v>
      </c>
      <c r="T50" s="537"/>
      <c r="U50" s="537"/>
      <c r="X50" s="627"/>
      <c r="Y50" s="627"/>
      <c r="Z50" s="627"/>
      <c r="AA50" s="632"/>
    </row>
    <row r="51" spans="2:27" ht="15" hidden="1" customHeight="1" outlineLevel="3" x14ac:dyDescent="0.25">
      <c r="B51" s="165"/>
      <c r="C51" s="106"/>
      <c r="D51" s="107"/>
      <c r="E51" s="108">
        <v>21</v>
      </c>
      <c r="F51" s="110" t="str">
        <f t="shared" si="19"/>
        <v>21.02.001.021</v>
      </c>
      <c r="G51" s="1009" t="s">
        <v>26</v>
      </c>
      <c r="H51" s="163">
        <f>+VLOOKUP(F51,matriz01,3,FALSE)</f>
        <v>1431430.2450000001</v>
      </c>
      <c r="I51" s="109">
        <f>+VLOOKUP(F51,matriz01,4,FALSE)</f>
        <v>1431430.2450000001</v>
      </c>
      <c r="J51" s="323">
        <f t="shared" ca="1" si="16"/>
        <v>1065233.7450000001</v>
      </c>
      <c r="K51" s="256">
        <f t="shared" ca="1" si="0"/>
        <v>0.74417440089789355</v>
      </c>
      <c r="L51" s="1111">
        <f t="shared" si="17"/>
        <v>1065233.7450000001</v>
      </c>
      <c r="M51" s="256">
        <f t="shared" si="2"/>
        <v>0.74417440089789355</v>
      </c>
      <c r="N51" s="257">
        <f t="shared" si="18"/>
        <v>366196.5</v>
      </c>
      <c r="O51" s="162">
        <f t="shared" si="3"/>
        <v>0.25582559910210639</v>
      </c>
      <c r="P51" s="163">
        <f>+'Prog 01'!Q51</f>
        <v>1305715.471383</v>
      </c>
      <c r="Q51" s="109">
        <v>0</v>
      </c>
      <c r="R51" s="162">
        <f t="shared" si="1"/>
        <v>0</v>
      </c>
      <c r="T51" s="537"/>
      <c r="U51" s="537"/>
      <c r="X51" s="627"/>
      <c r="Y51" s="627"/>
      <c r="Z51" s="627"/>
      <c r="AA51" s="632"/>
    </row>
    <row r="52" spans="2:27" ht="15" hidden="1" customHeight="1" outlineLevel="3" x14ac:dyDescent="0.25">
      <c r="B52" s="165"/>
      <c r="C52" s="106"/>
      <c r="D52" s="107"/>
      <c r="E52" s="108">
        <v>37</v>
      </c>
      <c r="F52" s="110" t="str">
        <f t="shared" si="19"/>
        <v>21.02.001.037</v>
      </c>
      <c r="G52" s="1009" t="s">
        <v>40</v>
      </c>
      <c r="H52" s="163">
        <f>+VLOOKUP(F52,matriz01,3,FALSE)</f>
        <v>50666.758999999998</v>
      </c>
      <c r="I52" s="109">
        <f>+VLOOKUP(F52,matriz01,4,FALSE)</f>
        <v>50666.758999999998</v>
      </c>
      <c r="J52" s="323">
        <f t="shared" ca="1" si="16"/>
        <v>36982.643000000004</v>
      </c>
      <c r="K52" s="256">
        <f t="shared" ca="1" si="0"/>
        <v>0.72991925534451507</v>
      </c>
      <c r="L52" s="1111">
        <f t="shared" si="17"/>
        <v>36982.642999999996</v>
      </c>
      <c r="M52" s="256">
        <f t="shared" si="2"/>
        <v>0.72991925534451485</v>
      </c>
      <c r="N52" s="257">
        <f t="shared" si="18"/>
        <v>13684.116</v>
      </c>
      <c r="O52" s="162">
        <f t="shared" si="3"/>
        <v>0.27008074465548509</v>
      </c>
      <c r="P52" s="163">
        <f>+'Prog 01'!Q52</f>
        <v>46651.420721000002</v>
      </c>
      <c r="Q52" s="109">
        <f ca="1">+'Prog 01'!R52</f>
        <v>34800.138957999996</v>
      </c>
      <c r="R52" s="162">
        <f t="shared" ca="1" si="1"/>
        <v>0.74596096796543676</v>
      </c>
      <c r="T52" s="537"/>
      <c r="U52" s="537"/>
      <c r="X52" s="627"/>
      <c r="Y52" s="627"/>
      <c r="Z52" s="627"/>
      <c r="AA52" s="632"/>
    </row>
    <row r="53" spans="2:27" ht="15" hidden="1" customHeight="1" outlineLevel="3" x14ac:dyDescent="0.25">
      <c r="B53" s="165"/>
      <c r="C53" s="106"/>
      <c r="D53" s="107"/>
      <c r="E53" s="108">
        <v>38</v>
      </c>
      <c r="F53" s="110" t="str">
        <f t="shared" si="19"/>
        <v>21.02.001.038</v>
      </c>
      <c r="G53" s="1009" t="s">
        <v>101</v>
      </c>
      <c r="H53" s="163">
        <f>+VLOOKUP(F53,matriz01,3,FALSE)</f>
        <v>55235.101999999999</v>
      </c>
      <c r="I53" s="109">
        <f>+VLOOKUP(F53,matriz01,4,FALSE)</f>
        <v>55235.101999999999</v>
      </c>
      <c r="J53" s="323">
        <f t="shared" ca="1" si="16"/>
        <v>0</v>
      </c>
      <c r="K53" s="256">
        <f t="shared" ca="1" si="0"/>
        <v>0</v>
      </c>
      <c r="L53" s="1111">
        <f t="shared" si="17"/>
        <v>0</v>
      </c>
      <c r="M53" s="256">
        <f t="shared" si="2"/>
        <v>0</v>
      </c>
      <c r="N53" s="257">
        <f t="shared" si="18"/>
        <v>55235.101999999999</v>
      </c>
      <c r="O53" s="162">
        <f t="shared" si="3"/>
        <v>1</v>
      </c>
      <c r="P53" s="163">
        <f>+'Prog 01'!Q53</f>
        <v>90305.766091999991</v>
      </c>
      <c r="Q53" s="109">
        <f ca="1">+'Prog 01'!R53</f>
        <v>15399.821316000001</v>
      </c>
      <c r="R53" s="162">
        <f t="shared" ca="1" si="1"/>
        <v>0.17052976772614126</v>
      </c>
      <c r="T53" s="537"/>
      <c r="U53" s="537"/>
      <c r="X53" s="627"/>
      <c r="Y53" s="627"/>
      <c r="Z53" s="627"/>
      <c r="AA53" s="632"/>
    </row>
    <row r="54" spans="2:27" ht="15" hidden="1" customHeight="1" outlineLevel="3" x14ac:dyDescent="0.25">
      <c r="B54" s="165"/>
      <c r="C54" s="106"/>
      <c r="D54" s="107"/>
      <c r="E54" s="108">
        <v>998</v>
      </c>
      <c r="F54" s="110" t="str">
        <f t="shared" si="19"/>
        <v>21.02.001.0998</v>
      </c>
      <c r="G54" s="1009" t="s">
        <v>998</v>
      </c>
      <c r="H54" s="163">
        <f>+'Prog 01'!I54</f>
        <v>12936</v>
      </c>
      <c r="I54" s="109">
        <f>+'Prog 01'!J54</f>
        <v>156780.79999999999</v>
      </c>
      <c r="J54" s="323">
        <f ca="1">+'Prog 01'!K54</f>
        <v>103215.2</v>
      </c>
      <c r="K54" s="256">
        <f ca="1">+'Prog 01'!L54</f>
        <v>0.6583408172429277</v>
      </c>
      <c r="L54" s="109">
        <f>+'Prog 01'!M54</f>
        <v>103215.2</v>
      </c>
      <c r="M54" s="256">
        <f>+'Prog 01'!N54</f>
        <v>0.6583408172429277</v>
      </c>
      <c r="N54" s="109">
        <f>+'Prog 01'!O54</f>
        <v>53565.599999999999</v>
      </c>
      <c r="O54" s="162">
        <f>+'Prog 01'!P54</f>
        <v>0.3416591827570723</v>
      </c>
      <c r="P54" s="163">
        <f>+'Prog 01'!Q54</f>
        <v>0</v>
      </c>
      <c r="Q54" s="109">
        <f ca="1">+'Prog 01'!R54</f>
        <v>0</v>
      </c>
      <c r="R54" s="162" t="str">
        <f t="shared" ca="1" si="1"/>
        <v>0.00%</v>
      </c>
      <c r="T54" s="537"/>
      <c r="U54" s="537"/>
      <c r="X54" s="627"/>
      <c r="Y54" s="627"/>
      <c r="Z54" s="627"/>
      <c r="AA54" s="632"/>
    </row>
    <row r="55" spans="2:27" ht="15" hidden="1" customHeight="1" outlineLevel="3" x14ac:dyDescent="0.25">
      <c r="B55" s="165"/>
      <c r="C55" s="106"/>
      <c r="D55" s="107"/>
      <c r="E55" s="108">
        <v>999</v>
      </c>
      <c r="F55" s="110" t="str">
        <f t="shared" si="19"/>
        <v>21.02.001.0999</v>
      </c>
      <c r="G55" s="1009" t="s">
        <v>930</v>
      </c>
      <c r="H55" s="163">
        <v>0</v>
      </c>
      <c r="I55" s="109">
        <f>+'Prog 01'!J55</f>
        <v>0</v>
      </c>
      <c r="J55" s="323">
        <f t="shared" ca="1" si="16"/>
        <v>0</v>
      </c>
      <c r="K55" s="256" t="str">
        <f t="shared" ca="1" si="0"/>
        <v>0.00%</v>
      </c>
      <c r="L55" s="1111">
        <f>+'Prog 01'!M55</f>
        <v>0</v>
      </c>
      <c r="M55" s="256">
        <f t="shared" si="2"/>
        <v>0</v>
      </c>
      <c r="N55" s="109">
        <f>+'Prog 01'!O55</f>
        <v>0</v>
      </c>
      <c r="O55" s="162">
        <f t="shared" si="3"/>
        <v>0</v>
      </c>
      <c r="P55" s="163">
        <f>+'Prog 01'!Q55</f>
        <v>0</v>
      </c>
      <c r="Q55" s="109">
        <f ca="1">+'Prog 01'!R55</f>
        <v>0</v>
      </c>
      <c r="R55" s="162" t="str">
        <f t="shared" ca="1" si="1"/>
        <v>0.00%</v>
      </c>
      <c r="T55" s="537"/>
      <c r="U55" s="537"/>
      <c r="X55" s="627"/>
      <c r="Y55" s="627"/>
      <c r="Z55" s="627"/>
      <c r="AA55" s="632"/>
    </row>
    <row r="56" spans="2:27" s="155" customFormat="1" ht="15" hidden="1" customHeight="1" outlineLevel="2" x14ac:dyDescent="0.25">
      <c r="B56" s="165"/>
      <c r="C56" s="106"/>
      <c r="D56" s="107" t="s">
        <v>158</v>
      </c>
      <c r="E56" s="108"/>
      <c r="F56" s="108"/>
      <c r="G56" s="1008" t="s">
        <v>28</v>
      </c>
      <c r="H56" s="164">
        <f>SUM(H57:H58)</f>
        <v>584702.25399999996</v>
      </c>
      <c r="I56" s="109">
        <f>SUM(I57:I58)</f>
        <v>584702.25399999996</v>
      </c>
      <c r="J56" s="328">
        <f ca="1">SUM(J57:J58)</f>
        <v>418752.35500000004</v>
      </c>
      <c r="K56" s="256">
        <f t="shared" ca="1" si="0"/>
        <v>0.71618050406899936</v>
      </c>
      <c r="L56" s="1111">
        <f>SUM(L57:L58)</f>
        <v>418752.35499999998</v>
      </c>
      <c r="M56" s="256">
        <f t="shared" si="2"/>
        <v>0.71618050406899925</v>
      </c>
      <c r="N56" s="257">
        <f>SUM(N57:N58)</f>
        <v>165949.899</v>
      </c>
      <c r="O56" s="162">
        <f t="shared" si="3"/>
        <v>0.28381949593100081</v>
      </c>
      <c r="P56" s="260">
        <f>SUM(P57:P58)</f>
        <v>517280.61360899999</v>
      </c>
      <c r="Q56" s="111">
        <f ca="1">SUM(Q57:Q58)</f>
        <v>397867.18517399998</v>
      </c>
      <c r="R56" s="162">
        <f t="shared" ca="1" si="1"/>
        <v>0.76915154890134396</v>
      </c>
      <c r="S56" s="154"/>
      <c r="T56" s="537"/>
      <c r="U56" s="537"/>
      <c r="V56" s="628"/>
      <c r="W56" s="628"/>
      <c r="X56" s="627"/>
      <c r="Y56" s="627"/>
      <c r="Z56" s="627"/>
      <c r="AA56" s="632"/>
    </row>
    <row r="57" spans="2:27" ht="15" hidden="1" customHeight="1" outlineLevel="3" x14ac:dyDescent="0.25">
      <c r="B57" s="165"/>
      <c r="C57" s="106"/>
      <c r="D57" s="107"/>
      <c r="E57" s="108">
        <v>1</v>
      </c>
      <c r="F57" s="110" t="str">
        <f>+CONCATENATE($B$10,"",$C$41,"",$D$56,"00",E57)</f>
        <v>21.02.002.001</v>
      </c>
      <c r="G57" s="1009" t="s">
        <v>29</v>
      </c>
      <c r="H57" s="163">
        <f>+VLOOKUP(F57,matriz01,3,FALSE)</f>
        <v>45733.139000000003</v>
      </c>
      <c r="I57" s="109">
        <f>+VLOOKUP(F57,matriz01,4,FALSE)</f>
        <v>45733.139000000003</v>
      </c>
      <c r="J57" s="323">
        <f ca="1">+VLOOKUP(F57,matriz01,5,FALSE)</f>
        <v>27187.16</v>
      </c>
      <c r="K57" s="256">
        <f t="shared" ca="1" si="0"/>
        <v>0.59447395465244579</v>
      </c>
      <c r="L57" s="1111">
        <f>INDEX(coincidenciaP01,MATCH(F57,indicep01,0),7)</f>
        <v>27187.16</v>
      </c>
      <c r="M57" s="256">
        <f t="shared" si="2"/>
        <v>0.59447395465244579</v>
      </c>
      <c r="N57" s="109">
        <f>INDEX(coincidenciaP01,MATCH(F57,indicep01,0),9)</f>
        <v>18545.978999999999</v>
      </c>
      <c r="O57" s="162">
        <f t="shared" si="3"/>
        <v>0.40552604534755415</v>
      </c>
      <c r="P57" s="164">
        <f>+'Prog 01'!Q57</f>
        <v>42205.698537999997</v>
      </c>
      <c r="Q57" s="109">
        <f ca="1">+'Prog 01'!R57</f>
        <v>25280.754980000002</v>
      </c>
      <c r="R57" s="162">
        <f t="shared" ca="1" si="1"/>
        <v>0.5989891378586808</v>
      </c>
      <c r="T57" s="537"/>
      <c r="U57" s="537"/>
      <c r="X57" s="627"/>
      <c r="Y57" s="627"/>
      <c r="Z57" s="627"/>
      <c r="AA57" s="632"/>
    </row>
    <row r="58" spans="2:27" ht="15" hidden="1" customHeight="1" outlineLevel="3" x14ac:dyDescent="0.25">
      <c r="B58" s="165"/>
      <c r="C58" s="106"/>
      <c r="D58" s="107"/>
      <c r="E58" s="108">
        <v>2</v>
      </c>
      <c r="F58" s="110" t="str">
        <f>+CONCATENATE($B$10,"",$C$41,"",$D$56,"00",E58)</f>
        <v>21.02.002.002</v>
      </c>
      <c r="G58" s="1009" t="s">
        <v>30</v>
      </c>
      <c r="H58" s="163">
        <f>+VLOOKUP(F58,matriz01,3,FALSE)</f>
        <v>538969.11499999999</v>
      </c>
      <c r="I58" s="109">
        <f>+VLOOKUP(F58,matriz01,4,FALSE)</f>
        <v>538969.11499999999</v>
      </c>
      <c r="J58" s="323">
        <f ca="1">+VLOOKUP(F58,matriz01,5,FALSE)</f>
        <v>391565.19500000007</v>
      </c>
      <c r="K58" s="256">
        <f t="shared" ca="1" si="0"/>
        <v>0.72650766825479429</v>
      </c>
      <c r="L58" s="1111">
        <f>INDEX(coincidenciaP01,MATCH(F58,indicep01,0),7)</f>
        <v>391565.19500000001</v>
      </c>
      <c r="M58" s="256">
        <f t="shared" si="2"/>
        <v>0.72650766825479418</v>
      </c>
      <c r="N58" s="257">
        <f>INDEX(coincidenciaP01,MATCH(F58,indicep01,0),9)</f>
        <v>147403.92000000001</v>
      </c>
      <c r="O58" s="162">
        <f t="shared" si="3"/>
        <v>0.27349233174520587</v>
      </c>
      <c r="P58" s="164">
        <f>+'Prog 01'!Q58</f>
        <v>475074.915071</v>
      </c>
      <c r="Q58" s="109">
        <f ca="1">+'Prog 01'!R58</f>
        <v>372586.43019399996</v>
      </c>
      <c r="R58" s="162">
        <f t="shared" ca="1" si="1"/>
        <v>0.78426879292988327</v>
      </c>
      <c r="T58" s="537"/>
      <c r="U58" s="537"/>
      <c r="X58" s="627"/>
      <c r="Y58" s="627"/>
      <c r="Z58" s="627"/>
      <c r="AA58" s="632"/>
    </row>
    <row r="59" spans="2:27" s="155" customFormat="1" ht="15" hidden="1" customHeight="1" outlineLevel="2" x14ac:dyDescent="0.25">
      <c r="B59" s="165"/>
      <c r="C59" s="106"/>
      <c r="D59" s="107" t="s">
        <v>159</v>
      </c>
      <c r="E59" s="108"/>
      <c r="F59" s="108"/>
      <c r="G59" s="1008" t="s">
        <v>31</v>
      </c>
      <c r="H59" s="163">
        <f>SUM(H60:H61)</f>
        <v>1366172.385</v>
      </c>
      <c r="I59" s="109">
        <f>SUM(I60:I62)</f>
        <v>1366172.385</v>
      </c>
      <c r="J59" s="323">
        <f t="shared" ref="J59:N59" ca="1" si="20">SUM(J60:J62)</f>
        <v>1026793.819</v>
      </c>
      <c r="K59" s="256">
        <f t="shared" ca="1" si="0"/>
        <v>0.75158437564231695</v>
      </c>
      <c r="L59" s="109">
        <f t="shared" si="20"/>
        <v>1026793.819</v>
      </c>
      <c r="M59" s="256">
        <f t="shared" si="2"/>
        <v>0.75158437564231695</v>
      </c>
      <c r="N59" s="109">
        <f t="shared" si="20"/>
        <v>339378.56599999999</v>
      </c>
      <c r="O59" s="162">
        <f t="shared" si="3"/>
        <v>0.24841562435768308</v>
      </c>
      <c r="P59" s="163">
        <f>SUM(P60:P62)</f>
        <v>1252134.7618539999</v>
      </c>
      <c r="Q59" s="109">
        <f ca="1">SUM(Q60:Q62)</f>
        <v>931377.09600699996</v>
      </c>
      <c r="R59" s="162">
        <f t="shared" ca="1" si="1"/>
        <v>0.74383135456437344</v>
      </c>
      <c r="S59" s="154"/>
      <c r="T59" s="537"/>
      <c r="U59" s="537"/>
      <c r="V59" s="628"/>
      <c r="W59" s="628"/>
      <c r="X59" s="627"/>
      <c r="Y59" s="627"/>
      <c r="Z59" s="627"/>
      <c r="AA59" s="632"/>
    </row>
    <row r="60" spans="2:27" ht="15" hidden="1" customHeight="1" outlineLevel="3" x14ac:dyDescent="0.25">
      <c r="B60" s="165"/>
      <c r="C60" s="106"/>
      <c r="D60" s="107"/>
      <c r="E60" s="108">
        <v>1</v>
      </c>
      <c r="F60" s="110" t="str">
        <f>+CONCATENATE($B$10,"",$C$41,"",$D$59,"00",E60)</f>
        <v>21.02.003.001</v>
      </c>
      <c r="G60" s="1009" t="s">
        <v>32</v>
      </c>
      <c r="H60" s="163">
        <f>+VLOOKUP(F60,matriz01,3,FALSE)</f>
        <v>726222.69299999997</v>
      </c>
      <c r="I60" s="109">
        <f>+VLOOKUP(F60,matriz01,4,FALSE)</f>
        <v>726222.69299999997</v>
      </c>
      <c r="J60" s="323">
        <f ca="1">+VLOOKUP(F60,matriz01,5,FALSE)</f>
        <v>539718.07400000002</v>
      </c>
      <c r="K60" s="256">
        <f t="shared" ca="1" si="0"/>
        <v>0.74318536063702989</v>
      </c>
      <c r="L60" s="1111">
        <f>INDEX(coincidenciaP01,MATCH(F60,indicep01,0),7)</f>
        <v>539718.07400000002</v>
      </c>
      <c r="M60" s="256">
        <f t="shared" si="2"/>
        <v>0.74318536063702989</v>
      </c>
      <c r="N60" s="257">
        <f>INDEX(coincidenciaP01,MATCH(F60,indicep01,0),9)</f>
        <v>186504.61900000001</v>
      </c>
      <c r="O60" s="162">
        <f t="shared" si="3"/>
        <v>0.25681463936297017</v>
      </c>
      <c r="P60" s="164">
        <f>+'Prog 01'!Q60</f>
        <v>661544.99742299994</v>
      </c>
      <c r="Q60" s="109">
        <f ca="1">+'Prog 01'!R60</f>
        <v>494802.650532</v>
      </c>
      <c r="R60" s="162">
        <f t="shared" ca="1" si="1"/>
        <v>0.74795010537373496</v>
      </c>
      <c r="T60" s="537"/>
      <c r="U60" s="537"/>
      <c r="X60" s="627"/>
      <c r="Y60" s="627"/>
      <c r="Z60" s="627"/>
      <c r="AA60" s="632"/>
    </row>
    <row r="61" spans="2:27" ht="15" hidden="1" customHeight="1" outlineLevel="3" x14ac:dyDescent="0.25">
      <c r="B61" s="165"/>
      <c r="C61" s="106"/>
      <c r="D61" s="107"/>
      <c r="E61" s="108">
        <v>2</v>
      </c>
      <c r="F61" s="110" t="str">
        <f>+CONCATENATE($B$10,"",$C$41,"",$D$59,"00",E61)</f>
        <v>21.02.003.002</v>
      </c>
      <c r="G61" s="1009" t="s">
        <v>33</v>
      </c>
      <c r="H61" s="163">
        <f>+VLOOKUP(F61,matriz01,3,FALSE)</f>
        <v>639949.69200000004</v>
      </c>
      <c r="I61" s="109">
        <f>+VLOOKUP(F61,matriz01,4,FALSE)</f>
        <v>639949.69200000004</v>
      </c>
      <c r="J61" s="323">
        <f ca="1">+VLOOKUP(F61,matriz01,5,FALSE)</f>
        <v>487075.745</v>
      </c>
      <c r="K61" s="256">
        <f t="shared" ca="1" si="0"/>
        <v>0.76111568001192187</v>
      </c>
      <c r="L61" s="1111">
        <f>INDEX(coincidenciaP01,MATCH(F61,indicep01,0),7)</f>
        <v>487075.745</v>
      </c>
      <c r="M61" s="256">
        <f t="shared" si="2"/>
        <v>0.76111568001192187</v>
      </c>
      <c r="N61" s="257">
        <f>INDEX(coincidenciaP01,MATCH(F61,indicep01,0),9)</f>
        <v>152873.94699999999</v>
      </c>
      <c r="O61" s="162">
        <f t="shared" si="3"/>
        <v>0.23888431998807802</v>
      </c>
      <c r="P61" s="163">
        <f>+'Prog 01'!Q61</f>
        <v>590589.76443099999</v>
      </c>
      <c r="Q61" s="109">
        <f ca="1">+'Prog 01'!R61</f>
        <v>436574.44547499996</v>
      </c>
      <c r="R61" s="162">
        <f t="shared" ca="1" si="1"/>
        <v>0.73921776462823541</v>
      </c>
      <c r="T61" s="537"/>
      <c r="U61" s="537"/>
      <c r="X61" s="627"/>
      <c r="Y61" s="627"/>
      <c r="Z61" s="627"/>
      <c r="AA61" s="632"/>
    </row>
    <row r="62" spans="2:27" ht="15" hidden="1" customHeight="1" outlineLevel="3" x14ac:dyDescent="0.25">
      <c r="B62" s="165"/>
      <c r="C62" s="106"/>
      <c r="D62" s="107"/>
      <c r="E62" s="108">
        <v>3</v>
      </c>
      <c r="F62" s="110" t="str">
        <f>+CONCATENATE($B$10,"",$C$41,"",$D$59,"00",E62)</f>
        <v>21.02.003.003</v>
      </c>
      <c r="G62" s="1009" t="s">
        <v>931</v>
      </c>
      <c r="H62" s="163">
        <v>0</v>
      </c>
      <c r="I62" s="109">
        <f>+'Prog 01'!J62</f>
        <v>0</v>
      </c>
      <c r="J62" s="323">
        <f ca="1">+VLOOKUP(F62,matriz01,5,FALSE)</f>
        <v>0</v>
      </c>
      <c r="K62" s="256" t="str">
        <f t="shared" ca="1" si="0"/>
        <v>0.00%</v>
      </c>
      <c r="L62" s="1111">
        <f>+'Prog 01'!M62</f>
        <v>0</v>
      </c>
      <c r="M62" s="256">
        <f t="shared" si="2"/>
        <v>0</v>
      </c>
      <c r="N62" s="1111">
        <f>+'Prog 01'!O62</f>
        <v>0</v>
      </c>
      <c r="O62" s="162">
        <f t="shared" si="3"/>
        <v>0</v>
      </c>
      <c r="P62" s="163">
        <v>0</v>
      </c>
      <c r="Q62" s="109">
        <v>0</v>
      </c>
      <c r="R62" s="162" t="str">
        <f t="shared" si="1"/>
        <v>0.00%</v>
      </c>
      <c r="T62" s="537"/>
      <c r="U62" s="537"/>
      <c r="X62" s="627"/>
      <c r="Y62" s="627"/>
      <c r="Z62" s="627"/>
      <c r="AA62" s="632"/>
    </row>
    <row r="63" spans="2:27" s="155" customFormat="1" ht="15" hidden="1" customHeight="1" outlineLevel="2" x14ac:dyDescent="0.25">
      <c r="B63" s="165"/>
      <c r="C63" s="106"/>
      <c r="D63" s="107" t="s">
        <v>160</v>
      </c>
      <c r="E63" s="108"/>
      <c r="F63" s="108"/>
      <c r="G63" s="1008" t="s">
        <v>34</v>
      </c>
      <c r="H63" s="163">
        <f>SUM(H64:H67)</f>
        <v>290726.53200000001</v>
      </c>
      <c r="I63" s="109">
        <f>SUM(I64:I67)</f>
        <v>365216.43099999998</v>
      </c>
      <c r="J63" s="323">
        <f ca="1">SUM(J64:J66)</f>
        <v>325927.29700000002</v>
      </c>
      <c r="K63" s="256">
        <f t="shared" ca="1" si="0"/>
        <v>0.89242232642046715</v>
      </c>
      <c r="L63" s="1111">
        <f>SUM(L64:L66)</f>
        <v>325927.29700000002</v>
      </c>
      <c r="M63" s="256">
        <f t="shared" si="2"/>
        <v>0.89242232642046715</v>
      </c>
      <c r="N63" s="257">
        <f>SUM(N64:N67)</f>
        <v>39289.134000000005</v>
      </c>
      <c r="O63" s="162">
        <f t="shared" si="3"/>
        <v>0.10757767357953292</v>
      </c>
      <c r="P63" s="163">
        <f>SUM(P64:P66)</f>
        <v>374341.72169999999</v>
      </c>
      <c r="Q63" s="109">
        <f ca="1">SUM(Q64:Q66)</f>
        <v>267148.39457099995</v>
      </c>
      <c r="R63" s="162">
        <f t="shared" ca="1" si="1"/>
        <v>0.71364846364919621</v>
      </c>
      <c r="S63" s="154"/>
      <c r="T63" s="537"/>
      <c r="U63" s="537"/>
      <c r="V63" s="628"/>
      <c r="W63" s="628"/>
      <c r="X63" s="627"/>
      <c r="Y63" s="627"/>
      <c r="Z63" s="627"/>
      <c r="AA63" s="632"/>
    </row>
    <row r="64" spans="2:27" ht="15" hidden="1" customHeight="1" outlineLevel="3" x14ac:dyDescent="0.25">
      <c r="B64" s="165"/>
      <c r="C64" s="106"/>
      <c r="D64" s="107"/>
      <c r="E64" s="108">
        <v>4</v>
      </c>
      <c r="F64" s="110" t="str">
        <f>+CONCATENATE($B$10,"",$C$41,"",$D$63,"00",E64)</f>
        <v>21.02.004.004</v>
      </c>
      <c r="G64" s="1009" t="s">
        <v>35</v>
      </c>
      <c r="H64" s="163">
        <f>+VLOOKUP(F64,matriz01,3,FALSE)</f>
        <v>187398.5</v>
      </c>
      <c r="I64" s="109">
        <f>+VLOOKUP(F64,matriz01,4,FALSE)</f>
        <v>187398.5</v>
      </c>
      <c r="J64" s="323">
        <f ca="1">+VLOOKUP(F64,matriz01,5,FALSE)</f>
        <v>185359.609</v>
      </c>
      <c r="K64" s="256">
        <f t="shared" ca="1" si="0"/>
        <v>0.98912002497351903</v>
      </c>
      <c r="L64" s="1111">
        <f>INDEX(coincidenciaP01,MATCH(F64,indicep01,0),7)</f>
        <v>185359.609</v>
      </c>
      <c r="M64" s="256">
        <f t="shared" si="2"/>
        <v>0.98912002497351903</v>
      </c>
      <c r="N64" s="109">
        <f>INDEX(coincidenciaP01,MATCH(F64,indicep01,0),9)</f>
        <v>2038.8910000000001</v>
      </c>
      <c r="O64" s="162">
        <f t="shared" si="3"/>
        <v>1.0879975026481001E-2</v>
      </c>
      <c r="P64" s="164">
        <f>+'Prog 01'!Q64</f>
        <v>213899.30489999999</v>
      </c>
      <c r="Q64" s="109">
        <f ca="1">+'Prog 01'!R64</f>
        <v>172570.77270199996</v>
      </c>
      <c r="R64" s="162">
        <f t="shared" ca="1" si="1"/>
        <v>0.80678510284396898</v>
      </c>
      <c r="T64" s="537"/>
      <c r="U64" s="537"/>
      <c r="X64" s="627"/>
      <c r="Y64" s="627"/>
      <c r="Z64" s="627"/>
      <c r="AA64" s="632"/>
    </row>
    <row r="65" spans="2:27" ht="15" hidden="1" customHeight="1" outlineLevel="3" x14ac:dyDescent="0.25">
      <c r="B65" s="165"/>
      <c r="C65" s="106"/>
      <c r="D65" s="107"/>
      <c r="E65" s="108">
        <v>5</v>
      </c>
      <c r="F65" s="110" t="str">
        <f>+CONCATENATE($B$10,"",$C$41,"",$D$63,"00",E65)</f>
        <v>21.02.004.005</v>
      </c>
      <c r="G65" s="1009" t="s">
        <v>36</v>
      </c>
      <c r="H65" s="163">
        <f>+VLOOKUP(F65,matriz01,3,FALSE)</f>
        <v>50000</v>
      </c>
      <c r="I65" s="109">
        <f>+VLOOKUP(F65,matriz01,4,FALSE)</f>
        <v>50000</v>
      </c>
      <c r="J65" s="323">
        <f ca="1">+VLOOKUP(F65,matriz01,5,FALSE)</f>
        <v>46392.087000000007</v>
      </c>
      <c r="K65" s="256">
        <f t="shared" ca="1" si="0"/>
        <v>0.92784174000000008</v>
      </c>
      <c r="L65" s="1111">
        <f>INDEX(coincidenciaP01,MATCH(F65,indicep01,0),7)</f>
        <v>46392.087</v>
      </c>
      <c r="M65" s="256">
        <f t="shared" si="2"/>
        <v>0.92784173999999997</v>
      </c>
      <c r="N65" s="257">
        <f>INDEX(coincidenciaP01,MATCH(F65,indicep01,0),9)</f>
        <v>3607.913</v>
      </c>
      <c r="O65" s="162">
        <f t="shared" si="3"/>
        <v>7.2158260000000002E-2</v>
      </c>
      <c r="P65" s="164">
        <f>+'Prog 01'!Q65</f>
        <v>59193.792799999996</v>
      </c>
      <c r="Q65" s="109">
        <f ca="1">+'Prog 01'!R65</f>
        <v>28922.851288999995</v>
      </c>
      <c r="R65" s="162">
        <f t="shared" ca="1" si="1"/>
        <v>0.4886129089028402</v>
      </c>
      <c r="T65" s="537"/>
      <c r="U65" s="537"/>
      <c r="X65" s="627"/>
      <c r="Y65" s="627"/>
      <c r="Z65" s="627"/>
      <c r="AA65" s="632"/>
    </row>
    <row r="66" spans="2:27" ht="15" hidden="1" customHeight="1" outlineLevel="3" x14ac:dyDescent="0.25">
      <c r="B66" s="165"/>
      <c r="C66" s="106"/>
      <c r="D66" s="107"/>
      <c r="E66" s="108">
        <v>6</v>
      </c>
      <c r="F66" s="110" t="str">
        <f>+CONCATENATE($B$10,"",$C$41,"",$D$63,"00",E66)</f>
        <v>21.02.004.006</v>
      </c>
      <c r="G66" s="1009" t="s">
        <v>37</v>
      </c>
      <c r="H66" s="163">
        <f>+VLOOKUP(F66,matriz01,3,FALSE)</f>
        <v>52828.031999999999</v>
      </c>
      <c r="I66" s="109">
        <f>+VLOOKUP(F66,matriz01,4,FALSE)</f>
        <v>127317.931</v>
      </c>
      <c r="J66" s="323">
        <f ca="1">+VLOOKUP(F66,matriz01,5,FALSE)</f>
        <v>94175.60100000001</v>
      </c>
      <c r="K66" s="256">
        <f t="shared" ca="1" si="0"/>
        <v>0.73968843398813955</v>
      </c>
      <c r="L66" s="1111">
        <f>INDEX(coincidenciaP01,MATCH(F66,indicep01,0),7)</f>
        <v>94175.600999999995</v>
      </c>
      <c r="M66" s="256">
        <f t="shared" si="2"/>
        <v>0.73968843398813944</v>
      </c>
      <c r="N66" s="257">
        <f>INDEX(coincidenciaP01,MATCH(F66,indicep01,0),9)</f>
        <v>33142.33</v>
      </c>
      <c r="O66" s="162">
        <f t="shared" si="3"/>
        <v>0.26031156601186051</v>
      </c>
      <c r="P66" s="164">
        <f>+'Prog 01'!Q66</f>
        <v>101248.624</v>
      </c>
      <c r="Q66" s="109">
        <f ca="1">+'Prog 01'!R66</f>
        <v>65654.770579999997</v>
      </c>
      <c r="R66" s="162">
        <f t="shared" ca="1" si="1"/>
        <v>0.64845099109692594</v>
      </c>
      <c r="T66" s="537"/>
      <c r="U66" s="537"/>
      <c r="X66" s="627"/>
      <c r="Y66" s="627"/>
      <c r="Z66" s="627"/>
      <c r="AA66" s="632"/>
    </row>
    <row r="67" spans="2:27" ht="15" hidden="1" customHeight="1" outlineLevel="3" x14ac:dyDescent="0.25">
      <c r="B67" s="165"/>
      <c r="C67" s="106"/>
      <c r="D67" s="107"/>
      <c r="E67" s="108">
        <v>7</v>
      </c>
      <c r="F67" s="110"/>
      <c r="G67" s="1009" t="s">
        <v>38</v>
      </c>
      <c r="H67" s="163">
        <f>+'Prog 01'!I67</f>
        <v>500</v>
      </c>
      <c r="I67" s="109">
        <f>+'Prog 01'!J67</f>
        <v>500</v>
      </c>
      <c r="J67" s="323">
        <v>0</v>
      </c>
      <c r="K67" s="256">
        <v>0</v>
      </c>
      <c r="L67" s="1111">
        <v>0</v>
      </c>
      <c r="M67" s="256">
        <f t="shared" si="2"/>
        <v>0</v>
      </c>
      <c r="N67" s="257">
        <f>+I67-L67</f>
        <v>500</v>
      </c>
      <c r="O67" s="162">
        <v>0</v>
      </c>
      <c r="P67" s="164">
        <v>0</v>
      </c>
      <c r="Q67" s="109">
        <v>0</v>
      </c>
      <c r="R67" s="162">
        <v>0</v>
      </c>
      <c r="T67" s="537"/>
      <c r="U67" s="537"/>
      <c r="X67" s="627"/>
      <c r="Y67" s="627"/>
      <c r="Z67" s="627"/>
      <c r="AA67" s="632"/>
    </row>
    <row r="68" spans="2:27" s="155" customFormat="1" ht="15" hidden="1" customHeight="1" outlineLevel="2" x14ac:dyDescent="0.25">
      <c r="B68" s="165"/>
      <c r="C68" s="106"/>
      <c r="D68" s="107" t="s">
        <v>161</v>
      </c>
      <c r="E68" s="108"/>
      <c r="F68" s="108"/>
      <c r="G68" s="1008" t="s">
        <v>34</v>
      </c>
      <c r="H68" s="163">
        <f>SUM(H69:H71)</f>
        <v>163673.576</v>
      </c>
      <c r="I68" s="109">
        <f>SUM(I69:I71)</f>
        <v>163673.576</v>
      </c>
      <c r="J68" s="323">
        <f ca="1">SUM(J69:J71)</f>
        <v>38450.550000000003</v>
      </c>
      <c r="K68" s="256">
        <f t="shared" ca="1" si="0"/>
        <v>0.23492215994596466</v>
      </c>
      <c r="L68" s="1005">
        <f>SUM(L69:L71)</f>
        <v>38450.550000000003</v>
      </c>
      <c r="M68" s="256">
        <f t="shared" si="2"/>
        <v>0.23492215994596466</v>
      </c>
      <c r="N68" s="257">
        <f>SUM(N69:N71)</f>
        <v>125223.026</v>
      </c>
      <c r="O68" s="162">
        <f t="shared" si="3"/>
        <v>0.76507784005403534</v>
      </c>
      <c r="P68" s="163">
        <f>SUM(P69:P71)</f>
        <v>111718.27789100001</v>
      </c>
      <c r="Q68" s="109">
        <f ca="1">SUM(Q69:Q71)</f>
        <v>59482.485528999998</v>
      </c>
      <c r="R68" s="162">
        <f t="shared" ca="1" si="1"/>
        <v>0.53243288969272495</v>
      </c>
      <c r="S68" s="154"/>
      <c r="T68" s="537"/>
      <c r="U68" s="537"/>
      <c r="V68" s="628"/>
      <c r="W68" s="628"/>
      <c r="X68" s="627"/>
      <c r="Y68" s="627"/>
      <c r="Z68" s="627"/>
      <c r="AA68" s="632"/>
    </row>
    <row r="69" spans="2:27" ht="15" hidden="1" customHeight="1" outlineLevel="3" x14ac:dyDescent="0.25">
      <c r="B69" s="165"/>
      <c r="C69" s="106"/>
      <c r="D69" s="107"/>
      <c r="E69" s="108">
        <v>1</v>
      </c>
      <c r="F69" s="110" t="str">
        <f>+CONCATENATE($B$10,"",$C$41,"",$D$68,"00",E69)</f>
        <v>21.02.005.001</v>
      </c>
      <c r="G69" s="1009" t="s">
        <v>95</v>
      </c>
      <c r="H69" s="163">
        <f>+VLOOKUP(F69,matriz01,3,FALSE)</f>
        <v>47688.317999999999</v>
      </c>
      <c r="I69" s="109">
        <f>+VLOOKUP(F69,matriz01,4,FALSE)</f>
        <v>47688.317999999999</v>
      </c>
      <c r="J69" s="323">
        <f ca="1">+VLOOKUP(F69,matriz01,5,FALSE)</f>
        <v>21354.411</v>
      </c>
      <c r="K69" s="256">
        <f t="shared" ca="1" si="0"/>
        <v>0.44779123893612688</v>
      </c>
      <c r="L69" s="109">
        <f>INDEX(coincidenciaP01,MATCH(F69,indicep01,0),7)</f>
        <v>21354.411</v>
      </c>
      <c r="M69" s="256">
        <f t="shared" si="2"/>
        <v>0.44779123893612688</v>
      </c>
      <c r="N69" s="257">
        <f>INDEX(coincidenciaP01,MATCH(F69,indicep01,0),9)</f>
        <v>26333.906999999999</v>
      </c>
      <c r="O69" s="162">
        <f t="shared" si="3"/>
        <v>0.55220876106387307</v>
      </c>
      <c r="P69" s="163">
        <f>+'Prog 01'!Q69</f>
        <v>44010.073005999999</v>
      </c>
      <c r="Q69" s="109">
        <f ca="1">+'Prog 01'!R69</f>
        <v>22005.036502999999</v>
      </c>
      <c r="R69" s="162">
        <f t="shared" ca="1" si="1"/>
        <v>0.5</v>
      </c>
      <c r="T69" s="537"/>
      <c r="U69" s="537"/>
      <c r="X69" s="627"/>
      <c r="Y69" s="627"/>
      <c r="Z69" s="627"/>
      <c r="AA69" s="632"/>
    </row>
    <row r="70" spans="2:27" ht="15" hidden="1" customHeight="1" outlineLevel="3" x14ac:dyDescent="0.25">
      <c r="B70" s="165"/>
      <c r="C70" s="106"/>
      <c r="D70" s="107"/>
      <c r="E70" s="108">
        <v>2</v>
      </c>
      <c r="F70" s="110" t="str">
        <f>+CONCATENATE($B$10,"",$C$41,"",$D$68,"00",E70)</f>
        <v>21.02.005.002</v>
      </c>
      <c r="G70" s="1009" t="s">
        <v>96</v>
      </c>
      <c r="H70" s="163">
        <f>+VLOOKUP(F70,matriz01,3,FALSE)</f>
        <v>17918.413</v>
      </c>
      <c r="I70" s="109">
        <f>+VLOOKUP(F70,matriz01,4,FALSE)</f>
        <v>17918.413</v>
      </c>
      <c r="J70" s="323">
        <f ca="1">+VLOOKUP(F70,matriz01,5,FALSE)</f>
        <v>17096.138999999999</v>
      </c>
      <c r="K70" s="256">
        <f t="shared" ca="1" si="0"/>
        <v>0.95411011008620006</v>
      </c>
      <c r="L70" s="1111">
        <f>INDEX(coincidenciaP01,MATCH(F70,indicep01,0),7)</f>
        <v>17096.138999999999</v>
      </c>
      <c r="M70" s="256">
        <f t="shared" si="2"/>
        <v>0.95411011008620006</v>
      </c>
      <c r="N70" s="109">
        <f>INDEX(coincidenciaP01,MATCH(F70,indicep01,0),9)</f>
        <v>822.274</v>
      </c>
      <c r="O70" s="162">
        <f t="shared" si="3"/>
        <v>4.5889889913799845E-2</v>
      </c>
      <c r="P70" s="163">
        <f>+'Prog 01'!Q70</f>
        <v>16536.349026</v>
      </c>
      <c r="Q70" s="109">
        <f ca="1">+'Prog 01'!R70</f>
        <v>16536.349026</v>
      </c>
      <c r="R70" s="162">
        <f t="shared" ca="1" si="1"/>
        <v>1</v>
      </c>
      <c r="T70" s="537"/>
      <c r="U70" s="537"/>
      <c r="X70" s="627"/>
      <c r="Y70" s="627"/>
      <c r="Z70" s="627"/>
      <c r="AA70" s="632"/>
    </row>
    <row r="71" spans="2:27" ht="15" hidden="1" customHeight="1" outlineLevel="3" x14ac:dyDescent="0.25">
      <c r="B71" s="165"/>
      <c r="C71" s="106"/>
      <c r="D71" s="107"/>
      <c r="E71" s="108">
        <v>3</v>
      </c>
      <c r="F71" s="110" t="str">
        <f>+CONCATENATE($B$10,"",$C$41,"",$D$68,"00",E71)</f>
        <v>21.02.005.003</v>
      </c>
      <c r="G71" s="1009" t="s">
        <v>97</v>
      </c>
      <c r="H71" s="163">
        <f>+VLOOKUP(F71,matriz01,3,FALSE)</f>
        <v>98066.845000000001</v>
      </c>
      <c r="I71" s="109">
        <f>+VLOOKUP(F71,matriz01,4,FALSE)</f>
        <v>98066.845000000001</v>
      </c>
      <c r="J71" s="323">
        <f ca="1">+VLOOKUP(F71,matriz01,5,FALSE)</f>
        <v>0</v>
      </c>
      <c r="K71" s="256">
        <f t="shared" ca="1" si="0"/>
        <v>0</v>
      </c>
      <c r="L71" s="1111">
        <f>INDEX(coincidenciaP01,MATCH(F71,indicep01,0),7)</f>
        <v>0</v>
      </c>
      <c r="M71" s="256">
        <f t="shared" si="2"/>
        <v>0</v>
      </c>
      <c r="N71" s="257">
        <f>INDEX(coincidenciaP01,MATCH(F71,indicep01,0),9)</f>
        <v>98066.845000000001</v>
      </c>
      <c r="O71" s="162">
        <f t="shared" si="3"/>
        <v>1</v>
      </c>
      <c r="P71" s="163">
        <f>+'Prog 01'!Q71</f>
        <v>51171.855858999996</v>
      </c>
      <c r="Q71" s="109">
        <f ca="1">+'Prog 01'!R71</f>
        <v>20941.099999999999</v>
      </c>
      <c r="R71" s="162">
        <f t="shared" ca="1" si="1"/>
        <v>0.40923080956261476</v>
      </c>
      <c r="T71" s="537"/>
      <c r="U71" s="537"/>
      <c r="X71" s="627"/>
      <c r="Y71" s="627"/>
      <c r="Z71" s="627"/>
      <c r="AA71" s="632"/>
    </row>
    <row r="72" spans="2:27" s="155" customFormat="1" ht="15" hidden="1" customHeight="1" outlineLevel="1" x14ac:dyDescent="0.25">
      <c r="B72" s="165"/>
      <c r="C72" s="106" t="s">
        <v>163</v>
      </c>
      <c r="D72" s="107"/>
      <c r="E72" s="108"/>
      <c r="F72" s="108"/>
      <c r="G72" s="1008" t="s">
        <v>102</v>
      </c>
      <c r="H72" s="164">
        <f>+H73+H76+H77</f>
        <v>1509478.3430000001</v>
      </c>
      <c r="I72" s="109">
        <f>+I73+I76+I77</f>
        <v>1509478.3430000001</v>
      </c>
      <c r="J72" s="328">
        <f ca="1">+J73+J76+J77</f>
        <v>874361.11300000013</v>
      </c>
      <c r="K72" s="256">
        <f t="shared" ca="1" si="0"/>
        <v>0.57924720619857217</v>
      </c>
      <c r="L72" s="1112">
        <f>+L73+L76+L77</f>
        <v>874361.11300000001</v>
      </c>
      <c r="M72" s="256">
        <f t="shared" si="2"/>
        <v>0.57924720619857206</v>
      </c>
      <c r="N72" s="257">
        <f>+N73+N76+N77</f>
        <v>635117.2300000001</v>
      </c>
      <c r="O72" s="162">
        <f t="shared" si="3"/>
        <v>0.42075279380142788</v>
      </c>
      <c r="P72" s="260">
        <f>+P73+P76+P77</f>
        <v>1278747.8704039997</v>
      </c>
      <c r="Q72" s="111">
        <f ca="1">+Q73+Q76+Q77</f>
        <v>896136.59760599991</v>
      </c>
      <c r="R72" s="162">
        <f t="shared" ca="1" si="1"/>
        <v>0.70079225025249114</v>
      </c>
      <c r="S72" s="154"/>
      <c r="T72" s="537"/>
      <c r="U72" s="537"/>
      <c r="V72" s="628"/>
      <c r="W72" s="628"/>
      <c r="X72" s="627"/>
      <c r="Y72" s="627"/>
      <c r="Z72" s="627"/>
      <c r="AA72" s="632"/>
    </row>
    <row r="73" spans="2:27" s="155" customFormat="1" ht="15" hidden="1" customHeight="1" outlineLevel="2" x14ac:dyDescent="0.25">
      <c r="B73" s="165"/>
      <c r="C73" s="106"/>
      <c r="D73" s="107" t="s">
        <v>156</v>
      </c>
      <c r="E73" s="108"/>
      <c r="F73" s="108"/>
      <c r="G73" s="1008" t="s">
        <v>41</v>
      </c>
      <c r="H73" s="164">
        <f>SUM(H74:H75)</f>
        <v>1472012</v>
      </c>
      <c r="I73" s="109">
        <f>SUM(I74:I75)</f>
        <v>1471592</v>
      </c>
      <c r="J73" s="328">
        <f ca="1">SUM(J74:J75)</f>
        <v>851485.00100000016</v>
      </c>
      <c r="K73" s="256">
        <f t="shared" ca="1" si="0"/>
        <v>0.57861486132025741</v>
      </c>
      <c r="L73" s="1112">
        <f>SUM(L74:L75)</f>
        <v>851485.00100000005</v>
      </c>
      <c r="M73" s="256">
        <f t="shared" si="2"/>
        <v>0.5786148613202573</v>
      </c>
      <c r="N73" s="257">
        <f>SUM(N74:N75)</f>
        <v>620106.99900000007</v>
      </c>
      <c r="O73" s="162">
        <f t="shared" si="3"/>
        <v>0.42138513867974281</v>
      </c>
      <c r="P73" s="260">
        <f>SUM(P74:P75)</f>
        <v>1243559.0539999998</v>
      </c>
      <c r="Q73" s="111">
        <f ca="1">SUM(Q74:Q75)</f>
        <v>878357.72913999995</v>
      </c>
      <c r="R73" s="162">
        <f t="shared" ca="1" si="1"/>
        <v>0.70632570790642979</v>
      </c>
      <c r="S73" s="154"/>
      <c r="T73" s="537"/>
      <c r="U73" s="537"/>
      <c r="V73" s="628"/>
      <c r="W73" s="628"/>
      <c r="X73" s="627"/>
      <c r="Y73" s="627"/>
      <c r="Z73" s="627"/>
      <c r="AA73" s="632"/>
    </row>
    <row r="74" spans="2:27" ht="15" hidden="1" customHeight="1" outlineLevel="2" x14ac:dyDescent="0.25">
      <c r="B74" s="165"/>
      <c r="C74" s="106"/>
      <c r="D74" s="107"/>
      <c r="E74" s="108">
        <v>1</v>
      </c>
      <c r="F74" s="110" t="str">
        <f>+CONCATENATE($B$10,"",$C$72,"",$D$73,"00",E74)</f>
        <v>21.03.001.001</v>
      </c>
      <c r="G74" s="1009" t="s">
        <v>42</v>
      </c>
      <c r="H74" s="163">
        <f>+VLOOKUP(F74,matriz01,3,FALSE)</f>
        <v>1461411.9890000001</v>
      </c>
      <c r="I74" s="109">
        <f>+VLOOKUP(F74,matriz01,4,FALSE)</f>
        <v>1457938.9920000001</v>
      </c>
      <c r="J74" s="323">
        <f ca="1">+VLOOKUP(F74,matriz01,5,FALSE)</f>
        <v>840834.68500000017</v>
      </c>
      <c r="K74" s="256">
        <f t="shared" ca="1" si="0"/>
        <v>0.57672830592626068</v>
      </c>
      <c r="L74" s="1111">
        <f>INDEX(coincidenciaP01,MATCH(F74,indicep01,0),7)</f>
        <v>840834.68500000006</v>
      </c>
      <c r="M74" s="256">
        <f t="shared" si="2"/>
        <v>0.57672830592626056</v>
      </c>
      <c r="N74" s="257">
        <f>INDEX(coincidenciaP01,MATCH(F74,indicep01,0),9)</f>
        <v>617104.30700000003</v>
      </c>
      <c r="O74" s="162">
        <f t="shared" si="3"/>
        <v>0.42327169407373938</v>
      </c>
      <c r="P74" s="164">
        <f>+'Prog 01'!Q74</f>
        <v>1230749.9039999999</v>
      </c>
      <c r="Q74" s="109">
        <f ca="1">+'Prog 01'!R74</f>
        <v>868811.131299</v>
      </c>
      <c r="R74" s="162">
        <f t="shared" ca="1" si="1"/>
        <v>0.70592012924422709</v>
      </c>
      <c r="T74" s="537"/>
      <c r="U74" s="537"/>
      <c r="X74" s="627"/>
      <c r="Y74" s="627"/>
      <c r="Z74" s="627"/>
      <c r="AA74" s="632"/>
    </row>
    <row r="75" spans="2:27" ht="15" hidden="1" customHeight="1" outlineLevel="2" x14ac:dyDescent="0.25">
      <c r="B75" s="165"/>
      <c r="C75" s="106"/>
      <c r="D75" s="107"/>
      <c r="E75" s="108">
        <v>2</v>
      </c>
      <c r="F75" s="110" t="str">
        <f>+CONCATENATE($B$10,"",$C$72,"",$D$73,"00",E75)</f>
        <v>21.03.001.002</v>
      </c>
      <c r="G75" s="1009" t="s">
        <v>43</v>
      </c>
      <c r="H75" s="163">
        <f>+VLOOKUP(F75,matriz01,3,FALSE)</f>
        <v>10600.011</v>
      </c>
      <c r="I75" s="109">
        <f>+VLOOKUP(F75,matriz01,4,FALSE)</f>
        <v>13653.008</v>
      </c>
      <c r="J75" s="323">
        <f ca="1">+VLOOKUP(F75,matriz01,5,FALSE)</f>
        <v>10650.315999999999</v>
      </c>
      <c r="K75" s="256">
        <f t="shared" ca="1" si="0"/>
        <v>0.78007102903623871</v>
      </c>
      <c r="L75" s="1111">
        <f>INDEX(coincidenciaP01,MATCH(F75,indicep01,0),7)</f>
        <v>10650.316000000001</v>
      </c>
      <c r="M75" s="256">
        <f t="shared" si="2"/>
        <v>0.78007102903623882</v>
      </c>
      <c r="N75" s="257">
        <f>INDEX(coincidenciaP01,MATCH(F75,indicep01,0),9)</f>
        <v>3002.692</v>
      </c>
      <c r="O75" s="162">
        <f t="shared" si="3"/>
        <v>0.21992897096376124</v>
      </c>
      <c r="P75" s="164">
        <f>+'Prog 01'!Q75</f>
        <v>12809.15</v>
      </c>
      <c r="Q75" s="109">
        <f ca="1">+'Prog 01'!R75</f>
        <v>9546.5978409999989</v>
      </c>
      <c r="R75" s="162">
        <f t="shared" ca="1" si="1"/>
        <v>0.74529518672199169</v>
      </c>
      <c r="T75" s="537"/>
      <c r="U75" s="537"/>
      <c r="X75" s="627"/>
      <c r="Y75" s="627"/>
      <c r="Z75" s="627"/>
      <c r="AA75" s="632"/>
    </row>
    <row r="76" spans="2:27" ht="15" hidden="1" customHeight="1" outlineLevel="2" x14ac:dyDescent="0.25">
      <c r="B76" s="165"/>
      <c r="C76" s="106"/>
      <c r="D76" s="112" t="s">
        <v>333</v>
      </c>
      <c r="E76" s="108"/>
      <c r="F76" s="110" t="str">
        <f>+CONCATENATE($B$10,"",$C$72,D76)</f>
        <v>21.03.005</v>
      </c>
      <c r="G76" s="1009" t="s">
        <v>332</v>
      </c>
      <c r="H76" s="163">
        <f>+'Prog 01'!I76</f>
        <v>37466.343000000001</v>
      </c>
      <c r="I76" s="109">
        <f>+'Prog 01'!J76</f>
        <v>37466.343000000001</v>
      </c>
      <c r="J76" s="323">
        <f ca="1">+'Prog 01'!K76</f>
        <v>22556.112000000001</v>
      </c>
      <c r="K76" s="256">
        <f t="shared" ref="K76:K139" ca="1" si="21">IFERROR(J76/I76,"0.00%")</f>
        <v>0.60203665994303213</v>
      </c>
      <c r="L76" s="1005">
        <f>+'Prog 01'!M76</f>
        <v>22556.112000000001</v>
      </c>
      <c r="M76" s="256">
        <f t="shared" si="2"/>
        <v>0.60203665994303213</v>
      </c>
      <c r="N76" s="257">
        <f>+'Prog 01'!O76</f>
        <v>14910.231</v>
      </c>
      <c r="O76" s="162">
        <f t="shared" si="3"/>
        <v>0.39796334005696793</v>
      </c>
      <c r="P76" s="164">
        <f>+'Prog 01'!Q76</f>
        <v>34576.528403999997</v>
      </c>
      <c r="Q76" s="109">
        <f ca="1">+'Prog 01'!R76</f>
        <v>17357.920466</v>
      </c>
      <c r="R76" s="162">
        <f t="shared" ref="R76:R139" ca="1" si="22">IFERROR(Q76/P76,"0.00%")</f>
        <v>0.50201455343307233</v>
      </c>
      <c r="T76" s="537"/>
      <c r="U76" s="537"/>
      <c r="X76" s="627"/>
      <c r="Y76" s="627"/>
      <c r="Z76" s="627"/>
      <c r="AA76" s="632"/>
    </row>
    <row r="77" spans="2:27" ht="15" hidden="1" customHeight="1" outlineLevel="2" x14ac:dyDescent="0.25">
      <c r="B77" s="165"/>
      <c r="C77" s="106"/>
      <c r="D77" s="702"/>
      <c r="E77" s="327"/>
      <c r="F77" s="478" t="s">
        <v>885</v>
      </c>
      <c r="G77" s="767" t="s">
        <v>318</v>
      </c>
      <c r="H77" s="331">
        <f>+'Prog 01'!I77</f>
        <v>0</v>
      </c>
      <c r="I77" s="109">
        <f>+'Prog 01'!J77</f>
        <v>420</v>
      </c>
      <c r="J77" s="323">
        <f ca="1">+'Prog 01'!K77</f>
        <v>320</v>
      </c>
      <c r="K77" s="256">
        <f t="shared" ca="1" si="21"/>
        <v>0.76190476190476186</v>
      </c>
      <c r="L77" s="1006">
        <f>+'Prog 01'!M77</f>
        <v>320</v>
      </c>
      <c r="M77" s="256">
        <f t="shared" ref="M77:M140" si="23">+IFERROR(L77/I77,0)</f>
        <v>0.76190476190476186</v>
      </c>
      <c r="N77" s="109">
        <f>+'Prog 01'!O77</f>
        <v>100</v>
      </c>
      <c r="O77" s="162">
        <f t="shared" ref="O77:O140" si="24">+IFERROR(N77/I77,0)</f>
        <v>0.23809523809523808</v>
      </c>
      <c r="P77" s="164">
        <f>+'Prog 01'!Q77</f>
        <v>612.28800000000001</v>
      </c>
      <c r="Q77" s="109">
        <f ca="1">+'Prog 01'!R77</f>
        <v>420.94799999999998</v>
      </c>
      <c r="R77" s="162">
        <f t="shared" ca="1" si="22"/>
        <v>0.6875</v>
      </c>
      <c r="T77" s="537"/>
      <c r="U77" s="537"/>
      <c r="X77" s="627"/>
      <c r="Y77" s="627"/>
      <c r="Z77" s="627"/>
      <c r="AA77" s="632"/>
    </row>
    <row r="78" spans="2:27" ht="15" customHeight="1" collapsed="1" x14ac:dyDescent="0.25">
      <c r="B78" s="165">
        <v>22</v>
      </c>
      <c r="C78" s="106"/>
      <c r="D78" s="107"/>
      <c r="E78" s="108"/>
      <c r="F78" s="108"/>
      <c r="G78" s="1008" t="s">
        <v>15</v>
      </c>
      <c r="H78" s="163">
        <f>+H79+H83+H85+H98+H107+H115+H118+H125+H130+H133+H138</f>
        <v>2322767.9980000001</v>
      </c>
      <c r="I78" s="109">
        <f>+I79+I83+I85+I98+I107+I115+I118+I125+I130+I133+I138</f>
        <v>4638697</v>
      </c>
      <c r="J78" s="109">
        <f ca="1">+J79+J83+J85+J98+J107+J115+J118+J125+J130+J133+J138</f>
        <v>2534536.1550000003</v>
      </c>
      <c r="K78" s="256">
        <f t="shared" ca="1" si="21"/>
        <v>0.54638967688555651</v>
      </c>
      <c r="L78" s="1005">
        <f>+L79+L83+L85+L98+L107+L115+L118+L125+L130+L133+L138</f>
        <v>3834470.8649999998</v>
      </c>
      <c r="M78" s="256">
        <f t="shared" si="23"/>
        <v>0.82662671543323474</v>
      </c>
      <c r="N78" s="109">
        <f>+N79+N83+N85+N98+N107+N115+N118+N125+N130+N133+N138</f>
        <v>804226.13500000001</v>
      </c>
      <c r="O78" s="162">
        <f t="shared" si="24"/>
        <v>0.17337328456676521</v>
      </c>
      <c r="P78" s="163">
        <f>+P79+P83+P85+P98+P107+P115+P118+P125+P130+P133+P138</f>
        <v>2305947.8290000004</v>
      </c>
      <c r="Q78" s="109">
        <f ca="1">+Q79+Q83+Q85+Q98+Q107+Q115+Q118+Q125+Q130+Q133+Q138</f>
        <v>1766205.255779</v>
      </c>
      <c r="R78" s="162">
        <f t="shared" ca="1" si="22"/>
        <v>0.76593461203540514</v>
      </c>
      <c r="T78" s="537"/>
      <c r="U78" s="537"/>
      <c r="V78" s="634"/>
      <c r="W78" s="634"/>
      <c r="X78" s="627"/>
      <c r="Y78" s="627"/>
      <c r="Z78" s="627"/>
      <c r="AA78" s="632"/>
    </row>
    <row r="79" spans="2:27" ht="15" hidden="1" customHeight="1" outlineLevel="1" x14ac:dyDescent="0.25">
      <c r="B79" s="165"/>
      <c r="C79" s="106" t="s">
        <v>164</v>
      </c>
      <c r="D79" s="107"/>
      <c r="E79" s="108"/>
      <c r="F79" s="108"/>
      <c r="G79" s="1008" t="s">
        <v>44</v>
      </c>
      <c r="H79" s="163">
        <f>+H81+H82</f>
        <v>21440</v>
      </c>
      <c r="I79" s="109">
        <f>+I81+I82+I80</f>
        <v>30971.743999999999</v>
      </c>
      <c r="J79" s="323">
        <f ca="1">+J81+J82+J80</f>
        <v>29104.263999999996</v>
      </c>
      <c r="K79" s="256">
        <f t="shared" ca="1" si="21"/>
        <v>0.93970375061862832</v>
      </c>
      <c r="L79" s="1005">
        <f>+L81+L82+L80</f>
        <v>30971.736000000001</v>
      </c>
      <c r="M79" s="256">
        <f t="shared" si="23"/>
        <v>0.99999974170004768</v>
      </c>
      <c r="N79" s="257">
        <f>+N81+N82</f>
        <v>8.0000000000000002E-3</v>
      </c>
      <c r="O79" s="162">
        <f t="shared" si="24"/>
        <v>2.5829995236948881E-7</v>
      </c>
      <c r="P79" s="163">
        <f>+P81+P82+P80</f>
        <v>20200.265535999999</v>
      </c>
      <c r="Q79" s="109">
        <f ca="1">+Q81+Q82</f>
        <v>9040.7001959999998</v>
      </c>
      <c r="R79" s="162">
        <f t="shared" ca="1" si="22"/>
        <v>0.44755353239728818</v>
      </c>
      <c r="T79" s="537"/>
      <c r="U79" s="537"/>
      <c r="X79" s="627"/>
      <c r="Y79" s="627"/>
      <c r="Z79" s="627"/>
      <c r="AA79" s="632"/>
    </row>
    <row r="80" spans="2:27" ht="15" hidden="1" customHeight="1" outlineLevel="1" x14ac:dyDescent="0.25">
      <c r="B80" s="165"/>
      <c r="C80" s="106"/>
      <c r="D80" s="107" t="s">
        <v>169</v>
      </c>
      <c r="E80" s="108"/>
      <c r="F80" s="110" t="str">
        <f>+CONCATENATE($B$78,"",$C$79,"",D80)</f>
        <v>22.02.001</v>
      </c>
      <c r="G80" s="1008" t="s">
        <v>475</v>
      </c>
      <c r="H80" s="163">
        <f>+VLOOKUP(F80,matriz01,3,FALSE)</f>
        <v>0</v>
      </c>
      <c r="I80" s="109">
        <f>+VLOOKUP(F80,matriz01,4,FALSE)</f>
        <v>0</v>
      </c>
      <c r="J80" s="323">
        <f ca="1">+VLOOKUP(F80,matriz01,5,FALSE)</f>
        <v>0</v>
      </c>
      <c r="K80" s="256" t="str">
        <f t="shared" ca="1" si="21"/>
        <v>0.00%</v>
      </c>
      <c r="L80" s="1111">
        <f>INDEX(coincidenciaP01,MATCH(F80,indicep01,0),7)</f>
        <v>0</v>
      </c>
      <c r="M80" s="256">
        <f t="shared" si="23"/>
        <v>0</v>
      </c>
      <c r="N80" s="109">
        <f>INDEX(coincidenciaP01,MATCH(F80,indicep01,0),9)</f>
        <v>0</v>
      </c>
      <c r="O80" s="162">
        <f t="shared" si="24"/>
        <v>0</v>
      </c>
      <c r="P80" s="163">
        <f>+'Prog 01'!Q80</f>
        <v>382.02094</v>
      </c>
      <c r="Q80" s="109">
        <v>0</v>
      </c>
      <c r="R80" s="162">
        <f t="shared" si="22"/>
        <v>0</v>
      </c>
      <c r="T80" s="537"/>
      <c r="U80" s="537"/>
      <c r="X80" s="627"/>
      <c r="Y80" s="627"/>
      <c r="Z80" s="627"/>
      <c r="AA80" s="632"/>
    </row>
    <row r="81" spans="2:27" ht="15" hidden="1" customHeight="1" outlineLevel="2" x14ac:dyDescent="0.25">
      <c r="B81" s="165"/>
      <c r="C81" s="106"/>
      <c r="D81" s="107" t="s">
        <v>165</v>
      </c>
      <c r="E81" s="108"/>
      <c r="F81" s="110" t="str">
        <f>+CONCATENATE($B$78,"",$C$79,"",D81)</f>
        <v>22.02.002</v>
      </c>
      <c r="G81" s="1009" t="s">
        <v>45</v>
      </c>
      <c r="H81" s="163">
        <f>+VLOOKUP(F81,matriz01,3,FALSE)</f>
        <v>18040</v>
      </c>
      <c r="I81" s="109">
        <f>+VLOOKUP(F81,matriz01,4,FALSE)</f>
        <v>22047.844000000001</v>
      </c>
      <c r="J81" s="323">
        <f ca="1">+VLOOKUP(F81,matriz01,5,FALSE)</f>
        <v>20180.367999999999</v>
      </c>
      <c r="K81" s="256">
        <f t="shared" ca="1" si="21"/>
        <v>0.91529892900185605</v>
      </c>
      <c r="L81" s="1111">
        <f>INDEX(coincidenciaP01,MATCH(F81,indicep01,0),7)</f>
        <v>22047.84</v>
      </c>
      <c r="M81" s="256">
        <f t="shared" si="23"/>
        <v>0.99999981857636511</v>
      </c>
      <c r="N81" s="257">
        <f>INDEX(coincidenciaP01,MATCH(F81,indicep01,0),9)</f>
        <v>4.0000000000000001E-3</v>
      </c>
      <c r="O81" s="162">
        <f t="shared" si="24"/>
        <v>1.8142363489146604E-7</v>
      </c>
      <c r="P81" s="164">
        <f>+'Prog 01'!Q81</f>
        <v>18176.547396000002</v>
      </c>
      <c r="Q81" s="109">
        <f ca="1">+'Prog 01'!R81</f>
        <v>7399.0029960000002</v>
      </c>
      <c r="R81" s="162">
        <f t="shared" ca="1" si="22"/>
        <v>0.40706316963298828</v>
      </c>
      <c r="T81" s="537"/>
      <c r="U81" s="537"/>
      <c r="X81" s="627"/>
      <c r="Y81" s="627"/>
      <c r="Z81" s="627"/>
      <c r="AA81" s="632"/>
    </row>
    <row r="82" spans="2:27" ht="15" hidden="1" customHeight="1" outlineLevel="2" x14ac:dyDescent="0.25">
      <c r="B82" s="165"/>
      <c r="C82" s="106"/>
      <c r="D82" s="107" t="s">
        <v>166</v>
      </c>
      <c r="E82" s="108"/>
      <c r="F82" s="110" t="str">
        <f>+CONCATENATE($B$78,"",$C$79,"",D82)</f>
        <v>22.02.003</v>
      </c>
      <c r="G82" s="1009" t="s">
        <v>126</v>
      </c>
      <c r="H82" s="163">
        <f>+VLOOKUP(F82,matriz01,3,FALSE)</f>
        <v>3400</v>
      </c>
      <c r="I82" s="109">
        <f>+VLOOKUP(F82,matriz01,4,FALSE)</f>
        <v>8923.9</v>
      </c>
      <c r="J82" s="323">
        <f ca="1">+VLOOKUP(F82,matriz01,5,FALSE)</f>
        <v>8923.8959999999988</v>
      </c>
      <c r="K82" s="256">
        <f t="shared" ca="1" si="21"/>
        <v>0.99999955176548361</v>
      </c>
      <c r="L82" s="1111">
        <f>INDEX(coincidenciaP01,MATCH(F82,indicep01,0),7)</f>
        <v>8923.8960000000006</v>
      </c>
      <c r="M82" s="256">
        <f t="shared" si="23"/>
        <v>0.99999955176548383</v>
      </c>
      <c r="N82" s="109">
        <f>INDEX(coincidenciaP01,MATCH(F82,indicep01,0),9)</f>
        <v>4.0000000000000001E-3</v>
      </c>
      <c r="O82" s="162">
        <f t="shared" si="24"/>
        <v>4.4823451629892762E-7</v>
      </c>
      <c r="P82" s="164">
        <f>+'Prog 01'!Q82</f>
        <v>1641.6972000000001</v>
      </c>
      <c r="Q82" s="109">
        <f ca="1">+'Prog 01'!R82</f>
        <v>1641.6972000000001</v>
      </c>
      <c r="R82" s="162">
        <f t="shared" ca="1" si="22"/>
        <v>1</v>
      </c>
      <c r="T82" s="537"/>
      <c r="U82" s="537"/>
      <c r="X82" s="627"/>
      <c r="Y82" s="627"/>
      <c r="Z82" s="627"/>
      <c r="AA82" s="632"/>
    </row>
    <row r="83" spans="2:27" s="155" customFormat="1" ht="15" hidden="1" customHeight="1" outlineLevel="1" x14ac:dyDescent="0.25">
      <c r="B83" s="165"/>
      <c r="C83" s="106" t="s">
        <v>167</v>
      </c>
      <c r="D83" s="107"/>
      <c r="E83" s="108"/>
      <c r="F83" s="108"/>
      <c r="G83" s="1008" t="s">
        <v>46</v>
      </c>
      <c r="H83" s="163">
        <f>+H84</f>
        <v>0</v>
      </c>
      <c r="I83" s="109">
        <f>+I84</f>
        <v>70000</v>
      </c>
      <c r="J83" s="323">
        <f ca="1">+J84</f>
        <v>70000</v>
      </c>
      <c r="K83" s="256">
        <f t="shared" ca="1" si="21"/>
        <v>1</v>
      </c>
      <c r="L83" s="109">
        <f>+L84</f>
        <v>70000</v>
      </c>
      <c r="M83" s="256">
        <f t="shared" si="23"/>
        <v>1</v>
      </c>
      <c r="N83" s="109">
        <f>+N84</f>
        <v>0</v>
      </c>
      <c r="O83" s="162">
        <f t="shared" si="24"/>
        <v>0</v>
      </c>
      <c r="P83" s="163">
        <f>+P84</f>
        <v>31890</v>
      </c>
      <c r="Q83" s="109">
        <f ca="1">+Q84</f>
        <v>31890</v>
      </c>
      <c r="R83" s="162">
        <f t="shared" ca="1" si="22"/>
        <v>1</v>
      </c>
      <c r="S83" s="154"/>
      <c r="T83" s="537"/>
      <c r="U83" s="537"/>
      <c r="V83" s="628"/>
      <c r="W83" s="628"/>
      <c r="X83" s="627"/>
      <c r="Y83" s="627"/>
      <c r="Z83" s="627"/>
      <c r="AA83" s="632"/>
    </row>
    <row r="84" spans="2:27" ht="15" hidden="1" customHeight="1" outlineLevel="2" x14ac:dyDescent="0.25">
      <c r="B84" s="165"/>
      <c r="C84" s="106"/>
      <c r="D84" s="107" t="s">
        <v>169</v>
      </c>
      <c r="E84" s="108"/>
      <c r="F84" s="110" t="str">
        <f>+CONCATENATE($B$78,"",$C$83,"",D84)</f>
        <v>22.03.001</v>
      </c>
      <c r="G84" s="1009" t="s">
        <v>103</v>
      </c>
      <c r="H84" s="163">
        <f>+VLOOKUP(F84,matriz01,3,FALSE)</f>
        <v>0</v>
      </c>
      <c r="I84" s="109">
        <f>+VLOOKUP(F84,matriz01,4,FALSE)</f>
        <v>70000</v>
      </c>
      <c r="J84" s="323">
        <f ca="1">+VLOOKUP(F84,matriz01,5,FALSE)</f>
        <v>70000</v>
      </c>
      <c r="K84" s="256">
        <f t="shared" ca="1" si="21"/>
        <v>1</v>
      </c>
      <c r="L84" s="109">
        <f>INDEX(coincidenciaP01,MATCH(F84,indicep01,0),7)</f>
        <v>70000</v>
      </c>
      <c r="M84" s="256">
        <f t="shared" si="23"/>
        <v>1</v>
      </c>
      <c r="N84" s="109">
        <f>INDEX(coincidenciaP01,MATCH(F84,indicep01,0),9)</f>
        <v>0</v>
      </c>
      <c r="O84" s="162">
        <f t="shared" si="24"/>
        <v>0</v>
      </c>
      <c r="P84" s="164">
        <f>+'Prog 01'!Q84</f>
        <v>31890</v>
      </c>
      <c r="Q84" s="109">
        <f ca="1">+'Prog 01'!R84</f>
        <v>31890</v>
      </c>
      <c r="R84" s="162">
        <f t="shared" ca="1" si="22"/>
        <v>1</v>
      </c>
      <c r="T84" s="537"/>
      <c r="U84" s="537"/>
      <c r="X84" s="627"/>
      <c r="Y84" s="627"/>
      <c r="Z84" s="627"/>
      <c r="AA84" s="632"/>
    </row>
    <row r="85" spans="2:27" s="155" customFormat="1" ht="15" hidden="1" customHeight="1" outlineLevel="1" x14ac:dyDescent="0.25">
      <c r="B85" s="165"/>
      <c r="C85" s="106" t="s">
        <v>168</v>
      </c>
      <c r="D85" s="107"/>
      <c r="E85" s="108"/>
      <c r="F85" s="108"/>
      <c r="G85" s="1008" t="s">
        <v>47</v>
      </c>
      <c r="H85" s="163">
        <f>SUM(H86:H97)</f>
        <v>17964.188000000002</v>
      </c>
      <c r="I85" s="109">
        <f>SUM(I86:I97)</f>
        <v>73818.565000000002</v>
      </c>
      <c r="J85" s="109">
        <f ca="1">SUM(J86:J97)</f>
        <v>58422.126999999993</v>
      </c>
      <c r="K85" s="256">
        <f t="shared" ca="1" si="21"/>
        <v>0.79142864670967239</v>
      </c>
      <c r="L85" s="109">
        <f>SUM(L86:L97)</f>
        <v>61378.046000000002</v>
      </c>
      <c r="M85" s="256">
        <f t="shared" si="23"/>
        <v>0.83147167653557075</v>
      </c>
      <c r="N85" s="109">
        <f>SUM(N86:N97)</f>
        <v>12440.519</v>
      </c>
      <c r="O85" s="162">
        <f t="shared" si="24"/>
        <v>0.16852832346442931</v>
      </c>
      <c r="P85" s="163">
        <f>SUM(P86:P97)</f>
        <v>52582.116698999991</v>
      </c>
      <c r="Q85" s="109">
        <f ca="1">SUM(Q86:Q97)</f>
        <v>48011.278352999987</v>
      </c>
      <c r="R85" s="162">
        <f t="shared" ca="1" si="22"/>
        <v>0.91307237834936883</v>
      </c>
      <c r="S85" s="154"/>
      <c r="T85" s="537"/>
      <c r="U85" s="537"/>
      <c r="V85" s="628"/>
      <c r="W85" s="628"/>
      <c r="X85" s="627"/>
      <c r="Y85" s="627"/>
      <c r="Z85" s="627"/>
      <c r="AA85" s="632"/>
    </row>
    <row r="86" spans="2:27" ht="15" hidden="1" customHeight="1" outlineLevel="2" x14ac:dyDescent="0.25">
      <c r="B86" s="165"/>
      <c r="C86" s="106"/>
      <c r="D86" s="107" t="s">
        <v>169</v>
      </c>
      <c r="E86" s="108"/>
      <c r="F86" s="110" t="str">
        <f t="shared" ref="F86:F97" si="25">+CONCATENATE($B$78,"",$C$85,"",D86)</f>
        <v>22.04.001</v>
      </c>
      <c r="G86" s="1009" t="s">
        <v>104</v>
      </c>
      <c r="H86" s="163">
        <f t="shared" ref="H86:H97" si="26">+VLOOKUP(F86,matriz01,3,FALSE)</f>
        <v>3403.8980000000001</v>
      </c>
      <c r="I86" s="109">
        <f t="shared" ref="I86:I97" si="27">+VLOOKUP(F86,matriz01,4,FALSE)</f>
        <v>12073.163</v>
      </c>
      <c r="J86" s="109">
        <f ca="1">+VLOOKUP(F86,matriz01,5,FALSE)</f>
        <v>10866.575000000001</v>
      </c>
      <c r="K86" s="256">
        <f t="shared" ca="1" si="21"/>
        <v>0.90006032387701551</v>
      </c>
      <c r="L86" s="109">
        <f t="shared" ref="L86:L97" si="28">INDEX(coincidenciaP01,MATCH(F86,indicep01,0),7)</f>
        <v>12073.163</v>
      </c>
      <c r="M86" s="256">
        <f t="shared" si="23"/>
        <v>1</v>
      </c>
      <c r="N86" s="109">
        <f t="shared" ref="N86:N97" si="29">INDEX(coincidenciaP01,MATCH(F86,indicep01,0),9)</f>
        <v>0</v>
      </c>
      <c r="O86" s="162">
        <f t="shared" si="24"/>
        <v>0</v>
      </c>
      <c r="P86" s="164">
        <f>+'Prog 01'!Q86</f>
        <v>5470.430797</v>
      </c>
      <c r="Q86" s="109">
        <f ca="1">+'Prog 01'!R86</f>
        <v>4756.9866540000003</v>
      </c>
      <c r="R86" s="162">
        <f t="shared" ca="1" si="22"/>
        <v>0.86958172592344019</v>
      </c>
      <c r="T86" s="537"/>
      <c r="U86" s="537"/>
      <c r="X86" s="627"/>
      <c r="Y86" s="627"/>
      <c r="Z86" s="627"/>
      <c r="AA86" s="632"/>
    </row>
    <row r="87" spans="2:27" ht="15" hidden="1" customHeight="1" outlineLevel="2" x14ac:dyDescent="0.25">
      <c r="B87" s="165"/>
      <c r="C87" s="106"/>
      <c r="D87" s="107" t="s">
        <v>166</v>
      </c>
      <c r="E87" s="108"/>
      <c r="F87" s="110" t="str">
        <f t="shared" si="25"/>
        <v>22.04.003</v>
      </c>
      <c r="G87" s="1009" t="s">
        <v>207</v>
      </c>
      <c r="H87" s="163">
        <f>+'Prog 01'!I87</f>
        <v>0</v>
      </c>
      <c r="I87" s="109">
        <f>+'Prog 01'!J87</f>
        <v>0</v>
      </c>
      <c r="J87" s="109">
        <f ca="1">+VLOOKUP(F87,matriz01,5,FALSE)</f>
        <v>0</v>
      </c>
      <c r="K87" s="256" t="str">
        <f t="shared" ca="1" si="21"/>
        <v>0.00%</v>
      </c>
      <c r="L87" s="109">
        <f t="shared" si="28"/>
        <v>0</v>
      </c>
      <c r="M87" s="256">
        <f t="shared" si="23"/>
        <v>0</v>
      </c>
      <c r="N87" s="109">
        <f t="shared" si="29"/>
        <v>0</v>
      </c>
      <c r="O87" s="162">
        <f t="shared" si="24"/>
        <v>0</v>
      </c>
      <c r="P87" s="164">
        <f>+'Prog 01'!Q87</f>
        <v>229.70366999999999</v>
      </c>
      <c r="Q87" s="109">
        <f ca="1">+'Prog 01'!R87</f>
        <v>229.69304</v>
      </c>
      <c r="R87" s="162">
        <f t="shared" ca="1" si="22"/>
        <v>0.99995372298579299</v>
      </c>
      <c r="T87" s="537"/>
      <c r="U87" s="537"/>
      <c r="X87" s="627"/>
      <c r="Y87" s="627"/>
      <c r="Z87" s="627"/>
      <c r="AA87" s="632"/>
    </row>
    <row r="88" spans="2:27" ht="15" hidden="1" customHeight="1" outlineLevel="2" x14ac:dyDescent="0.25">
      <c r="B88" s="165"/>
      <c r="C88" s="106"/>
      <c r="D88" s="107" t="s">
        <v>179</v>
      </c>
      <c r="E88" s="108"/>
      <c r="F88" s="110" t="s">
        <v>883</v>
      </c>
      <c r="G88" s="1009" t="s">
        <v>884</v>
      </c>
      <c r="H88" s="163">
        <v>0</v>
      </c>
      <c r="I88" s="109">
        <f>+'Prog 01'!J88</f>
        <v>0</v>
      </c>
      <c r="J88" s="109">
        <f ca="1">+VLOOKUP(F88,matriz01,5,FALSE)</f>
        <v>0</v>
      </c>
      <c r="K88" s="256" t="str">
        <f t="shared" ca="1" si="21"/>
        <v>0.00%</v>
      </c>
      <c r="L88" s="109">
        <f t="shared" si="28"/>
        <v>0</v>
      </c>
      <c r="M88" s="256">
        <f t="shared" si="23"/>
        <v>0</v>
      </c>
      <c r="N88" s="109">
        <v>0</v>
      </c>
      <c r="O88" s="162">
        <f t="shared" si="24"/>
        <v>0</v>
      </c>
      <c r="P88" s="164">
        <f>+'Prog 01'!Q88</f>
        <v>9.9390499999999999</v>
      </c>
      <c r="Q88" s="109">
        <f ca="1">+'Prog 01'!R88</f>
        <v>9.9390499999999999</v>
      </c>
      <c r="R88" s="162">
        <f t="shared" ca="1" si="22"/>
        <v>1</v>
      </c>
      <c r="T88" s="537"/>
      <c r="U88" s="537"/>
      <c r="X88" s="627"/>
      <c r="Y88" s="627"/>
      <c r="Z88" s="627"/>
      <c r="AA88" s="632"/>
    </row>
    <row r="89" spans="2:27" ht="15" hidden="1" customHeight="1" outlineLevel="2" x14ac:dyDescent="0.25">
      <c r="B89" s="165"/>
      <c r="C89" s="106"/>
      <c r="D89" s="113" t="s">
        <v>180</v>
      </c>
      <c r="E89" s="108"/>
      <c r="F89" s="110" t="str">
        <f t="shared" si="25"/>
        <v>22.04.005</v>
      </c>
      <c r="G89" s="1010" t="s">
        <v>334</v>
      </c>
      <c r="H89" s="163">
        <f>+'Prog 01'!I89</f>
        <v>0</v>
      </c>
      <c r="I89" s="109">
        <f>+'Prog 01'!J89</f>
        <v>2507.047</v>
      </c>
      <c r="J89" s="109">
        <f ca="1">+'Prog 01'!K89</f>
        <v>2507.047</v>
      </c>
      <c r="K89" s="256">
        <f t="shared" ca="1" si="21"/>
        <v>1</v>
      </c>
      <c r="L89" s="109">
        <f t="shared" si="28"/>
        <v>2507.047</v>
      </c>
      <c r="M89" s="256">
        <f t="shared" si="23"/>
        <v>1</v>
      </c>
      <c r="N89" s="109">
        <f t="shared" si="29"/>
        <v>0</v>
      </c>
      <c r="O89" s="162">
        <f t="shared" si="24"/>
        <v>0</v>
      </c>
      <c r="P89" s="164">
        <f>+'Prog 01'!Q89</f>
        <v>5891.0418259999997</v>
      </c>
      <c r="Q89" s="109">
        <f ca="1">+'Prog 01'!R89</f>
        <v>5765.9160959999999</v>
      </c>
      <c r="R89" s="162">
        <f t="shared" ca="1" si="22"/>
        <v>0.97875999972572603</v>
      </c>
      <c r="T89" s="537"/>
      <c r="U89" s="537"/>
      <c r="X89" s="627"/>
      <c r="Y89" s="627"/>
      <c r="Z89" s="627"/>
      <c r="AA89" s="632"/>
    </row>
    <row r="90" spans="2:27" ht="15" hidden="1" customHeight="1" outlineLevel="2" x14ac:dyDescent="0.25">
      <c r="B90" s="165"/>
      <c r="C90" s="106"/>
      <c r="D90" s="107" t="s">
        <v>170</v>
      </c>
      <c r="E90" s="108"/>
      <c r="F90" s="110" t="str">
        <f t="shared" si="25"/>
        <v>22.04.007</v>
      </c>
      <c r="G90" s="1009" t="s">
        <v>105</v>
      </c>
      <c r="H90" s="163">
        <f t="shared" si="26"/>
        <v>5237.07</v>
      </c>
      <c r="I90" s="109">
        <f t="shared" si="27"/>
        <v>26801.65</v>
      </c>
      <c r="J90" s="109">
        <f t="shared" ref="J90:J97" ca="1" si="30">+VLOOKUP(F90,matriz01,5,FALSE)</f>
        <v>26801.649999999994</v>
      </c>
      <c r="K90" s="256">
        <f t="shared" ca="1" si="21"/>
        <v>0.99999999999999978</v>
      </c>
      <c r="L90" s="109">
        <f t="shared" si="28"/>
        <v>26801.65</v>
      </c>
      <c r="M90" s="256">
        <f t="shared" si="23"/>
        <v>1</v>
      </c>
      <c r="N90" s="109">
        <f t="shared" si="29"/>
        <v>0</v>
      </c>
      <c r="O90" s="162">
        <f t="shared" si="24"/>
        <v>0</v>
      </c>
      <c r="P90" s="164">
        <f>+'Prog 01'!Q90</f>
        <v>19994.485744000001</v>
      </c>
      <c r="Q90" s="109">
        <f ca="1">+'Prog 01'!R90</f>
        <v>18066.797960999997</v>
      </c>
      <c r="R90" s="162">
        <f t="shared" ca="1" si="22"/>
        <v>0.90358902911126526</v>
      </c>
      <c r="T90" s="537"/>
      <c r="U90" s="537"/>
      <c r="X90" s="627"/>
      <c r="Y90" s="627"/>
      <c r="Z90" s="627"/>
      <c r="AA90" s="632"/>
    </row>
    <row r="91" spans="2:27" ht="15" hidden="1" customHeight="1" outlineLevel="2" x14ac:dyDescent="0.25">
      <c r="B91" s="165"/>
      <c r="C91" s="106"/>
      <c r="D91" s="107" t="s">
        <v>171</v>
      </c>
      <c r="E91" s="108"/>
      <c r="F91" s="110" t="str">
        <f t="shared" si="25"/>
        <v>22.04.008</v>
      </c>
      <c r="G91" s="1009" t="s">
        <v>106</v>
      </c>
      <c r="H91" s="163">
        <f t="shared" si="26"/>
        <v>0</v>
      </c>
      <c r="I91" s="109">
        <f t="shared" si="27"/>
        <v>582.26700000000005</v>
      </c>
      <c r="J91" s="109">
        <f t="shared" ca="1" si="30"/>
        <v>582.26700000000005</v>
      </c>
      <c r="K91" s="256">
        <f t="shared" ca="1" si="21"/>
        <v>1</v>
      </c>
      <c r="L91" s="109">
        <f t="shared" si="28"/>
        <v>582.26700000000005</v>
      </c>
      <c r="M91" s="256">
        <f t="shared" si="23"/>
        <v>1</v>
      </c>
      <c r="N91" s="109">
        <f t="shared" si="29"/>
        <v>0</v>
      </c>
      <c r="O91" s="162">
        <f t="shared" si="24"/>
        <v>0</v>
      </c>
      <c r="P91" s="164">
        <f>+'Prog 01'!Q91</f>
        <v>0</v>
      </c>
      <c r="Q91" s="109">
        <f ca="1">+'Prog 01'!R91</f>
        <v>0</v>
      </c>
      <c r="R91" s="162" t="str">
        <f t="shared" ca="1" si="22"/>
        <v>0.00%</v>
      </c>
      <c r="T91" s="537"/>
      <c r="U91" s="537"/>
      <c r="X91" s="627"/>
      <c r="Y91" s="627"/>
      <c r="Z91" s="627"/>
      <c r="AA91" s="632"/>
    </row>
    <row r="92" spans="2:27" ht="15" hidden="1" customHeight="1" outlineLevel="2" x14ac:dyDescent="0.25">
      <c r="B92" s="165"/>
      <c r="C92" s="106"/>
      <c r="D92" s="107" t="s">
        <v>172</v>
      </c>
      <c r="E92" s="108"/>
      <c r="F92" s="110" t="str">
        <f t="shared" si="25"/>
        <v>22.04.009</v>
      </c>
      <c r="G92" s="1009" t="s">
        <v>48</v>
      </c>
      <c r="H92" s="163">
        <f t="shared" si="26"/>
        <v>3600</v>
      </c>
      <c r="I92" s="109">
        <f t="shared" si="27"/>
        <v>13898.135</v>
      </c>
      <c r="J92" s="109">
        <f t="shared" ca="1" si="30"/>
        <v>3296.1950000000002</v>
      </c>
      <c r="K92" s="256">
        <f t="shared" ca="1" si="21"/>
        <v>0.23716815241757258</v>
      </c>
      <c r="L92" s="109">
        <f t="shared" si="28"/>
        <v>4398.1350000000002</v>
      </c>
      <c r="M92" s="256">
        <f t="shared" si="23"/>
        <v>0.31645504954441728</v>
      </c>
      <c r="N92" s="109">
        <f t="shared" si="29"/>
        <v>9500</v>
      </c>
      <c r="O92" s="162">
        <f t="shared" si="24"/>
        <v>0.68354495045558272</v>
      </c>
      <c r="P92" s="164">
        <f>+'Prog 01'!Q92</f>
        <v>3085.4637999999995</v>
      </c>
      <c r="Q92" s="109">
        <f ca="1">+'Prog 01'!R92</f>
        <v>2059.061827</v>
      </c>
      <c r="R92" s="162">
        <f t="shared" ca="1" si="22"/>
        <v>0.66734272721008758</v>
      </c>
      <c r="T92" s="537"/>
      <c r="U92" s="537"/>
      <c r="X92" s="627"/>
      <c r="Y92" s="627"/>
      <c r="Z92" s="627"/>
      <c r="AA92" s="632"/>
    </row>
    <row r="93" spans="2:27" ht="15" hidden="1" customHeight="1" outlineLevel="2" x14ac:dyDescent="0.25">
      <c r="B93" s="165"/>
      <c r="C93" s="106"/>
      <c r="D93" s="107" t="s">
        <v>173</v>
      </c>
      <c r="E93" s="108"/>
      <c r="F93" s="110" t="str">
        <f t="shared" si="25"/>
        <v>22.04.010</v>
      </c>
      <c r="G93" s="1009" t="s">
        <v>49</v>
      </c>
      <c r="H93" s="163">
        <f t="shared" si="26"/>
        <v>500</v>
      </c>
      <c r="I93" s="109">
        <f t="shared" si="27"/>
        <v>0</v>
      </c>
      <c r="J93" s="109">
        <f t="shared" ca="1" si="30"/>
        <v>0</v>
      </c>
      <c r="K93" s="256" t="str">
        <f t="shared" ca="1" si="21"/>
        <v>0.00%</v>
      </c>
      <c r="L93" s="109">
        <f t="shared" si="28"/>
        <v>0</v>
      </c>
      <c r="M93" s="256">
        <f t="shared" si="23"/>
        <v>0</v>
      </c>
      <c r="N93" s="109">
        <f t="shared" si="29"/>
        <v>0</v>
      </c>
      <c r="O93" s="162">
        <f t="shared" si="24"/>
        <v>0</v>
      </c>
      <c r="P93" s="164">
        <f>+'Prog 01'!Q93</f>
        <v>350.47535199999999</v>
      </c>
      <c r="Q93" s="109">
        <f ca="1">+'Prog 01'!R93</f>
        <v>350.47535199999999</v>
      </c>
      <c r="R93" s="162">
        <f t="shared" ca="1" si="22"/>
        <v>1</v>
      </c>
      <c r="T93" s="537"/>
      <c r="U93" s="537"/>
      <c r="X93" s="627"/>
      <c r="Y93" s="627"/>
      <c r="Z93" s="627"/>
      <c r="AA93" s="632"/>
    </row>
    <row r="94" spans="2:27" ht="15" hidden="1" customHeight="1" outlineLevel="2" x14ac:dyDescent="0.25">
      <c r="B94" s="165"/>
      <c r="C94" s="106"/>
      <c r="D94" s="107" t="s">
        <v>174</v>
      </c>
      <c r="E94" s="108"/>
      <c r="F94" s="110" t="str">
        <f t="shared" si="25"/>
        <v>22.04.011</v>
      </c>
      <c r="G94" s="1009" t="s">
        <v>50</v>
      </c>
      <c r="H94" s="163">
        <f t="shared" si="26"/>
        <v>5147.8999999999996</v>
      </c>
      <c r="I94" s="109">
        <f t="shared" si="27"/>
        <v>6948.04</v>
      </c>
      <c r="J94" s="109">
        <f t="shared" ca="1" si="30"/>
        <v>4272.8060000000005</v>
      </c>
      <c r="K94" s="256">
        <f t="shared" ca="1" si="21"/>
        <v>0.61496565938019943</v>
      </c>
      <c r="L94" s="109">
        <f t="shared" si="28"/>
        <v>4272.8059999999996</v>
      </c>
      <c r="M94" s="256">
        <f t="shared" si="23"/>
        <v>0.6149656593801992</v>
      </c>
      <c r="N94" s="109">
        <f t="shared" si="29"/>
        <v>2675.2339999999999</v>
      </c>
      <c r="O94" s="162">
        <f t="shared" si="24"/>
        <v>0.38503434061980069</v>
      </c>
      <c r="P94" s="164">
        <f>+'Prog 01'!Q94</f>
        <v>3270.3917839999999</v>
      </c>
      <c r="Q94" s="109">
        <f ca="1">+'Prog 01'!R94</f>
        <v>2670.9639579999998</v>
      </c>
      <c r="R94" s="162">
        <f t="shared" ca="1" si="22"/>
        <v>0.81671069841459698</v>
      </c>
      <c r="T94" s="537"/>
      <c r="U94" s="537"/>
      <c r="X94" s="627"/>
      <c r="Y94" s="627"/>
      <c r="Z94" s="627"/>
      <c r="AA94" s="632"/>
    </row>
    <row r="95" spans="2:27" ht="15" hidden="1" customHeight="1" outlineLevel="2" x14ac:dyDescent="0.25">
      <c r="B95" s="165"/>
      <c r="C95" s="106"/>
      <c r="D95" s="107" t="s">
        <v>175</v>
      </c>
      <c r="E95" s="108"/>
      <c r="F95" s="110" t="str">
        <f t="shared" si="25"/>
        <v>22.04.012</v>
      </c>
      <c r="G95" s="1009" t="s">
        <v>107</v>
      </c>
      <c r="H95" s="163">
        <f t="shared" si="26"/>
        <v>0</v>
      </c>
      <c r="I95" s="109">
        <f t="shared" si="27"/>
        <v>715.428</v>
      </c>
      <c r="J95" s="109">
        <f t="shared" ca="1" si="30"/>
        <v>715.428</v>
      </c>
      <c r="K95" s="256">
        <f t="shared" ca="1" si="21"/>
        <v>1</v>
      </c>
      <c r="L95" s="109">
        <f t="shared" si="28"/>
        <v>715.428</v>
      </c>
      <c r="M95" s="256">
        <f t="shared" si="23"/>
        <v>1</v>
      </c>
      <c r="N95" s="109">
        <f t="shared" si="29"/>
        <v>0</v>
      </c>
      <c r="O95" s="162">
        <f t="shared" si="24"/>
        <v>0</v>
      </c>
      <c r="P95" s="164">
        <f>+'Prog 01'!Q95</f>
        <v>1781.5582359999999</v>
      </c>
      <c r="Q95" s="109">
        <f ca="1">+'Prog 01'!R95</f>
        <v>1602.8179749999997</v>
      </c>
      <c r="R95" s="162">
        <f t="shared" ca="1" si="22"/>
        <v>0.89967195156004987</v>
      </c>
      <c r="T95" s="537"/>
      <c r="U95" s="537"/>
      <c r="X95" s="627"/>
      <c r="Y95" s="627"/>
      <c r="Z95" s="627"/>
      <c r="AA95" s="632"/>
    </row>
    <row r="96" spans="2:27" ht="15" hidden="1" customHeight="1" outlineLevel="2" x14ac:dyDescent="0.25">
      <c r="B96" s="165"/>
      <c r="C96" s="106"/>
      <c r="D96" s="107" t="s">
        <v>176</v>
      </c>
      <c r="E96" s="108"/>
      <c r="F96" s="110" t="str">
        <f t="shared" si="25"/>
        <v>22.04.013</v>
      </c>
      <c r="G96" s="1009" t="s">
        <v>108</v>
      </c>
      <c r="H96" s="163">
        <f t="shared" si="26"/>
        <v>40</v>
      </c>
      <c r="I96" s="109">
        <f t="shared" si="27"/>
        <v>9939.4050000000007</v>
      </c>
      <c r="J96" s="109">
        <f t="shared" ca="1" si="30"/>
        <v>9380.1590000000015</v>
      </c>
      <c r="K96" s="256">
        <f t="shared" ca="1" si="21"/>
        <v>0.94373445895403207</v>
      </c>
      <c r="L96" s="109">
        <f t="shared" si="28"/>
        <v>9674.1200000000008</v>
      </c>
      <c r="M96" s="256">
        <f t="shared" si="23"/>
        <v>0.97330977055467605</v>
      </c>
      <c r="N96" s="109">
        <f t="shared" si="29"/>
        <v>265.28500000000003</v>
      </c>
      <c r="O96" s="162">
        <f t="shared" si="24"/>
        <v>2.669022944532394E-2</v>
      </c>
      <c r="P96" s="164">
        <f>+'Prog 01'!Q96</f>
        <v>7870.2595970000002</v>
      </c>
      <c r="Q96" s="109">
        <f ca="1">+'Prog 01'!R96</f>
        <v>7870.2595970000002</v>
      </c>
      <c r="R96" s="162">
        <f t="shared" ca="1" si="22"/>
        <v>1</v>
      </c>
      <c r="T96" s="537"/>
      <c r="U96" s="537"/>
      <c r="X96" s="627"/>
      <c r="Y96" s="627"/>
      <c r="Z96" s="627"/>
      <c r="AA96" s="632"/>
    </row>
    <row r="97" spans="2:27" ht="15" hidden="1" customHeight="1" outlineLevel="2" x14ac:dyDescent="0.25">
      <c r="B97" s="165"/>
      <c r="C97" s="106"/>
      <c r="D97" s="107" t="s">
        <v>177</v>
      </c>
      <c r="E97" s="108"/>
      <c r="F97" s="110" t="str">
        <f t="shared" si="25"/>
        <v>22.04.999</v>
      </c>
      <c r="G97" s="1009" t="s">
        <v>109</v>
      </c>
      <c r="H97" s="163">
        <f t="shared" si="26"/>
        <v>35.32</v>
      </c>
      <c r="I97" s="109">
        <f t="shared" si="27"/>
        <v>353.43</v>
      </c>
      <c r="J97" s="109">
        <f t="shared" ca="1" si="30"/>
        <v>0</v>
      </c>
      <c r="K97" s="256">
        <f t="shared" ca="1" si="21"/>
        <v>0</v>
      </c>
      <c r="L97" s="109">
        <f t="shared" si="28"/>
        <v>353.43</v>
      </c>
      <c r="M97" s="256">
        <f t="shared" si="23"/>
        <v>1</v>
      </c>
      <c r="N97" s="109">
        <f t="shared" si="29"/>
        <v>0</v>
      </c>
      <c r="O97" s="162">
        <f t="shared" si="24"/>
        <v>0</v>
      </c>
      <c r="P97" s="163">
        <f>+'Prog 01'!Q97</f>
        <v>4628.3668429999998</v>
      </c>
      <c r="Q97" s="109">
        <f ca="1">+'Prog 01'!R97</f>
        <v>4628.3668429999989</v>
      </c>
      <c r="R97" s="162">
        <f t="shared" ca="1" si="22"/>
        <v>0.99999999999999978</v>
      </c>
      <c r="T97" s="537"/>
      <c r="U97" s="537"/>
      <c r="X97" s="627"/>
      <c r="Y97" s="627"/>
      <c r="Z97" s="627"/>
      <c r="AA97" s="632"/>
    </row>
    <row r="98" spans="2:27" s="155" customFormat="1" ht="15" hidden="1" customHeight="1" outlineLevel="1" x14ac:dyDescent="0.25">
      <c r="B98" s="165"/>
      <c r="C98" s="106" t="s">
        <v>178</v>
      </c>
      <c r="D98" s="107"/>
      <c r="E98" s="108"/>
      <c r="F98" s="108"/>
      <c r="G98" s="1008" t="s">
        <v>52</v>
      </c>
      <c r="H98" s="163">
        <f>SUM(H99:H106)</f>
        <v>168529.769</v>
      </c>
      <c r="I98" s="109">
        <f>SUM(I99:I106)</f>
        <v>167437.16099999999</v>
      </c>
      <c r="J98" s="323">
        <f ca="1">SUM(J99:J106)</f>
        <v>114874.24399999999</v>
      </c>
      <c r="K98" s="256">
        <f t="shared" ca="1" si="21"/>
        <v>0.68607376829567723</v>
      </c>
      <c r="L98" s="109">
        <f>SUM(L99:L106)</f>
        <v>166187.16099999999</v>
      </c>
      <c r="M98" s="256">
        <f t="shared" si="23"/>
        <v>0.99253451269398907</v>
      </c>
      <c r="N98" s="109">
        <f>SUM(N99:N106)</f>
        <v>1250</v>
      </c>
      <c r="O98" s="162">
        <f t="shared" si="24"/>
        <v>7.4654873060108805E-3</v>
      </c>
      <c r="P98" s="163">
        <f>SUM(P99:P106)</f>
        <v>156572.11883999998</v>
      </c>
      <c r="Q98" s="109">
        <f ca="1">SUM(Q99:Q106)</f>
        <v>112943.3248</v>
      </c>
      <c r="R98" s="162">
        <f t="shared" ca="1" si="22"/>
        <v>0.72135017164464665</v>
      </c>
      <c r="S98" s="154"/>
      <c r="T98" s="537"/>
      <c r="U98" s="537"/>
      <c r="V98" s="628"/>
      <c r="W98" s="628"/>
      <c r="X98" s="627"/>
      <c r="Y98" s="627"/>
      <c r="Z98" s="627"/>
      <c r="AA98" s="632"/>
    </row>
    <row r="99" spans="2:27" ht="15" hidden="1" customHeight="1" outlineLevel="2" x14ac:dyDescent="0.25">
      <c r="B99" s="165"/>
      <c r="C99" s="106"/>
      <c r="D99" s="107" t="s">
        <v>169</v>
      </c>
      <c r="E99" s="108"/>
      <c r="F99" s="110" t="str">
        <f t="shared" ref="F99:F106" si="31">+CONCATENATE($B$78,"",$C$98,"",D99)</f>
        <v>22.05.001</v>
      </c>
      <c r="G99" s="1009" t="s">
        <v>53</v>
      </c>
      <c r="H99" s="163">
        <f t="shared" ref="H99:H106" si="32">+VLOOKUP(F99,matriz01,3,FALSE)</f>
        <v>13278</v>
      </c>
      <c r="I99" s="109">
        <f t="shared" ref="I99:I106" si="33">+VLOOKUP(F99,matriz01,4,FALSE)</f>
        <v>11504</v>
      </c>
      <c r="J99" s="323">
        <f t="shared" ref="J99:J106" ca="1" si="34">+VLOOKUP(F99,matriz01,5,FALSE)</f>
        <v>8349.7989999999991</v>
      </c>
      <c r="K99" s="256">
        <f t="shared" ca="1" si="21"/>
        <v>0.72581702016689842</v>
      </c>
      <c r="L99" s="109">
        <f t="shared" ref="L99:L106" si="35">INDEX(coincidenciaP01,MATCH(F99,indicep01,0),7)</f>
        <v>11504</v>
      </c>
      <c r="M99" s="256">
        <f t="shared" si="23"/>
        <v>1</v>
      </c>
      <c r="N99" s="109">
        <f t="shared" ref="N99:N144" si="36">INDEX(coincidenciaP01,MATCH(F99,indicep01,0),9)</f>
        <v>0</v>
      </c>
      <c r="O99" s="162">
        <f t="shared" si="24"/>
        <v>0</v>
      </c>
      <c r="P99" s="163">
        <f>+'Prog 01'!Q99</f>
        <v>9965.625</v>
      </c>
      <c r="Q99" s="109">
        <f ca="1">+'Prog 01'!R99</f>
        <v>7587.9066000000012</v>
      </c>
      <c r="R99" s="162">
        <f t="shared" ca="1" si="22"/>
        <v>0.76140800000000008</v>
      </c>
      <c r="T99" s="537"/>
      <c r="U99" s="537"/>
      <c r="X99" s="627"/>
      <c r="Y99" s="627"/>
      <c r="Z99" s="627"/>
      <c r="AA99" s="632"/>
    </row>
    <row r="100" spans="2:27" ht="15" hidden="1" customHeight="1" outlineLevel="2" x14ac:dyDescent="0.25">
      <c r="B100" s="165"/>
      <c r="C100" s="106"/>
      <c r="D100" s="107" t="s">
        <v>165</v>
      </c>
      <c r="E100" s="108"/>
      <c r="F100" s="110" t="str">
        <f t="shared" si="31"/>
        <v>22.05.002</v>
      </c>
      <c r="G100" s="1009" t="s">
        <v>54</v>
      </c>
      <c r="H100" s="163">
        <f t="shared" si="32"/>
        <v>16584</v>
      </c>
      <c r="I100" s="109">
        <f t="shared" si="33"/>
        <v>18983.955000000002</v>
      </c>
      <c r="J100" s="323">
        <f t="shared" ca="1" si="34"/>
        <v>10160.328000000001</v>
      </c>
      <c r="K100" s="256">
        <f t="shared" ca="1" si="21"/>
        <v>0.53520607270718878</v>
      </c>
      <c r="L100" s="109">
        <f t="shared" si="35"/>
        <v>18983.955000000002</v>
      </c>
      <c r="M100" s="256">
        <f t="shared" si="23"/>
        <v>1</v>
      </c>
      <c r="N100" s="109">
        <f t="shared" si="36"/>
        <v>0</v>
      </c>
      <c r="O100" s="162">
        <f t="shared" si="24"/>
        <v>0</v>
      </c>
      <c r="P100" s="163">
        <f>+'Prog 01'!Q100</f>
        <v>12029.417176999999</v>
      </c>
      <c r="Q100" s="109">
        <f ca="1">+'Prog 01'!R100</f>
        <v>7891.028491</v>
      </c>
      <c r="R100" s="162">
        <f t="shared" ca="1" si="22"/>
        <v>0.65597762342863009</v>
      </c>
      <c r="T100" s="537"/>
      <c r="U100" s="537"/>
      <c r="X100" s="627"/>
      <c r="Y100" s="627"/>
      <c r="Z100" s="627"/>
      <c r="AA100" s="632"/>
    </row>
    <row r="101" spans="2:27" ht="15" hidden="1" customHeight="1" outlineLevel="2" x14ac:dyDescent="0.25">
      <c r="B101" s="165"/>
      <c r="C101" s="106"/>
      <c r="D101" s="107" t="s">
        <v>166</v>
      </c>
      <c r="E101" s="108"/>
      <c r="F101" s="110" t="str">
        <f t="shared" si="31"/>
        <v>22.05.003</v>
      </c>
      <c r="G101" s="1009" t="s">
        <v>55</v>
      </c>
      <c r="H101" s="163">
        <f>+VLOOKUP(F101,matriz01,3,FALSE)</f>
        <v>2930</v>
      </c>
      <c r="I101" s="109">
        <f t="shared" si="33"/>
        <v>3287.25</v>
      </c>
      <c r="J101" s="323">
        <f t="shared" ca="1" si="34"/>
        <v>1109.1500000000001</v>
      </c>
      <c r="K101" s="256">
        <f t="shared" ca="1" si="21"/>
        <v>0.33740968894973006</v>
      </c>
      <c r="L101" s="109">
        <f t="shared" si="35"/>
        <v>2037.25</v>
      </c>
      <c r="M101" s="256">
        <f t="shared" si="23"/>
        <v>0.6197429462316526</v>
      </c>
      <c r="N101" s="109">
        <f t="shared" si="36"/>
        <v>1250</v>
      </c>
      <c r="O101" s="162">
        <f t="shared" si="24"/>
        <v>0.3802570537683474</v>
      </c>
      <c r="P101" s="163">
        <f>+'Prog 01'!Q101</f>
        <v>2128.4353329999999</v>
      </c>
      <c r="Q101" s="109">
        <f ca="1">+'Prog 01'!R101</f>
        <v>2098.724483</v>
      </c>
      <c r="R101" s="162">
        <f t="shared" ca="1" si="22"/>
        <v>0.9860409900459024</v>
      </c>
      <c r="T101" s="537"/>
      <c r="U101" s="537"/>
      <c r="X101" s="627"/>
      <c r="Y101" s="627"/>
      <c r="Z101" s="627"/>
      <c r="AA101" s="632"/>
    </row>
    <row r="102" spans="2:27" ht="15" hidden="1" customHeight="1" outlineLevel="2" x14ac:dyDescent="0.25">
      <c r="B102" s="165"/>
      <c r="C102" s="106"/>
      <c r="D102" s="107" t="s">
        <v>179</v>
      </c>
      <c r="E102" s="108"/>
      <c r="F102" s="110" t="str">
        <f t="shared" si="31"/>
        <v>22.05.004</v>
      </c>
      <c r="G102" s="1009" t="s">
        <v>56</v>
      </c>
      <c r="H102" s="163">
        <f>+VLOOKUP(F102,matriz01,3,FALSE)</f>
        <v>18000</v>
      </c>
      <c r="I102" s="109">
        <f t="shared" si="33"/>
        <v>16240</v>
      </c>
      <c r="J102" s="323">
        <f t="shared" ca="1" si="34"/>
        <v>10720.637999999999</v>
      </c>
      <c r="K102" s="256">
        <f t="shared" ca="1" si="21"/>
        <v>0.66013780788177334</v>
      </c>
      <c r="L102" s="109">
        <f t="shared" si="35"/>
        <v>16240</v>
      </c>
      <c r="M102" s="256">
        <f t="shared" si="23"/>
        <v>1</v>
      </c>
      <c r="N102" s="109">
        <f t="shared" si="36"/>
        <v>0</v>
      </c>
      <c r="O102" s="162">
        <f t="shared" si="24"/>
        <v>0</v>
      </c>
      <c r="P102" s="163">
        <f>+'Prog 01'!Q102</f>
        <v>16803.12801</v>
      </c>
      <c r="Q102" s="109">
        <f ca="1">+'Prog 01'!R102</f>
        <v>9198.8490839999995</v>
      </c>
      <c r="R102" s="162">
        <f t="shared" ca="1" si="22"/>
        <v>0.54744861067091277</v>
      </c>
      <c r="T102" s="537"/>
      <c r="U102" s="537"/>
      <c r="X102" s="627"/>
      <c r="Y102" s="627"/>
      <c r="Z102" s="627"/>
      <c r="AA102" s="632"/>
    </row>
    <row r="103" spans="2:27" ht="15" hidden="1" customHeight="1" outlineLevel="2" x14ac:dyDescent="0.25">
      <c r="B103" s="165"/>
      <c r="C103" s="106"/>
      <c r="D103" s="107" t="s">
        <v>180</v>
      </c>
      <c r="E103" s="108"/>
      <c r="F103" s="110" t="str">
        <f t="shared" si="31"/>
        <v>22.05.005</v>
      </c>
      <c r="G103" s="1009" t="s">
        <v>57</v>
      </c>
      <c r="H103" s="163">
        <f t="shared" si="32"/>
        <v>65582</v>
      </c>
      <c r="I103" s="109">
        <f t="shared" si="33"/>
        <v>65581.751999999993</v>
      </c>
      <c r="J103" s="323">
        <f t="shared" ca="1" si="34"/>
        <v>49186.313999999998</v>
      </c>
      <c r="K103" s="256">
        <f t="shared" ca="1" si="21"/>
        <v>0.75</v>
      </c>
      <c r="L103" s="109">
        <f t="shared" si="35"/>
        <v>65581.751999999993</v>
      </c>
      <c r="M103" s="256">
        <f t="shared" si="23"/>
        <v>1</v>
      </c>
      <c r="N103" s="109">
        <f t="shared" si="36"/>
        <v>0</v>
      </c>
      <c r="O103" s="162">
        <f t="shared" si="24"/>
        <v>0</v>
      </c>
      <c r="P103" s="163">
        <f>+'Prog 01'!Q103</f>
        <v>69713.402375999984</v>
      </c>
      <c r="Q103" s="109">
        <f ca="1">+'Prog 01'!R103</f>
        <v>52285.051781999995</v>
      </c>
      <c r="R103" s="162">
        <f t="shared" ca="1" si="22"/>
        <v>0.75000000000000011</v>
      </c>
      <c r="T103" s="537"/>
      <c r="U103" s="537"/>
      <c r="X103" s="627"/>
      <c r="Y103" s="627"/>
      <c r="Z103" s="627"/>
      <c r="AA103" s="632"/>
    </row>
    <row r="104" spans="2:27" ht="15" hidden="1" customHeight="1" outlineLevel="2" x14ac:dyDescent="0.25">
      <c r="B104" s="165"/>
      <c r="C104" s="106"/>
      <c r="D104" s="107" t="s">
        <v>181</v>
      </c>
      <c r="E104" s="108"/>
      <c r="F104" s="110" t="str">
        <f t="shared" si="31"/>
        <v>22.05.006</v>
      </c>
      <c r="G104" s="1009" t="s">
        <v>58</v>
      </c>
      <c r="H104" s="163">
        <f>+VLOOKUP(F104,matriz01,3,FALSE)</f>
        <v>7155.7690000000002</v>
      </c>
      <c r="I104" s="109">
        <f t="shared" si="33"/>
        <v>7095.7690000000002</v>
      </c>
      <c r="J104" s="323">
        <f t="shared" ca="1" si="34"/>
        <v>5044.08</v>
      </c>
      <c r="K104" s="256">
        <f t="shared" ca="1" si="21"/>
        <v>0.71085741376304667</v>
      </c>
      <c r="L104" s="109">
        <f t="shared" si="35"/>
        <v>7095.7690000000002</v>
      </c>
      <c r="M104" s="256">
        <f t="shared" si="23"/>
        <v>1</v>
      </c>
      <c r="N104" s="109">
        <f t="shared" si="36"/>
        <v>0</v>
      </c>
      <c r="O104" s="162">
        <f t="shared" si="24"/>
        <v>0</v>
      </c>
      <c r="P104" s="163">
        <f>+'Prog 01'!Q104</f>
        <v>2461.5402019999997</v>
      </c>
      <c r="Q104" s="109">
        <f ca="1">+'Prog 01'!R104</f>
        <v>1466.713581</v>
      </c>
      <c r="R104" s="162">
        <f t="shared" ca="1" si="22"/>
        <v>0.59585197097666587</v>
      </c>
      <c r="T104" s="537"/>
      <c r="U104" s="537"/>
      <c r="X104" s="627"/>
      <c r="Y104" s="627"/>
      <c r="Z104" s="627"/>
      <c r="AA104" s="632"/>
    </row>
    <row r="105" spans="2:27" ht="15" hidden="1" customHeight="1" outlineLevel="2" x14ac:dyDescent="0.25">
      <c r="B105" s="165"/>
      <c r="C105" s="106"/>
      <c r="D105" s="107" t="s">
        <v>170</v>
      </c>
      <c r="E105" s="108"/>
      <c r="F105" s="110" t="str">
        <f t="shared" si="31"/>
        <v>22.05.007</v>
      </c>
      <c r="G105" s="1009" t="s">
        <v>59</v>
      </c>
      <c r="H105" s="163">
        <f t="shared" si="32"/>
        <v>6600</v>
      </c>
      <c r="I105" s="109">
        <f t="shared" si="33"/>
        <v>7114.7629999999999</v>
      </c>
      <c r="J105" s="323">
        <f t="shared" ca="1" si="34"/>
        <v>5217.4870000000001</v>
      </c>
      <c r="K105" s="256">
        <f t="shared" ca="1" si="21"/>
        <v>0.73333250875679201</v>
      </c>
      <c r="L105" s="109">
        <f t="shared" si="35"/>
        <v>7114.7629999999999</v>
      </c>
      <c r="M105" s="256">
        <f t="shared" si="23"/>
        <v>1</v>
      </c>
      <c r="N105" s="109">
        <f t="shared" si="36"/>
        <v>0</v>
      </c>
      <c r="O105" s="162">
        <f t="shared" si="24"/>
        <v>0</v>
      </c>
      <c r="P105" s="163">
        <f>+'Prog 01'!Q105</f>
        <v>6108.7580449999996</v>
      </c>
      <c r="Q105" s="109">
        <f ca="1">+'Prog 01'!R105</f>
        <v>4590.3231359999991</v>
      </c>
      <c r="R105" s="162">
        <f t="shared" ca="1" si="22"/>
        <v>0.75143312309728238</v>
      </c>
      <c r="T105" s="537"/>
      <c r="U105" s="537"/>
      <c r="X105" s="627"/>
      <c r="Y105" s="627"/>
      <c r="Z105" s="627"/>
      <c r="AA105" s="632"/>
    </row>
    <row r="106" spans="2:27" ht="15" hidden="1" customHeight="1" outlineLevel="2" x14ac:dyDescent="0.25">
      <c r="B106" s="165"/>
      <c r="C106" s="106"/>
      <c r="D106" s="107" t="s">
        <v>171</v>
      </c>
      <c r="E106" s="108"/>
      <c r="F106" s="110" t="str">
        <f t="shared" si="31"/>
        <v>22.05.008</v>
      </c>
      <c r="G106" s="1009" t="s">
        <v>60</v>
      </c>
      <c r="H106" s="163">
        <f t="shared" si="32"/>
        <v>38400</v>
      </c>
      <c r="I106" s="109">
        <f t="shared" si="33"/>
        <v>37629.671999999999</v>
      </c>
      <c r="J106" s="323">
        <f t="shared" ca="1" si="34"/>
        <v>25086.448</v>
      </c>
      <c r="K106" s="256">
        <f t="shared" ca="1" si="21"/>
        <v>0.66666666666666674</v>
      </c>
      <c r="L106" s="109">
        <f t="shared" si="35"/>
        <v>37629.671999999999</v>
      </c>
      <c r="M106" s="256">
        <f t="shared" si="23"/>
        <v>1</v>
      </c>
      <c r="N106" s="109">
        <f t="shared" si="36"/>
        <v>0</v>
      </c>
      <c r="O106" s="162">
        <f t="shared" si="24"/>
        <v>0</v>
      </c>
      <c r="P106" s="163">
        <f>+'Prog 01'!Q106</f>
        <v>37361.812697000001</v>
      </c>
      <c r="Q106" s="109">
        <f ca="1">+'Prog 01'!R106</f>
        <v>27824.727642999995</v>
      </c>
      <c r="R106" s="162">
        <f t="shared" ca="1" si="22"/>
        <v>0.74473708940878569</v>
      </c>
      <c r="T106" s="537"/>
      <c r="U106" s="537"/>
      <c r="X106" s="627"/>
      <c r="Y106" s="627"/>
      <c r="Z106" s="627"/>
      <c r="AA106" s="632"/>
    </row>
    <row r="107" spans="2:27" s="155" customFormat="1" ht="15" hidden="1" customHeight="1" outlineLevel="1" x14ac:dyDescent="0.25">
      <c r="B107" s="165"/>
      <c r="C107" s="106" t="s">
        <v>182</v>
      </c>
      <c r="D107" s="107"/>
      <c r="E107" s="108"/>
      <c r="F107" s="108"/>
      <c r="G107" s="1008" t="s">
        <v>110</v>
      </c>
      <c r="H107" s="163">
        <f>SUM(H108:H114)</f>
        <v>64128.5</v>
      </c>
      <c r="I107" s="109">
        <f>SUM(I108:I114)</f>
        <v>111058.91100000001</v>
      </c>
      <c r="J107" s="109">
        <f ca="1">SUM(J108:J114)</f>
        <v>72550.921999999991</v>
      </c>
      <c r="K107" s="256">
        <f t="shared" ca="1" si="21"/>
        <v>0.65326520264546795</v>
      </c>
      <c r="L107" s="109">
        <f>SUM(L108:L114)</f>
        <v>74045.507000000012</v>
      </c>
      <c r="M107" s="256">
        <f t="shared" si="23"/>
        <v>0.66672279003348056</v>
      </c>
      <c r="N107" s="109">
        <f>SUM(N108:N114)</f>
        <v>37013.404000000002</v>
      </c>
      <c r="O107" s="162">
        <f t="shared" si="24"/>
        <v>0.33327720996651949</v>
      </c>
      <c r="P107" s="163">
        <f>SUM(P108:P114)</f>
        <v>26668.292069000003</v>
      </c>
      <c r="Q107" s="109">
        <f ca="1">SUM(Q108:Q114)</f>
        <v>23358.753183999997</v>
      </c>
      <c r="R107" s="162">
        <f t="shared" ca="1" si="22"/>
        <v>0.87589985603738341</v>
      </c>
      <c r="S107" s="154"/>
      <c r="T107" s="537"/>
      <c r="U107" s="537"/>
      <c r="V107" s="628"/>
      <c r="W107" s="628"/>
      <c r="X107" s="627"/>
      <c r="Y107" s="627"/>
      <c r="Z107" s="627"/>
      <c r="AA107" s="632"/>
    </row>
    <row r="108" spans="2:27" ht="15" hidden="1" customHeight="1" outlineLevel="2" x14ac:dyDescent="0.25">
      <c r="B108" s="165"/>
      <c r="C108" s="106"/>
      <c r="D108" s="107" t="s">
        <v>169</v>
      </c>
      <c r="E108" s="108"/>
      <c r="F108" s="110" t="str">
        <f>+CONCATENATE($B$78,"",$C$107,"",D108)</f>
        <v>22.06.001</v>
      </c>
      <c r="G108" s="1009" t="s">
        <v>111</v>
      </c>
      <c r="H108" s="163">
        <f t="shared" ref="H108:H114" si="37">+VLOOKUP(F108,matriz01,3,FALSE)</f>
        <v>26300</v>
      </c>
      <c r="I108" s="109">
        <f t="shared" ref="I108:I114" si="38">+VLOOKUP(F108,matriz01,4,FALSE)</f>
        <v>90872.881999999998</v>
      </c>
      <c r="J108" s="109">
        <f t="shared" ref="J108:J114" ca="1" si="39">+VLOOKUP(F108,matriz01,5,FALSE)</f>
        <v>55872.881999999991</v>
      </c>
      <c r="K108" s="256">
        <f t="shared" ca="1" si="21"/>
        <v>0.61484659416876419</v>
      </c>
      <c r="L108" s="109">
        <f t="shared" ref="L108:L114" si="40">INDEX(coincidenciaP01,MATCH(F108,indicep01,0),7)</f>
        <v>55872.881999999998</v>
      </c>
      <c r="M108" s="256">
        <f t="shared" si="23"/>
        <v>0.61484659416876419</v>
      </c>
      <c r="N108" s="109">
        <f t="shared" si="36"/>
        <v>35000</v>
      </c>
      <c r="O108" s="162">
        <f t="shared" si="24"/>
        <v>0.38515340583123581</v>
      </c>
      <c r="P108" s="163">
        <f>+'Prog 01'!Q108</f>
        <v>5226.9697809999998</v>
      </c>
      <c r="Q108" s="109">
        <f ca="1">+'Prog 01'!R108</f>
        <v>5226.9697809999998</v>
      </c>
      <c r="R108" s="162">
        <f t="shared" ca="1" si="22"/>
        <v>1</v>
      </c>
      <c r="T108" s="537"/>
      <c r="U108" s="537"/>
      <c r="X108" s="627"/>
      <c r="Y108" s="627"/>
      <c r="Z108" s="627"/>
      <c r="AA108" s="632"/>
    </row>
    <row r="109" spans="2:27" ht="15" hidden="1" customHeight="1" outlineLevel="2" x14ac:dyDescent="0.25">
      <c r="B109" s="165"/>
      <c r="C109" s="106"/>
      <c r="D109" s="107" t="s">
        <v>165</v>
      </c>
      <c r="E109" s="108"/>
      <c r="F109" s="110" t="str">
        <f>+CONCATENATE($B$78,"",$C$107,"",D109)</f>
        <v>22.06.002</v>
      </c>
      <c r="G109" s="1009" t="s">
        <v>61</v>
      </c>
      <c r="H109" s="163">
        <f t="shared" si="37"/>
        <v>26512.2</v>
      </c>
      <c r="I109" s="109">
        <f t="shared" si="38"/>
        <v>13217.822</v>
      </c>
      <c r="J109" s="109">
        <f t="shared" ca="1" si="39"/>
        <v>12246.192999999999</v>
      </c>
      <c r="K109" s="256">
        <f t="shared" ca="1" si="21"/>
        <v>0.92649099072449292</v>
      </c>
      <c r="L109" s="109">
        <f t="shared" si="40"/>
        <v>12804.418</v>
      </c>
      <c r="M109" s="256">
        <f t="shared" si="23"/>
        <v>0.96872374283751128</v>
      </c>
      <c r="N109" s="109">
        <f t="shared" si="36"/>
        <v>413.404</v>
      </c>
      <c r="O109" s="162">
        <f t="shared" si="24"/>
        <v>3.1276257162488642E-2</v>
      </c>
      <c r="P109" s="163">
        <f>+'Prog 01'!Q109</f>
        <v>10656.698307999999</v>
      </c>
      <c r="Q109" s="109">
        <f ca="1">+'Prog 01'!R109</f>
        <v>8735.8466779999981</v>
      </c>
      <c r="R109" s="162">
        <f t="shared" ca="1" si="22"/>
        <v>0.81975171160114246</v>
      </c>
      <c r="T109" s="537"/>
      <c r="U109" s="537"/>
      <c r="X109" s="627"/>
      <c r="Y109" s="627"/>
      <c r="Z109" s="627"/>
      <c r="AA109" s="632"/>
    </row>
    <row r="110" spans="2:27" ht="15" hidden="1" customHeight="1" outlineLevel="2" x14ac:dyDescent="0.25">
      <c r="B110" s="165"/>
      <c r="C110" s="106"/>
      <c r="D110" s="107" t="s">
        <v>179</v>
      </c>
      <c r="E110" s="108"/>
      <c r="F110" s="110" t="s">
        <v>879</v>
      </c>
      <c r="G110" s="1285" t="str">
        <f>+'Prog 01'!H111</f>
        <v>Mantenimiento y Reparación de Máquinas y Equipos d</v>
      </c>
      <c r="H110" s="163">
        <f>+VLOOKUP(F110,matriz01,3,FALSE)</f>
        <v>916.3</v>
      </c>
      <c r="I110" s="109">
        <f>+'Prog 01'!J111</f>
        <v>1118.5999999999999</v>
      </c>
      <c r="J110" s="109">
        <f t="shared" ca="1" si="39"/>
        <v>1118.5999999999999</v>
      </c>
      <c r="K110" s="256">
        <f t="shared" ca="1" si="21"/>
        <v>1</v>
      </c>
      <c r="L110" s="109">
        <f>+'Prog 01'!M111</f>
        <v>1118.5999999999999</v>
      </c>
      <c r="M110" s="256">
        <f t="shared" si="23"/>
        <v>1</v>
      </c>
      <c r="N110" s="109">
        <f>INDEX(coincidenciaP01,MATCH(F110,indicep01,0),9)</f>
        <v>0</v>
      </c>
      <c r="O110" s="162">
        <f t="shared" si="24"/>
        <v>0</v>
      </c>
      <c r="P110" s="163">
        <f>+'Prog 01'!Q111</f>
        <v>0</v>
      </c>
      <c r="Q110" s="109">
        <f ca="1">+'Prog 01'!R111</f>
        <v>0</v>
      </c>
      <c r="R110" s="162" t="str">
        <f t="shared" ca="1" si="22"/>
        <v>0.00%</v>
      </c>
      <c r="T110" s="537"/>
      <c r="U110" s="537"/>
      <c r="X110" s="627"/>
      <c r="Y110" s="627"/>
      <c r="Z110" s="627"/>
      <c r="AA110" s="632"/>
    </row>
    <row r="111" spans="2:27" ht="15" hidden="1" customHeight="1" outlineLevel="2" x14ac:dyDescent="0.25">
      <c r="B111" s="165"/>
      <c r="C111" s="106"/>
      <c r="D111" s="107" t="s">
        <v>166</v>
      </c>
      <c r="E111" s="108"/>
      <c r="F111" s="110" t="str">
        <f>+CONCATENATE($B$78,"",$C$107,"",D111)</f>
        <v>22.06.003</v>
      </c>
      <c r="G111" s="1009" t="s">
        <v>112</v>
      </c>
      <c r="H111" s="331">
        <f>+VLOOKUP(F111,matriz01,3,FALSE)</f>
        <v>2000</v>
      </c>
      <c r="I111" s="109">
        <f t="shared" si="38"/>
        <v>452.2</v>
      </c>
      <c r="J111" s="109">
        <f t="shared" ca="1" si="39"/>
        <v>452.2</v>
      </c>
      <c r="K111" s="256">
        <f t="shared" ca="1" si="21"/>
        <v>1</v>
      </c>
      <c r="L111" s="109">
        <f t="shared" si="40"/>
        <v>452.2</v>
      </c>
      <c r="M111" s="256">
        <f t="shared" si="23"/>
        <v>1</v>
      </c>
      <c r="N111" s="109">
        <f t="shared" si="36"/>
        <v>0</v>
      </c>
      <c r="O111" s="162">
        <f t="shared" si="24"/>
        <v>0</v>
      </c>
      <c r="P111" s="163">
        <f>+'Prog 01'!Q110</f>
        <v>796.93110000000001</v>
      </c>
      <c r="Q111" s="109">
        <f ca="1">+'Prog 01'!R110</f>
        <v>0</v>
      </c>
      <c r="R111" s="162">
        <f t="shared" ca="1" si="22"/>
        <v>0</v>
      </c>
      <c r="T111" s="537"/>
      <c r="U111" s="537"/>
      <c r="X111" s="627"/>
      <c r="Y111" s="627"/>
      <c r="Z111" s="627"/>
      <c r="AA111" s="632"/>
    </row>
    <row r="112" spans="2:27" ht="15" hidden="1" customHeight="1" outlineLevel="2" x14ac:dyDescent="0.25">
      <c r="B112" s="165"/>
      <c r="C112" s="106"/>
      <c r="D112" s="107" t="s">
        <v>181</v>
      </c>
      <c r="E112" s="108"/>
      <c r="F112" s="110" t="str">
        <f>+CONCATENATE($B$78,"",$C$107,"",D112)</f>
        <v>22.06.006</v>
      </c>
      <c r="G112" s="1009" t="s">
        <v>62</v>
      </c>
      <c r="H112" s="163">
        <f t="shared" si="37"/>
        <v>0</v>
      </c>
      <c r="I112" s="109">
        <f t="shared" si="38"/>
        <v>0</v>
      </c>
      <c r="J112" s="109">
        <f t="shared" ca="1" si="39"/>
        <v>0</v>
      </c>
      <c r="K112" s="256" t="str">
        <f t="shared" ca="1" si="21"/>
        <v>0.00%</v>
      </c>
      <c r="L112" s="109">
        <f t="shared" si="40"/>
        <v>0</v>
      </c>
      <c r="M112" s="256">
        <f t="shared" si="23"/>
        <v>0</v>
      </c>
      <c r="N112" s="109">
        <f t="shared" si="36"/>
        <v>0</v>
      </c>
      <c r="O112" s="162">
        <f t="shared" si="24"/>
        <v>0</v>
      </c>
      <c r="P112" s="163">
        <f>+'Prog 01'!Q112</f>
        <v>0</v>
      </c>
      <c r="Q112" s="109">
        <f ca="1">+'Prog 01'!R112</f>
        <v>0</v>
      </c>
      <c r="R112" s="162" t="str">
        <f t="shared" ca="1" si="22"/>
        <v>0.00%</v>
      </c>
      <c r="T112" s="537"/>
      <c r="U112" s="537"/>
      <c r="X112" s="627"/>
      <c r="Y112" s="627"/>
      <c r="Z112" s="627"/>
      <c r="AA112" s="632"/>
    </row>
    <row r="113" spans="2:27" ht="15" hidden="1" customHeight="1" outlineLevel="2" x14ac:dyDescent="0.25">
      <c r="B113" s="165"/>
      <c r="C113" s="106"/>
      <c r="D113" s="107" t="s">
        <v>170</v>
      </c>
      <c r="E113" s="108"/>
      <c r="F113" s="110" t="str">
        <f>+CONCATENATE($B$78,"",$C$107,"",D113)</f>
        <v>22.06.007</v>
      </c>
      <c r="G113" s="1009" t="s">
        <v>63</v>
      </c>
      <c r="H113" s="163">
        <f t="shared" si="37"/>
        <v>8400</v>
      </c>
      <c r="I113" s="109">
        <f t="shared" si="38"/>
        <v>5397.4070000000002</v>
      </c>
      <c r="J113" s="109">
        <f t="shared" ca="1" si="39"/>
        <v>2861.047</v>
      </c>
      <c r="K113" s="256">
        <f t="shared" ca="1" si="21"/>
        <v>0.53007805414711173</v>
      </c>
      <c r="L113" s="109">
        <f t="shared" si="40"/>
        <v>3797.4070000000002</v>
      </c>
      <c r="M113" s="256">
        <f t="shared" si="23"/>
        <v>0.70356135825962351</v>
      </c>
      <c r="N113" s="109">
        <f t="shared" si="36"/>
        <v>1600</v>
      </c>
      <c r="O113" s="162">
        <f t="shared" si="24"/>
        <v>0.29643864174037643</v>
      </c>
      <c r="P113" s="164">
        <f>+'Prog 01'!Q113</f>
        <v>9987.6928800000005</v>
      </c>
      <c r="Q113" s="109">
        <f ca="1">+'Prog 01'!R113</f>
        <v>9395.9367249999996</v>
      </c>
      <c r="R113" s="162">
        <f t="shared" ca="1" si="22"/>
        <v>0.94075146661898545</v>
      </c>
      <c r="T113" s="537"/>
      <c r="U113" s="537"/>
      <c r="X113" s="627"/>
      <c r="Y113" s="627"/>
      <c r="Z113" s="627"/>
      <c r="AA113" s="632"/>
    </row>
    <row r="114" spans="2:27" ht="15" hidden="1" customHeight="1" outlineLevel="2" x14ac:dyDescent="0.25">
      <c r="B114" s="165"/>
      <c r="C114" s="106"/>
      <c r="D114" s="107" t="s">
        <v>177</v>
      </c>
      <c r="E114" s="108"/>
      <c r="F114" s="110" t="str">
        <f>+CONCATENATE($B$78,"",$C$107,"",D114)</f>
        <v>22.06.999</v>
      </c>
      <c r="G114" s="1009" t="s">
        <v>51</v>
      </c>
      <c r="H114" s="163">
        <f t="shared" si="37"/>
        <v>0</v>
      </c>
      <c r="I114" s="109">
        <f t="shared" si="38"/>
        <v>0</v>
      </c>
      <c r="J114" s="109">
        <f t="shared" ca="1" si="39"/>
        <v>0</v>
      </c>
      <c r="K114" s="256" t="str">
        <f t="shared" ca="1" si="21"/>
        <v>0.00%</v>
      </c>
      <c r="L114" s="109">
        <f t="shared" si="40"/>
        <v>0</v>
      </c>
      <c r="M114" s="256">
        <f t="shared" si="23"/>
        <v>0</v>
      </c>
      <c r="N114" s="109">
        <f t="shared" si="36"/>
        <v>0</v>
      </c>
      <c r="O114" s="162">
        <f t="shared" si="24"/>
        <v>0</v>
      </c>
      <c r="P114" s="163">
        <f>+'Prog 01'!Q114</f>
        <v>0</v>
      </c>
      <c r="Q114" s="109">
        <f ca="1">+'Prog 01'!R114</f>
        <v>0</v>
      </c>
      <c r="R114" s="162" t="str">
        <f t="shared" ca="1" si="22"/>
        <v>0.00%</v>
      </c>
      <c r="T114" s="537"/>
      <c r="U114" s="537"/>
      <c r="X114" s="627"/>
      <c r="Y114" s="627"/>
      <c r="Z114" s="627"/>
      <c r="AA114" s="632"/>
    </row>
    <row r="115" spans="2:27" s="155" customFormat="1" ht="15" hidden="1" customHeight="1" outlineLevel="1" x14ac:dyDescent="0.25">
      <c r="B115" s="165"/>
      <c r="C115" s="106" t="s">
        <v>183</v>
      </c>
      <c r="D115" s="107"/>
      <c r="E115" s="108"/>
      <c r="F115" s="108"/>
      <c r="G115" s="1011" t="s">
        <v>64</v>
      </c>
      <c r="H115" s="163">
        <f>SUM(H116:H117)</f>
        <v>1912.9669999999999</v>
      </c>
      <c r="I115" s="109">
        <f>SUM(I116:I117)</f>
        <v>14437.573</v>
      </c>
      <c r="J115" s="109">
        <f ca="1">SUM(J116:J117)</f>
        <v>12776.800999999999</v>
      </c>
      <c r="K115" s="256">
        <f t="shared" ca="1" si="21"/>
        <v>0.88496875479001902</v>
      </c>
      <c r="L115" s="109">
        <f>SUM(L116:L117)</f>
        <v>14437.573</v>
      </c>
      <c r="M115" s="256">
        <f t="shared" si="23"/>
        <v>1</v>
      </c>
      <c r="N115" s="109">
        <f>SUM(N116:N117)</f>
        <v>0</v>
      </c>
      <c r="O115" s="162">
        <f t="shared" si="24"/>
        <v>0</v>
      </c>
      <c r="P115" s="163">
        <f>SUM(P116:P117)</f>
        <v>12723.339325000001</v>
      </c>
      <c r="Q115" s="109">
        <f ca="1">SUM(Q116:Q117)</f>
        <v>7087.1740719999998</v>
      </c>
      <c r="R115" s="162">
        <f t="shared" ca="1" si="22"/>
        <v>0.55702154056949982</v>
      </c>
      <c r="S115" s="154"/>
      <c r="T115" s="537"/>
      <c r="U115" s="537"/>
      <c r="V115" s="628"/>
      <c r="W115" s="628"/>
      <c r="X115" s="627"/>
      <c r="Y115" s="627"/>
      <c r="Z115" s="627"/>
      <c r="AA115" s="632"/>
    </row>
    <row r="116" spans="2:27" ht="15" hidden="1" customHeight="1" outlineLevel="2" x14ac:dyDescent="0.25">
      <c r="B116" s="165"/>
      <c r="C116" s="106"/>
      <c r="D116" s="107" t="s">
        <v>169</v>
      </c>
      <c r="E116" s="108"/>
      <c r="F116" s="110" t="str">
        <f>+CONCATENATE($B$78,"",$C$115,"",D116)</f>
        <v>22.07.001</v>
      </c>
      <c r="G116" s="1009" t="s">
        <v>65</v>
      </c>
      <c r="H116" s="163">
        <f>+VLOOKUP(F116,matriz01,3,FALSE)</f>
        <v>1740.4159999999999</v>
      </c>
      <c r="I116" s="109">
        <f>+VLOOKUP(F116,matriz01,4,FALSE)</f>
        <v>9495.4809999999998</v>
      </c>
      <c r="J116" s="109">
        <f ca="1">+VLOOKUP(F116,matriz01,5,FALSE)</f>
        <v>8284.5289999999986</v>
      </c>
      <c r="K116" s="256">
        <f t="shared" ca="1" si="21"/>
        <v>0.87247070474892208</v>
      </c>
      <c r="L116" s="109">
        <f>INDEX(coincidenciaP01,MATCH(F116,indicep01,0),7)</f>
        <v>9495.4809999999998</v>
      </c>
      <c r="M116" s="256">
        <f t="shared" si="23"/>
        <v>1</v>
      </c>
      <c r="N116" s="109">
        <f t="shared" si="36"/>
        <v>0</v>
      </c>
      <c r="O116" s="162">
        <f t="shared" si="24"/>
        <v>0</v>
      </c>
      <c r="P116" s="164">
        <f>+'Prog 01'!Q116</f>
        <v>10630</v>
      </c>
      <c r="Q116" s="109">
        <f ca="1">+'Prog 01'!R116</f>
        <v>4993.8347469999999</v>
      </c>
      <c r="R116" s="162">
        <f t="shared" ca="1" si="22"/>
        <v>0.46978690000000001</v>
      </c>
      <c r="T116" s="537"/>
      <c r="U116" s="537"/>
      <c r="X116" s="627"/>
      <c r="Y116" s="627"/>
      <c r="Z116" s="627"/>
      <c r="AA116" s="632"/>
    </row>
    <row r="117" spans="2:27" ht="15" hidden="1" customHeight="1" outlineLevel="2" x14ac:dyDescent="0.25">
      <c r="B117" s="165"/>
      <c r="C117" s="106"/>
      <c r="D117" s="107" t="s">
        <v>165</v>
      </c>
      <c r="E117" s="108"/>
      <c r="F117" s="110" t="str">
        <f>+CONCATENATE($B$78,"",$C$115,"",D117)</f>
        <v>22.07.002</v>
      </c>
      <c r="G117" s="1009" t="s">
        <v>66</v>
      </c>
      <c r="H117" s="163">
        <f>+VLOOKUP(F117,matriz01,3,FALSE)</f>
        <v>172.55099999999999</v>
      </c>
      <c r="I117" s="109">
        <f>+VLOOKUP(F117,matriz01,4,FALSE)</f>
        <v>4942.0919999999996</v>
      </c>
      <c r="J117" s="109">
        <f ca="1">+VLOOKUP(F117,matriz01,5,FALSE)</f>
        <v>4492.2719999999999</v>
      </c>
      <c r="K117" s="256">
        <f t="shared" ca="1" si="21"/>
        <v>0.90898186436027506</v>
      </c>
      <c r="L117" s="109">
        <f>INDEX(coincidenciaP01,MATCH(F117,indicep01,0),7)</f>
        <v>4942.0919999999996</v>
      </c>
      <c r="M117" s="256">
        <f t="shared" si="23"/>
        <v>1</v>
      </c>
      <c r="N117" s="109">
        <f t="shared" si="36"/>
        <v>0</v>
      </c>
      <c r="O117" s="162">
        <f t="shared" si="24"/>
        <v>0</v>
      </c>
      <c r="P117" s="163">
        <f>+'Prog 01'!Q117</f>
        <v>2093.3393249999999</v>
      </c>
      <c r="Q117" s="109">
        <f ca="1">+'Prog 01'!R117</f>
        <v>2093.3393249999999</v>
      </c>
      <c r="R117" s="162">
        <f t="shared" ca="1" si="22"/>
        <v>1</v>
      </c>
      <c r="T117" s="537"/>
      <c r="U117" s="537"/>
      <c r="X117" s="627"/>
      <c r="Y117" s="627"/>
      <c r="Z117" s="627"/>
      <c r="AA117" s="632"/>
    </row>
    <row r="118" spans="2:27" s="155" customFormat="1" ht="15" hidden="1" customHeight="1" outlineLevel="1" x14ac:dyDescent="0.25">
      <c r="B118" s="165"/>
      <c r="C118" s="106" t="s">
        <v>184</v>
      </c>
      <c r="D118" s="107"/>
      <c r="E118" s="108"/>
      <c r="F118" s="108"/>
      <c r="G118" s="1008" t="s">
        <v>67</v>
      </c>
      <c r="H118" s="163">
        <f>SUM(H119:H124)</f>
        <v>336456.99099999998</v>
      </c>
      <c r="I118" s="109">
        <f>SUM(I119:I124)</f>
        <v>633813.33700000006</v>
      </c>
      <c r="J118" s="109">
        <f ca="1">SUM(J119:J124)</f>
        <v>326111.29399999999</v>
      </c>
      <c r="K118" s="256">
        <f t="shared" ca="1" si="21"/>
        <v>0.51452261251485776</v>
      </c>
      <c r="L118" s="109">
        <f>SUM(L119:L124)</f>
        <v>495492.53799999994</v>
      </c>
      <c r="M118" s="256">
        <f t="shared" si="23"/>
        <v>0.78176413949459045</v>
      </c>
      <c r="N118" s="109">
        <f>SUM(N119:N124)</f>
        <v>138320.799</v>
      </c>
      <c r="O118" s="162">
        <f t="shared" si="24"/>
        <v>0.21823586050540933</v>
      </c>
      <c r="P118" s="163">
        <f>+P119+P120+P121+P122+P123+P124</f>
        <v>378658.94844300003</v>
      </c>
      <c r="Q118" s="109">
        <f ca="1">SUM(Q119:Q124)</f>
        <v>249153.47666999997</v>
      </c>
      <c r="R118" s="162">
        <f t="shared" ca="1" si="22"/>
        <v>0.65798914219375781</v>
      </c>
      <c r="S118" s="154"/>
      <c r="T118" s="537"/>
      <c r="U118" s="537"/>
      <c r="V118" s="628"/>
      <c r="W118" s="628"/>
      <c r="X118" s="627"/>
      <c r="Y118" s="627"/>
      <c r="Z118" s="627"/>
      <c r="AA118" s="632"/>
    </row>
    <row r="119" spans="2:27" ht="15" hidden="1" customHeight="1" outlineLevel="2" x14ac:dyDescent="0.25">
      <c r="B119" s="165"/>
      <c r="C119" s="106"/>
      <c r="D119" s="107" t="s">
        <v>169</v>
      </c>
      <c r="E119" s="108"/>
      <c r="F119" s="110" t="str">
        <f t="shared" ref="F119:F124" si="41">+CONCATENATE($B$78,"",$C$118,"",D119)</f>
        <v>22.08.001</v>
      </c>
      <c r="G119" s="1009" t="s">
        <v>68</v>
      </c>
      <c r="H119" s="163">
        <f t="shared" ref="H119:H124" si="42">+VLOOKUP(F119,matriz01,3,FALSE)</f>
        <v>100114.352</v>
      </c>
      <c r="I119" s="109">
        <f t="shared" ref="I119:I124" si="43">+VLOOKUP(F119,matriz01,4,FALSE)</f>
        <v>99099.048999999999</v>
      </c>
      <c r="J119" s="109">
        <f t="shared" ref="J119:J124" ca="1" si="44">+VLOOKUP(F119,matriz01,5,FALSE)</f>
        <v>63593.488000000012</v>
      </c>
      <c r="K119" s="256">
        <f t="shared" ca="1" si="21"/>
        <v>0.64171643059864292</v>
      </c>
      <c r="L119" s="109">
        <f t="shared" ref="L119:L124" si="45">INDEX(coincidenciaP01,MATCH(F119,indicep01,0),7)</f>
        <v>93665.349000000002</v>
      </c>
      <c r="M119" s="256">
        <f t="shared" si="23"/>
        <v>0.94516899955316425</v>
      </c>
      <c r="N119" s="109">
        <f t="shared" si="36"/>
        <v>5433.7</v>
      </c>
      <c r="O119" s="162">
        <f t="shared" si="24"/>
        <v>5.4831000446835768E-2</v>
      </c>
      <c r="P119" s="164">
        <f>+'Prog 01'!Q119</f>
        <v>97230.432975999996</v>
      </c>
      <c r="Q119" s="109">
        <f ca="1">+'Prog 01'!R119</f>
        <v>60666.394337999998</v>
      </c>
      <c r="R119" s="162">
        <f t="shared" ca="1" si="22"/>
        <v>0.62394450462824402</v>
      </c>
      <c r="T119" s="537"/>
      <c r="U119" s="537"/>
      <c r="X119" s="627"/>
      <c r="Y119" s="627"/>
      <c r="Z119" s="627"/>
      <c r="AA119" s="632"/>
    </row>
    <row r="120" spans="2:27" ht="15" hidden="1" customHeight="1" outlineLevel="2" x14ac:dyDescent="0.25">
      <c r="B120" s="165"/>
      <c r="C120" s="106"/>
      <c r="D120" s="113" t="s">
        <v>165</v>
      </c>
      <c r="E120" s="108"/>
      <c r="F120" s="110" t="str">
        <f t="shared" si="41"/>
        <v>22.08.002</v>
      </c>
      <c r="G120" s="1009" t="s">
        <v>69</v>
      </c>
      <c r="H120" s="163">
        <f t="shared" si="42"/>
        <v>12000</v>
      </c>
      <c r="I120" s="109">
        <f t="shared" si="43"/>
        <v>24686.596000000001</v>
      </c>
      <c r="J120" s="109">
        <f t="shared" ca="1" si="44"/>
        <v>0</v>
      </c>
      <c r="K120" s="256">
        <f t="shared" ca="1" si="21"/>
        <v>0</v>
      </c>
      <c r="L120" s="109">
        <f t="shared" si="45"/>
        <v>0</v>
      </c>
      <c r="M120" s="256">
        <f t="shared" si="23"/>
        <v>0</v>
      </c>
      <c r="N120" s="109">
        <f t="shared" si="36"/>
        <v>24686.596000000001</v>
      </c>
      <c r="O120" s="162">
        <f t="shared" si="24"/>
        <v>1</v>
      </c>
      <c r="P120" s="163">
        <f>+'Prog 01'!Q120</f>
        <v>0</v>
      </c>
      <c r="Q120" s="109">
        <f ca="1">+'Prog 01'!R120</f>
        <v>0</v>
      </c>
      <c r="R120" s="162" t="str">
        <f t="shared" ca="1" si="22"/>
        <v>0.00%</v>
      </c>
      <c r="T120" s="537"/>
      <c r="U120" s="537"/>
      <c r="X120" s="627"/>
      <c r="Y120" s="627"/>
      <c r="Z120" s="627"/>
      <c r="AA120" s="632"/>
    </row>
    <row r="121" spans="2:27" ht="15" hidden="1" customHeight="1" outlineLevel="2" x14ac:dyDescent="0.25">
      <c r="B121" s="165"/>
      <c r="C121" s="106"/>
      <c r="D121" s="107" t="s">
        <v>170</v>
      </c>
      <c r="E121" s="108"/>
      <c r="F121" s="110" t="str">
        <f t="shared" si="41"/>
        <v>22.08.007</v>
      </c>
      <c r="G121" s="1745" t="s">
        <v>113</v>
      </c>
      <c r="H121" s="1746">
        <f>+VLOOKUP(F121,matriz01,3,FALSE)</f>
        <v>159210.45800000001</v>
      </c>
      <c r="I121" s="1747">
        <f>+VLOOKUP(F121,matriz01,4,FALSE)</f>
        <v>165641.416</v>
      </c>
      <c r="J121" s="1747">
        <f t="shared" ca="1" si="44"/>
        <v>111301.999</v>
      </c>
      <c r="K121" s="1748">
        <f t="shared" ca="1" si="21"/>
        <v>0.67194546924182297</v>
      </c>
      <c r="L121" s="1747">
        <f t="shared" si="45"/>
        <v>138363.21299999999</v>
      </c>
      <c r="M121" s="1748">
        <f t="shared" si="23"/>
        <v>0.8353177384090944</v>
      </c>
      <c r="N121" s="1747">
        <f t="shared" si="36"/>
        <v>27278.203000000001</v>
      </c>
      <c r="O121" s="1749">
        <f t="shared" si="24"/>
        <v>0.16468226159090552</v>
      </c>
      <c r="P121" s="1746">
        <f>+'Prog 01'!Q121</f>
        <v>116542.95957399999</v>
      </c>
      <c r="Q121" s="109">
        <f ca="1">+'Prog 01'!R121</f>
        <v>91991.173851999993</v>
      </c>
      <c r="R121" s="162">
        <f t="shared" ca="1" si="22"/>
        <v>0.78933274209146354</v>
      </c>
      <c r="T121" s="537"/>
      <c r="U121" s="537"/>
      <c r="X121" s="627"/>
      <c r="Y121" s="627"/>
      <c r="Z121" s="627"/>
      <c r="AA121" s="632"/>
    </row>
    <row r="122" spans="2:27" ht="15" hidden="1" customHeight="1" outlineLevel="2" x14ac:dyDescent="0.25">
      <c r="B122" s="165"/>
      <c r="C122" s="106"/>
      <c r="D122" s="107" t="s">
        <v>171</v>
      </c>
      <c r="E122" s="108"/>
      <c r="F122" s="110" t="str">
        <f t="shared" si="41"/>
        <v>22.08.008</v>
      </c>
      <c r="G122" s="1009" t="s">
        <v>114</v>
      </c>
      <c r="H122" s="163">
        <f t="shared" si="42"/>
        <v>56104.597000000002</v>
      </c>
      <c r="I122" s="109">
        <f t="shared" si="43"/>
        <v>74324.875</v>
      </c>
      <c r="J122" s="109">
        <f t="shared" ca="1" si="44"/>
        <v>48053.701000000001</v>
      </c>
      <c r="K122" s="256">
        <f t="shared" ca="1" si="21"/>
        <v>0.64653591412027267</v>
      </c>
      <c r="L122" s="109">
        <f t="shared" si="45"/>
        <v>72534.875</v>
      </c>
      <c r="M122" s="256">
        <f t="shared" si="23"/>
        <v>0.9759165420728928</v>
      </c>
      <c r="N122" s="109">
        <f t="shared" si="36"/>
        <v>1790</v>
      </c>
      <c r="O122" s="162">
        <f t="shared" si="24"/>
        <v>2.4083457927107175E-2</v>
      </c>
      <c r="P122" s="163">
        <f>+'Prog 01'!Q122</f>
        <v>66456.909316999998</v>
      </c>
      <c r="Q122" s="109">
        <f ca="1">+'Prog 01'!R122</f>
        <v>46036.678253999999</v>
      </c>
      <c r="R122" s="162">
        <f t="shared" ca="1" si="22"/>
        <v>0.69272975115957725</v>
      </c>
      <c r="T122" s="537"/>
      <c r="U122" s="537"/>
      <c r="X122" s="627"/>
      <c r="Y122" s="627"/>
      <c r="Z122" s="627"/>
      <c r="AA122" s="632"/>
    </row>
    <row r="123" spans="2:27" ht="15" hidden="1" customHeight="1" outlineLevel="2" x14ac:dyDescent="0.25">
      <c r="B123" s="165"/>
      <c r="C123" s="106"/>
      <c r="D123" s="107" t="s">
        <v>173</v>
      </c>
      <c r="E123" s="108"/>
      <c r="F123" s="110" t="str">
        <f t="shared" si="41"/>
        <v>22.08.010</v>
      </c>
      <c r="G123" s="1009" t="s">
        <v>70</v>
      </c>
      <c r="H123" s="163">
        <f t="shared" si="42"/>
        <v>3300</v>
      </c>
      <c r="I123" s="109">
        <f t="shared" si="43"/>
        <v>2580.3589999999999</v>
      </c>
      <c r="J123" s="109">
        <f t="shared" ca="1" si="44"/>
        <v>2580.3589999999995</v>
      </c>
      <c r="K123" s="256">
        <f t="shared" ca="1" si="21"/>
        <v>0.99999999999999978</v>
      </c>
      <c r="L123" s="109">
        <f t="shared" si="45"/>
        <v>2580.3589999999999</v>
      </c>
      <c r="M123" s="256">
        <f t="shared" si="23"/>
        <v>1</v>
      </c>
      <c r="N123" s="109">
        <f t="shared" si="36"/>
        <v>0</v>
      </c>
      <c r="O123" s="162">
        <f t="shared" si="24"/>
        <v>0</v>
      </c>
      <c r="P123" s="163">
        <f>+'Prog 01'!Q123</f>
        <v>2792.6774580000001</v>
      </c>
      <c r="Q123" s="109">
        <f ca="1">+'Prog 01'!R123</f>
        <v>2792.6774580000001</v>
      </c>
      <c r="R123" s="162">
        <f t="shared" ca="1" si="22"/>
        <v>1</v>
      </c>
      <c r="T123" s="537"/>
      <c r="U123" s="537"/>
      <c r="X123" s="627"/>
      <c r="Y123" s="627"/>
      <c r="Z123" s="627"/>
      <c r="AA123" s="632"/>
    </row>
    <row r="124" spans="2:27" ht="15" hidden="1" customHeight="1" outlineLevel="2" x14ac:dyDescent="0.25">
      <c r="B124" s="165"/>
      <c r="C124" s="106"/>
      <c r="D124" s="107" t="s">
        <v>177</v>
      </c>
      <c r="E124" s="108"/>
      <c r="F124" s="110" t="str">
        <f t="shared" si="41"/>
        <v>22.08.999</v>
      </c>
      <c r="G124" s="1009" t="s">
        <v>109</v>
      </c>
      <c r="H124" s="163">
        <f t="shared" si="42"/>
        <v>5727.5839999999998</v>
      </c>
      <c r="I124" s="109">
        <f t="shared" si="43"/>
        <v>267481.04200000002</v>
      </c>
      <c r="J124" s="109">
        <f t="shared" ca="1" si="44"/>
        <v>100581.747</v>
      </c>
      <c r="K124" s="256">
        <f t="shared" ca="1" si="21"/>
        <v>0.37603318069921382</v>
      </c>
      <c r="L124" s="109">
        <f t="shared" si="45"/>
        <v>188348.742</v>
      </c>
      <c r="M124" s="256">
        <f t="shared" si="23"/>
        <v>0.7041573510843433</v>
      </c>
      <c r="N124" s="109">
        <f t="shared" si="36"/>
        <v>79132.3</v>
      </c>
      <c r="O124" s="162">
        <f t="shared" si="24"/>
        <v>0.29584264891565659</v>
      </c>
      <c r="P124" s="163">
        <f>+'Prog 01'!Q124</f>
        <v>95635.969117999994</v>
      </c>
      <c r="Q124" s="109">
        <f ca="1">+'Prog 01'!R124</f>
        <v>47666.552767999994</v>
      </c>
      <c r="R124" s="162">
        <f t="shared" ca="1" si="22"/>
        <v>0.49841658120478544</v>
      </c>
      <c r="T124" s="537"/>
      <c r="U124" s="537"/>
      <c r="X124" s="627"/>
      <c r="Y124" s="627"/>
      <c r="Z124" s="627"/>
      <c r="AA124" s="632"/>
    </row>
    <row r="125" spans="2:27" s="155" customFormat="1" ht="15" hidden="1" customHeight="1" outlineLevel="1" x14ac:dyDescent="0.25">
      <c r="B125" s="165"/>
      <c r="C125" s="106" t="s">
        <v>185</v>
      </c>
      <c r="D125" s="107"/>
      <c r="E125" s="108"/>
      <c r="F125" s="108"/>
      <c r="G125" s="1008" t="s">
        <v>115</v>
      </c>
      <c r="H125" s="163">
        <f>SUM(H126:H129)</f>
        <v>791977.56799999997</v>
      </c>
      <c r="I125" s="109">
        <f>SUM(I126:I129)</f>
        <v>883897.5290000001</v>
      </c>
      <c r="J125" s="109">
        <f ca="1">SUM(J126:J129)</f>
        <v>777232.57200000004</v>
      </c>
      <c r="K125" s="256">
        <f t="shared" ca="1" si="21"/>
        <v>0.87932429552023328</v>
      </c>
      <c r="L125" s="109">
        <f>SUM(L126:L129)</f>
        <v>876397.5290000001</v>
      </c>
      <c r="M125" s="256">
        <f t="shared" si="23"/>
        <v>0.99151485352777813</v>
      </c>
      <c r="N125" s="109">
        <f>SUM(N126:N129)</f>
        <v>7500</v>
      </c>
      <c r="O125" s="162">
        <f t="shared" si="24"/>
        <v>8.4851464722218942E-3</v>
      </c>
      <c r="P125" s="163">
        <f>SUM(P126:P129)</f>
        <v>716607.06229499995</v>
      </c>
      <c r="Q125" s="109">
        <f ca="1">SUM(Q126:Q129)</f>
        <v>545924.30302700005</v>
      </c>
      <c r="R125" s="162">
        <f t="shared" ca="1" si="22"/>
        <v>0.76181820100771447</v>
      </c>
      <c r="S125" s="154"/>
      <c r="T125" s="537"/>
      <c r="U125" s="537"/>
      <c r="V125" s="628"/>
      <c r="W125" s="628"/>
      <c r="X125" s="627"/>
      <c r="Y125" s="627"/>
      <c r="Z125" s="627"/>
      <c r="AA125" s="632"/>
    </row>
    <row r="126" spans="2:27" ht="15" hidden="1" customHeight="1" outlineLevel="2" x14ac:dyDescent="0.25">
      <c r="B126" s="165"/>
      <c r="C126" s="106"/>
      <c r="D126" s="107" t="s">
        <v>165</v>
      </c>
      <c r="E126" s="108"/>
      <c r="F126" s="110" t="str">
        <f>+CONCATENATE($B$78,"",$C$125,"",D126)</f>
        <v>22.09.002</v>
      </c>
      <c r="G126" s="1009" t="s">
        <v>71</v>
      </c>
      <c r="H126" s="163">
        <f>+VLOOKUP(F126,matriz01,3,FALSE)</f>
        <v>656797.56799999997</v>
      </c>
      <c r="I126" s="109">
        <f>+VLOOKUP(F126,matriz01,4,FALSE)</f>
        <v>748505.73400000005</v>
      </c>
      <c r="J126" s="109">
        <f ca="1">+VLOOKUP(F126,matriz01,5,FALSE)</f>
        <v>692369.451</v>
      </c>
      <c r="K126" s="256">
        <f t="shared" ca="1" si="21"/>
        <v>0.92500220045074488</v>
      </c>
      <c r="L126" s="109">
        <f>INDEX(coincidenciaP01,MATCH(F126,indicep01,0),7)</f>
        <v>748505.73400000005</v>
      </c>
      <c r="M126" s="256">
        <f t="shared" si="23"/>
        <v>1</v>
      </c>
      <c r="N126" s="109">
        <f t="shared" si="36"/>
        <v>0</v>
      </c>
      <c r="O126" s="162">
        <f t="shared" si="24"/>
        <v>0</v>
      </c>
      <c r="P126" s="164">
        <f>+'Prog 01'!Q126</f>
        <v>598741.4394589999</v>
      </c>
      <c r="Q126" s="109">
        <f ca="1">+'Prog 01'!R126</f>
        <v>469849.83743000001</v>
      </c>
      <c r="R126" s="162">
        <f t="shared" ca="1" si="22"/>
        <v>0.78472911087386654</v>
      </c>
      <c r="T126" s="537"/>
      <c r="U126" s="537"/>
      <c r="X126" s="627"/>
      <c r="Y126" s="627"/>
      <c r="Z126" s="627"/>
      <c r="AA126" s="632"/>
    </row>
    <row r="127" spans="2:27" ht="15" hidden="1" customHeight="1" outlineLevel="2" x14ac:dyDescent="0.25">
      <c r="B127" s="165"/>
      <c r="C127" s="106"/>
      <c r="D127" s="107" t="s">
        <v>180</v>
      </c>
      <c r="E127" s="108"/>
      <c r="F127" s="110" t="str">
        <f>+CONCATENATE($B$78,"",$C$125,"",D127)</f>
        <v>22.09.005</v>
      </c>
      <c r="G127" s="1009" t="s">
        <v>116</v>
      </c>
      <c r="H127" s="163">
        <f>+VLOOKUP(F127,matriz01,3,FALSE)</f>
        <v>37080</v>
      </c>
      <c r="I127" s="109">
        <f>+VLOOKUP(F127,matriz01,4,FALSE)</f>
        <v>29880</v>
      </c>
      <c r="J127" s="109">
        <f ca="1">+VLOOKUP(F127,matriz01,5,FALSE)</f>
        <v>25628.505000000001</v>
      </c>
      <c r="K127" s="256">
        <f t="shared" ca="1" si="21"/>
        <v>0.85771435742971891</v>
      </c>
      <c r="L127" s="109">
        <f>INDEX(coincidenciaP01,MATCH(F127,indicep01,0),7)</f>
        <v>29880</v>
      </c>
      <c r="M127" s="256">
        <f t="shared" si="23"/>
        <v>1</v>
      </c>
      <c r="N127" s="109">
        <f t="shared" si="36"/>
        <v>0</v>
      </c>
      <c r="O127" s="162">
        <f t="shared" si="24"/>
        <v>0</v>
      </c>
      <c r="P127" s="163">
        <f>+'Prog 01'!Q127</f>
        <v>34668.334398999999</v>
      </c>
      <c r="Q127" s="109">
        <f ca="1">+'Prog 01'!R127</f>
        <v>19033.440199999997</v>
      </c>
      <c r="R127" s="162">
        <f t="shared" ca="1" si="22"/>
        <v>0.54901513239554456</v>
      </c>
      <c r="T127" s="537"/>
      <c r="U127" s="537"/>
      <c r="X127" s="627"/>
      <c r="Y127" s="627"/>
      <c r="Z127" s="627"/>
      <c r="AA127" s="632"/>
    </row>
    <row r="128" spans="2:27" ht="15" hidden="1" customHeight="1" outlineLevel="2" x14ac:dyDescent="0.25">
      <c r="B128" s="165"/>
      <c r="C128" s="106"/>
      <c r="D128" s="107" t="s">
        <v>181</v>
      </c>
      <c r="E128" s="108"/>
      <c r="F128" s="110" t="str">
        <f>+CONCATENATE($B$78,"",$C$125,"",D128)</f>
        <v>22.09.006</v>
      </c>
      <c r="G128" s="1009" t="s">
        <v>117</v>
      </c>
      <c r="H128" s="163">
        <f>+VLOOKUP(F128,matriz01,3,FALSE)</f>
        <v>85600</v>
      </c>
      <c r="I128" s="109">
        <f>+VLOOKUP(F128,matriz01,4,FALSE)</f>
        <v>81005.544999999998</v>
      </c>
      <c r="J128" s="109">
        <f ca="1">+VLOOKUP(F128,matriz01,5,FALSE)</f>
        <v>46861.792000000001</v>
      </c>
      <c r="K128" s="256">
        <f t="shared" ca="1" si="21"/>
        <v>0.57850103965105104</v>
      </c>
      <c r="L128" s="109">
        <f>INDEX(coincidenciaP01,MATCH(F128,indicep01,0),7)</f>
        <v>73505.544999999998</v>
      </c>
      <c r="M128" s="256">
        <f t="shared" si="23"/>
        <v>0.90741374556519561</v>
      </c>
      <c r="N128" s="109">
        <f t="shared" si="36"/>
        <v>7500</v>
      </c>
      <c r="O128" s="162">
        <f t="shared" si="24"/>
        <v>9.2586254434804435E-2</v>
      </c>
      <c r="P128" s="163">
        <f>+'Prog 01'!Q128</f>
        <v>69909.788436999996</v>
      </c>
      <c r="Q128" s="109">
        <f ca="1">+'Prog 01'!R128</f>
        <v>48186.235396999997</v>
      </c>
      <c r="R128" s="162">
        <f t="shared" ca="1" si="22"/>
        <v>0.68926306994082198</v>
      </c>
      <c r="T128" s="537"/>
      <c r="U128" s="537"/>
      <c r="X128" s="627"/>
      <c r="Y128" s="627"/>
      <c r="Z128" s="627"/>
      <c r="AA128" s="632"/>
    </row>
    <row r="129" spans="2:27" ht="15" hidden="1" customHeight="1" outlineLevel="2" x14ac:dyDescent="0.25">
      <c r="B129" s="165"/>
      <c r="C129" s="106"/>
      <c r="D129" s="107" t="s">
        <v>177</v>
      </c>
      <c r="E129" s="108"/>
      <c r="F129" s="110" t="str">
        <f>+CONCATENATE($B$78,"",$C$125,"",D129)</f>
        <v>22.09.999</v>
      </c>
      <c r="G129" s="1009" t="s">
        <v>109</v>
      </c>
      <c r="H129" s="163">
        <f>+VLOOKUP(F129,matriz01,3,FALSE)</f>
        <v>12500</v>
      </c>
      <c r="I129" s="109">
        <f>+VLOOKUP(F129,matriz01,4,FALSE)</f>
        <v>24506.25</v>
      </c>
      <c r="J129" s="109">
        <f ca="1">+VLOOKUP(F129,matriz01,5,FALSE)</f>
        <v>12372.824000000001</v>
      </c>
      <c r="K129" s="256">
        <f t="shared" ca="1" si="21"/>
        <v>0.50488442744197914</v>
      </c>
      <c r="L129" s="109">
        <f>INDEX(coincidenciaP01,MATCH(F129,indicep01,0),7)</f>
        <v>24506.25</v>
      </c>
      <c r="M129" s="256">
        <f t="shared" si="23"/>
        <v>1</v>
      </c>
      <c r="N129" s="109">
        <f t="shared" si="36"/>
        <v>0</v>
      </c>
      <c r="O129" s="162">
        <f t="shared" si="24"/>
        <v>0</v>
      </c>
      <c r="P129" s="163">
        <f>+'Prog 01'!Q129</f>
        <v>13287.5</v>
      </c>
      <c r="Q129" s="109">
        <f ca="1">+'Prog 01'!R129</f>
        <v>8854.7899999999991</v>
      </c>
      <c r="R129" s="162">
        <f t="shared" ca="1" si="22"/>
        <v>0.66639999999999988</v>
      </c>
      <c r="T129" s="537"/>
      <c r="U129" s="537"/>
      <c r="X129" s="627"/>
      <c r="Y129" s="627"/>
      <c r="Z129" s="627"/>
      <c r="AA129" s="632"/>
    </row>
    <row r="130" spans="2:27" s="155" customFormat="1" ht="15" hidden="1" customHeight="1" outlineLevel="1" x14ac:dyDescent="0.25">
      <c r="B130" s="165"/>
      <c r="C130" s="106" t="s">
        <v>186</v>
      </c>
      <c r="D130" s="107"/>
      <c r="E130" s="108"/>
      <c r="F130" s="108"/>
      <c r="G130" s="1008" t="s">
        <v>118</v>
      </c>
      <c r="H130" s="163">
        <f>SUM(H131:H131)</f>
        <v>37000</v>
      </c>
      <c r="I130" s="109">
        <f>SUM(I131:I132)</f>
        <v>38670.925000000003</v>
      </c>
      <c r="J130" s="109">
        <f ca="1">SUM(J131:J132)</f>
        <v>38670.925000000003</v>
      </c>
      <c r="K130" s="256">
        <f t="shared" ca="1" si="21"/>
        <v>1</v>
      </c>
      <c r="L130" s="109">
        <f>SUM(L131:L132)</f>
        <v>38670.925000000003</v>
      </c>
      <c r="M130" s="256">
        <f t="shared" si="23"/>
        <v>1</v>
      </c>
      <c r="N130" s="109">
        <f>SUM(N131:N131)</f>
        <v>0</v>
      </c>
      <c r="O130" s="162">
        <f t="shared" si="24"/>
        <v>0</v>
      </c>
      <c r="P130" s="163">
        <f>SUM(P131:P132)</f>
        <v>13249.664640999999</v>
      </c>
      <c r="Q130" s="109">
        <f ca="1">+Q132+Q131</f>
        <v>8997.6646410000012</v>
      </c>
      <c r="R130" s="162">
        <f t="shared" ca="1" si="22"/>
        <v>0.67908621725847063</v>
      </c>
      <c r="S130" s="154"/>
      <c r="T130" s="537"/>
      <c r="U130" s="537"/>
      <c r="V130" s="628"/>
      <c r="W130" s="628"/>
      <c r="X130" s="627"/>
      <c r="Y130" s="627"/>
      <c r="Z130" s="627"/>
      <c r="AA130" s="632"/>
    </row>
    <row r="131" spans="2:27" ht="15" hidden="1" customHeight="1" outlineLevel="2" x14ac:dyDescent="0.25">
      <c r="B131" s="165"/>
      <c r="C131" s="106"/>
      <c r="D131" s="107" t="s">
        <v>165</v>
      </c>
      <c r="E131" s="108"/>
      <c r="F131" s="110" t="str">
        <f>+CONCATENATE($B$78,"",$C$130,"",D131)</f>
        <v>22.10.002</v>
      </c>
      <c r="G131" s="1009" t="s">
        <v>119</v>
      </c>
      <c r="H131" s="163">
        <f>+VLOOKUP(F131,matriz01,3,FALSE)</f>
        <v>37000</v>
      </c>
      <c r="I131" s="109">
        <f>+VLOOKUP(F131,matriz01,4,FALSE)</f>
        <v>38670.925000000003</v>
      </c>
      <c r="J131" s="109">
        <f ca="1">+VLOOKUP(F131,matriz01,5,FALSE)</f>
        <v>38670.925000000003</v>
      </c>
      <c r="K131" s="256">
        <f t="shared" ca="1" si="21"/>
        <v>1</v>
      </c>
      <c r="L131" s="109">
        <f>INDEX(coincidenciaP01,MATCH(F131,indicep01,0),7)</f>
        <v>38670.925000000003</v>
      </c>
      <c r="M131" s="256">
        <f t="shared" si="23"/>
        <v>1</v>
      </c>
      <c r="N131" s="109">
        <f t="shared" si="36"/>
        <v>0</v>
      </c>
      <c r="O131" s="162">
        <f t="shared" si="24"/>
        <v>0</v>
      </c>
      <c r="P131" s="164">
        <f>+'Prog 01'!Q131</f>
        <v>13249.664640999999</v>
      </c>
      <c r="Q131" s="109">
        <f ca="1">+'Prog 01'!R131</f>
        <v>8997.6646410000012</v>
      </c>
      <c r="R131" s="162">
        <f t="shared" ca="1" si="22"/>
        <v>0.67908621725847063</v>
      </c>
      <c r="T131" s="537"/>
      <c r="U131" s="537"/>
      <c r="X131" s="627"/>
      <c r="Y131" s="627"/>
      <c r="Z131" s="627"/>
      <c r="AA131" s="632"/>
    </row>
    <row r="132" spans="2:27" ht="15" hidden="1" customHeight="1" outlineLevel="2" x14ac:dyDescent="0.25">
      <c r="B132" s="165"/>
      <c r="C132" s="106"/>
      <c r="D132" s="107" t="s">
        <v>179</v>
      </c>
      <c r="E132" s="108"/>
      <c r="F132" s="110" t="str">
        <f>+CONCATENATE($B$78,"",$C$130,"",D132)</f>
        <v>22.10.004</v>
      </c>
      <c r="G132" s="1010" t="s">
        <v>72</v>
      </c>
      <c r="H132" s="163">
        <f>+'Prog 01'!I132</f>
        <v>0</v>
      </c>
      <c r="I132" s="109">
        <f>+'Prog 01'!J132</f>
        <v>0</v>
      </c>
      <c r="J132" s="109">
        <f ca="1">+'Prog 01'!K132</f>
        <v>0</v>
      </c>
      <c r="K132" s="256" t="str">
        <f t="shared" ca="1" si="21"/>
        <v>0.00%</v>
      </c>
      <c r="L132" s="109">
        <f>INDEX(coincidenciaP01,MATCH(F132,indicep01,0),7)</f>
        <v>0</v>
      </c>
      <c r="M132" s="256">
        <f t="shared" si="23"/>
        <v>0</v>
      </c>
      <c r="N132" s="109">
        <f t="shared" si="36"/>
        <v>0</v>
      </c>
      <c r="O132" s="162">
        <f t="shared" si="24"/>
        <v>0</v>
      </c>
      <c r="P132" s="163">
        <f>+'Prog 01'!Q132</f>
        <v>0</v>
      </c>
      <c r="Q132" s="109">
        <f ca="1">+'Prog 01'!R132</f>
        <v>0</v>
      </c>
      <c r="R132" s="162" t="str">
        <f t="shared" ca="1" si="22"/>
        <v>0.00%</v>
      </c>
      <c r="T132" s="537"/>
      <c r="U132" s="537"/>
      <c r="X132" s="627"/>
      <c r="Y132" s="627"/>
      <c r="Z132" s="627"/>
      <c r="AA132" s="632"/>
    </row>
    <row r="133" spans="2:27" s="155" customFormat="1" ht="15" hidden="1" customHeight="1" outlineLevel="1" x14ac:dyDescent="0.25">
      <c r="B133" s="165"/>
      <c r="C133" s="106" t="s">
        <v>187</v>
      </c>
      <c r="D133" s="107"/>
      <c r="E133" s="108"/>
      <c r="F133" s="108"/>
      <c r="G133" s="1008" t="s">
        <v>73</v>
      </c>
      <c r="H133" s="163">
        <f>SUM(H134:H137)</f>
        <v>882367.00200000009</v>
      </c>
      <c r="I133" s="109">
        <f>SUM(I134:I137)</f>
        <v>2594026.5609999998</v>
      </c>
      <c r="J133" s="109">
        <f ca="1">SUM(J134:J137)</f>
        <v>1021092.7620000002</v>
      </c>
      <c r="K133" s="256">
        <f t="shared" ca="1" si="21"/>
        <v>0.39363234646539935</v>
      </c>
      <c r="L133" s="109">
        <f>SUM(L134:L137)</f>
        <v>1993009.4169999997</v>
      </c>
      <c r="M133" s="256">
        <f t="shared" si="23"/>
        <v>0.76830725134583533</v>
      </c>
      <c r="N133" s="109">
        <f>SUM(N134:N137)</f>
        <v>601017.14399999997</v>
      </c>
      <c r="O133" s="162">
        <f t="shared" si="24"/>
        <v>0.23169274865416462</v>
      </c>
      <c r="P133" s="163">
        <f>SUM(P134:P137)</f>
        <v>889384.33762899996</v>
      </c>
      <c r="Q133" s="109">
        <f ca="1">SUM(Q134:Q137)</f>
        <v>723544.15139699995</v>
      </c>
      <c r="R133" s="162">
        <f t="shared" ca="1" si="22"/>
        <v>0.81353372303124705</v>
      </c>
      <c r="S133" s="154"/>
      <c r="T133" s="537"/>
      <c r="U133" s="537"/>
      <c r="V133" s="628"/>
      <c r="W133" s="628"/>
      <c r="X133" s="627"/>
      <c r="Y133" s="627"/>
      <c r="Z133" s="627"/>
      <c r="AA133" s="632"/>
    </row>
    <row r="134" spans="2:27" ht="15" hidden="1" customHeight="1" outlineLevel="2" x14ac:dyDescent="0.25">
      <c r="B134" s="165"/>
      <c r="C134" s="106"/>
      <c r="D134" s="107" t="s">
        <v>169</v>
      </c>
      <c r="E134" s="108"/>
      <c r="F134" s="110" t="str">
        <f>+CONCATENATE($B$78,"",$C$133,"",D134)</f>
        <v>22.11.001</v>
      </c>
      <c r="G134" s="1009" t="s">
        <v>74</v>
      </c>
      <c r="H134" s="163">
        <f>+VLOOKUP(F134,matriz01,3,FALSE)</f>
        <v>24323.001</v>
      </c>
      <c r="I134" s="109">
        <f>+VLOOKUP(F134,matriz01,4,FALSE)</f>
        <v>999803.49899999995</v>
      </c>
      <c r="J134" s="109">
        <f ca="1">+VLOOKUP(F134,matriz01,5,FALSE)</f>
        <v>364787.59</v>
      </c>
      <c r="K134" s="256">
        <f t="shared" ca="1" si="21"/>
        <v>0.36485928521440397</v>
      </c>
      <c r="L134" s="109">
        <f>INDEX(coincidenciaP01,MATCH(F134,indicep01,0),7)</f>
        <v>577226.91700000002</v>
      </c>
      <c r="M134" s="256">
        <f t="shared" si="23"/>
        <v>0.57734036495905483</v>
      </c>
      <c r="N134" s="109">
        <f t="shared" si="36"/>
        <v>422576.58199999999</v>
      </c>
      <c r="O134" s="162">
        <f t="shared" si="24"/>
        <v>0.42265963504094517</v>
      </c>
      <c r="P134" s="164">
        <f>+'Prog 01'!Q134</f>
        <v>172706.67299999998</v>
      </c>
      <c r="Q134" s="109">
        <f ca="1">+'Prog 01'!R134</f>
        <v>156761.67300000001</v>
      </c>
      <c r="R134" s="162">
        <f t="shared" ca="1" si="22"/>
        <v>0.90767583137913854</v>
      </c>
      <c r="T134" s="537"/>
      <c r="U134" s="537"/>
      <c r="X134" s="627"/>
      <c r="Y134" s="627"/>
      <c r="Z134" s="627"/>
      <c r="AA134" s="632"/>
    </row>
    <row r="135" spans="2:27" ht="15" hidden="1" customHeight="1" outlineLevel="2" collapsed="1" x14ac:dyDescent="0.25">
      <c r="B135" s="165"/>
      <c r="C135" s="106"/>
      <c r="D135" s="107" t="s">
        <v>165</v>
      </c>
      <c r="E135" s="108"/>
      <c r="F135" s="110" t="str">
        <f>+CONCATENATE($B$78,"",$C$133,"",D135)</f>
        <v>22.11.002</v>
      </c>
      <c r="G135" s="1009" t="s">
        <v>75</v>
      </c>
      <c r="H135" s="163">
        <f>+VLOOKUP(F135,matriz01,3,FALSE)</f>
        <v>52663</v>
      </c>
      <c r="I135" s="109">
        <f>+VLOOKUP(F135,matriz01,4,FALSE)</f>
        <v>52663</v>
      </c>
      <c r="J135" s="109">
        <f ca="1">+VLOOKUP(F135,matriz01,5,FALSE)</f>
        <v>5647</v>
      </c>
      <c r="K135" s="256">
        <f t="shared" ca="1" si="21"/>
        <v>0.10722898429637506</v>
      </c>
      <c r="L135" s="109">
        <f>INDEX(coincidenciaP01,MATCH(F135,indicep01,0),7)</f>
        <v>31957.672999999999</v>
      </c>
      <c r="M135" s="256">
        <f t="shared" si="23"/>
        <v>0.60683350739608455</v>
      </c>
      <c r="N135" s="109">
        <f t="shared" si="36"/>
        <v>20705.327000000001</v>
      </c>
      <c r="O135" s="162">
        <f t="shared" si="24"/>
        <v>0.39316649260391551</v>
      </c>
      <c r="P135" s="163">
        <f>+'Prog 01'!Q135</f>
        <v>58418.838162</v>
      </c>
      <c r="Q135" s="109">
        <f ca="1">+'Prog 01'!R135</f>
        <v>8078.7999999999993</v>
      </c>
      <c r="R135" s="162">
        <f t="shared" ca="1" si="22"/>
        <v>0.13829100773276004</v>
      </c>
      <c r="T135" s="537"/>
      <c r="U135" s="537"/>
      <c r="X135" s="627"/>
      <c r="Y135" s="627"/>
      <c r="Z135" s="627"/>
      <c r="AA135" s="632"/>
    </row>
    <row r="136" spans="2:27" ht="15" hidden="1" customHeight="1" outlineLevel="2" x14ac:dyDescent="0.25">
      <c r="B136" s="165"/>
      <c r="C136" s="106"/>
      <c r="D136" s="107" t="s">
        <v>166</v>
      </c>
      <c r="E136" s="108"/>
      <c r="F136" s="110" t="str">
        <f>+CONCATENATE($B$78,"",$C$133,"",D136)</f>
        <v>22.11.003</v>
      </c>
      <c r="G136" s="1009" t="s">
        <v>120</v>
      </c>
      <c r="H136" s="163">
        <f>+VLOOKUP(F136,matriz01,3,FALSE)</f>
        <v>799881.00100000005</v>
      </c>
      <c r="I136" s="109">
        <f>+VLOOKUP(F136,matriz01,4,FALSE)</f>
        <v>1419554.4169999999</v>
      </c>
      <c r="J136" s="109">
        <f ca="1">+VLOOKUP(F136,matriz01,5,FALSE)</f>
        <v>638339.2620000001</v>
      </c>
      <c r="K136" s="256">
        <f t="shared" ca="1" si="21"/>
        <v>0.44967579569723543</v>
      </c>
      <c r="L136" s="109">
        <f>INDEX(coincidenciaP01,MATCH(F136,indicep01,0),7)</f>
        <v>1354519.9169999999</v>
      </c>
      <c r="M136" s="256">
        <f t="shared" si="23"/>
        <v>0.95418668053779865</v>
      </c>
      <c r="N136" s="109">
        <f t="shared" si="36"/>
        <v>65034.5</v>
      </c>
      <c r="O136" s="162">
        <f t="shared" si="24"/>
        <v>4.5813319462201359E-2</v>
      </c>
      <c r="P136" s="163">
        <f>+'Prog 01'!Q136</f>
        <v>651707.69565699995</v>
      </c>
      <c r="Q136" s="109">
        <f ca="1">+'Prog 01'!R136</f>
        <v>556670.19128699997</v>
      </c>
      <c r="R136" s="162">
        <f t="shared" ca="1" si="22"/>
        <v>0.85417157875634608</v>
      </c>
      <c r="T136" s="537"/>
      <c r="U136" s="537"/>
      <c r="X136" s="627"/>
      <c r="Y136" s="627"/>
      <c r="Z136" s="627"/>
      <c r="AA136" s="632"/>
    </row>
    <row r="137" spans="2:27" ht="15" hidden="1" customHeight="1" outlineLevel="2" x14ac:dyDescent="0.25">
      <c r="B137" s="165"/>
      <c r="C137" s="106"/>
      <c r="D137" s="107" t="s">
        <v>177</v>
      </c>
      <c r="E137" s="108"/>
      <c r="F137" s="110" t="str">
        <f>+CONCATENATE($B$78,"",$C$133,"",D137)</f>
        <v>22.11.999</v>
      </c>
      <c r="G137" s="1009" t="s">
        <v>109</v>
      </c>
      <c r="H137" s="163">
        <f>+VLOOKUP(F137,matriz01,3,FALSE)</f>
        <v>5500</v>
      </c>
      <c r="I137" s="109">
        <f>+VLOOKUP(F137,matriz01,4,FALSE)</f>
        <v>122005.645</v>
      </c>
      <c r="J137" s="109">
        <f ca="1">+VLOOKUP(F137,matriz01,5,FALSE)</f>
        <v>12318.91</v>
      </c>
      <c r="K137" s="256">
        <f t="shared" ca="1" si="21"/>
        <v>0.10097000019958093</v>
      </c>
      <c r="L137" s="109">
        <f>INDEX(coincidenciaP01,MATCH(F137,indicep01,0),7)</f>
        <v>29304.91</v>
      </c>
      <c r="M137" s="256">
        <f t="shared" si="23"/>
        <v>0.24019306647655522</v>
      </c>
      <c r="N137" s="109">
        <f t="shared" si="36"/>
        <v>92700.735000000001</v>
      </c>
      <c r="O137" s="162">
        <f t="shared" si="24"/>
        <v>0.75980693352344475</v>
      </c>
      <c r="P137" s="163">
        <f>+'Prog 01'!Q137</f>
        <v>6551.1308099999997</v>
      </c>
      <c r="Q137" s="109">
        <f ca="1">+'Prog 01'!R137</f>
        <v>2033.4871099999998</v>
      </c>
      <c r="R137" s="162">
        <f t="shared" ca="1" si="22"/>
        <v>0.31040245859477805</v>
      </c>
      <c r="T137" s="537"/>
      <c r="U137" s="537"/>
      <c r="X137" s="627"/>
      <c r="Y137" s="627"/>
      <c r="Z137" s="627"/>
      <c r="AA137" s="632"/>
    </row>
    <row r="138" spans="2:27" s="155" customFormat="1" ht="15" hidden="1" customHeight="1" outlineLevel="1" x14ac:dyDescent="0.25">
      <c r="B138" s="165"/>
      <c r="C138" s="325" t="s">
        <v>188</v>
      </c>
      <c r="D138" s="326"/>
      <c r="E138" s="327"/>
      <c r="F138" s="327"/>
      <c r="G138" s="1012" t="s">
        <v>76</v>
      </c>
      <c r="H138" s="331">
        <f>SUM(H139:H141)</f>
        <v>991.01299999999992</v>
      </c>
      <c r="I138" s="109">
        <f>SUM(I139:I141)</f>
        <v>20564.694</v>
      </c>
      <c r="J138" s="323">
        <f ca="1">SUM(J139:J141)</f>
        <v>13700.243999999999</v>
      </c>
      <c r="K138" s="256">
        <f t="shared" ca="1" si="21"/>
        <v>0.66620218127242736</v>
      </c>
      <c r="L138" s="109">
        <f>SUM(L139:L141)</f>
        <v>13880.432999999999</v>
      </c>
      <c r="M138" s="256">
        <f t="shared" si="23"/>
        <v>0.67496423725050314</v>
      </c>
      <c r="N138" s="109">
        <f>SUM(N139:N141)</f>
        <v>6684.2610000000004</v>
      </c>
      <c r="O138" s="162">
        <f t="shared" si="24"/>
        <v>0.3250357627494968</v>
      </c>
      <c r="P138" s="331">
        <f>SUM(P139:P141)</f>
        <v>7411.6835229999988</v>
      </c>
      <c r="Q138" s="323">
        <f ca="1">SUM(Q139:Q141)</f>
        <v>6254.4294389999995</v>
      </c>
      <c r="R138" s="162">
        <f t="shared" ca="1" si="22"/>
        <v>0.84386083399152179</v>
      </c>
      <c r="S138" s="154"/>
      <c r="T138" s="537"/>
      <c r="U138" s="537"/>
      <c r="V138" s="628"/>
      <c r="W138" s="628"/>
      <c r="X138" s="627"/>
      <c r="Y138" s="627"/>
      <c r="Z138" s="627"/>
      <c r="AA138" s="632"/>
    </row>
    <row r="139" spans="2:27" ht="15" hidden="1" customHeight="1" outlineLevel="2" x14ac:dyDescent="0.25">
      <c r="B139" s="165"/>
      <c r="C139" s="325"/>
      <c r="D139" s="326" t="s">
        <v>165</v>
      </c>
      <c r="E139" s="327"/>
      <c r="F139" s="478" t="str">
        <f>+CONCATENATE($B$78,"",$C$138,"",D139)</f>
        <v>22.12.002</v>
      </c>
      <c r="G139" s="767" t="s">
        <v>77</v>
      </c>
      <c r="H139" s="331">
        <f>+VLOOKUP(F139,matriz01,3,FALSE)</f>
        <v>991.01099999999997</v>
      </c>
      <c r="I139" s="109">
        <f>+VLOOKUP(F139,matriz01,4,FALSE)</f>
        <v>8295.8819999999996</v>
      </c>
      <c r="J139" s="323">
        <f ca="1">+VLOOKUP(F139,matriz01,5,FALSE)</f>
        <v>8115.6929999999984</v>
      </c>
      <c r="K139" s="256">
        <f t="shared" ca="1" si="21"/>
        <v>0.97827970552136578</v>
      </c>
      <c r="L139" s="109">
        <f>INDEX(coincidenciaP01,MATCH(F139,indicep01,0),7)</f>
        <v>8295.8819999999996</v>
      </c>
      <c r="M139" s="256">
        <f t="shared" si="23"/>
        <v>1</v>
      </c>
      <c r="N139" s="109">
        <f t="shared" si="36"/>
        <v>0</v>
      </c>
      <c r="O139" s="162">
        <f t="shared" si="24"/>
        <v>0</v>
      </c>
      <c r="P139" s="367">
        <f>+'Prog 01'!Q139</f>
        <v>4896.0855189999993</v>
      </c>
      <c r="Q139" s="323">
        <f ca="1">+'Prog 01'!R139</f>
        <v>4845.8162489999995</v>
      </c>
      <c r="R139" s="162">
        <f t="shared" ca="1" si="22"/>
        <v>0.98973276308084845</v>
      </c>
      <c r="T139" s="537"/>
      <c r="U139" s="537"/>
      <c r="X139" s="627"/>
      <c r="Y139" s="627"/>
      <c r="Z139" s="627"/>
      <c r="AA139" s="632"/>
    </row>
    <row r="140" spans="2:27" ht="15" hidden="1" customHeight="1" outlineLevel="2" x14ac:dyDescent="0.25">
      <c r="B140" s="165"/>
      <c r="C140" s="325"/>
      <c r="D140" s="326" t="s">
        <v>166</v>
      </c>
      <c r="E140" s="327"/>
      <c r="F140" s="478" t="str">
        <f>+CONCATENATE($B$78,"",$C$138,"",D140)</f>
        <v>22.12.003</v>
      </c>
      <c r="G140" s="767" t="s">
        <v>853</v>
      </c>
      <c r="H140" s="331">
        <f>+VLOOKUP(F140,matriz01,3,FALSE)</f>
        <v>1E-3</v>
      </c>
      <c r="I140" s="109">
        <f>+VLOOKUP(F140,matriz01,4,FALSE)</f>
        <v>5533.5</v>
      </c>
      <c r="J140" s="323">
        <f ca="1">+VLOOKUP(F140,matriz01,5,FALSE)</f>
        <v>5533.5</v>
      </c>
      <c r="K140" s="256">
        <f t="shared" ref="K140:K207" ca="1" si="46">IFERROR(J140/I140,"0.00%")</f>
        <v>1</v>
      </c>
      <c r="L140" s="109">
        <f>INDEX(coincidenciaP01,MATCH(F140,indicep01,0),7)</f>
        <v>5533.5</v>
      </c>
      <c r="M140" s="256">
        <f t="shared" si="23"/>
        <v>1</v>
      </c>
      <c r="N140" s="109">
        <f t="shared" si="36"/>
        <v>0</v>
      </c>
      <c r="O140" s="162">
        <f t="shared" si="24"/>
        <v>0</v>
      </c>
      <c r="P140" s="367">
        <f>+'Prog 01'!Q140</f>
        <v>1094.8262199999999</v>
      </c>
      <c r="Q140" s="323">
        <f ca="1">+'Prog 01'!R140</f>
        <v>1094.8262199999999</v>
      </c>
      <c r="R140" s="162">
        <f t="shared" ref="R140:R207" ca="1" si="47">IFERROR(Q140/P140,"0.00%")</f>
        <v>1</v>
      </c>
      <c r="T140" s="537"/>
      <c r="U140" s="537"/>
      <c r="X140" s="627"/>
      <c r="Y140" s="627"/>
      <c r="Z140" s="627"/>
      <c r="AA140" s="632"/>
    </row>
    <row r="141" spans="2:27" ht="15" hidden="1" customHeight="1" outlineLevel="2" x14ac:dyDescent="0.25">
      <c r="B141" s="165"/>
      <c r="C141" s="325"/>
      <c r="D141" s="326" t="s">
        <v>177</v>
      </c>
      <c r="E141" s="327"/>
      <c r="F141" s="478" t="str">
        <f>+CONCATENATE($B$78,"",$C$138,"",D141)</f>
        <v>22.12.999</v>
      </c>
      <c r="G141" s="767" t="s">
        <v>51</v>
      </c>
      <c r="H141" s="331">
        <f>+VLOOKUP(F141,matriz01,3,FALSE)</f>
        <v>1E-3</v>
      </c>
      <c r="I141" s="109">
        <f>+VLOOKUP(F141,matriz01,4,FALSE)</f>
        <v>6735.3119999999999</v>
      </c>
      <c r="J141" s="323">
        <f ca="1">+VLOOKUP(F141,matriz01,5,FALSE)</f>
        <v>51.051000000000002</v>
      </c>
      <c r="K141" s="256">
        <f t="shared" ca="1" si="46"/>
        <v>7.5796043301334824E-3</v>
      </c>
      <c r="L141" s="109">
        <f>INDEX(coincidenciaP01,MATCH(F141,indicep01,0),7)</f>
        <v>51.051000000000002</v>
      </c>
      <c r="M141" s="256">
        <f t="shared" ref="M141:M208" si="48">+IFERROR(L141/I141,0)</f>
        <v>7.5796043301334824E-3</v>
      </c>
      <c r="N141" s="109">
        <f t="shared" si="36"/>
        <v>6684.2610000000004</v>
      </c>
      <c r="O141" s="162">
        <f t="shared" ref="O141:O208" si="49">+IFERROR(N141/I141,0)</f>
        <v>0.99242039566986662</v>
      </c>
      <c r="P141" s="367">
        <f>+'Prog 01'!Q141</f>
        <v>1420.7717839999998</v>
      </c>
      <c r="Q141" s="323">
        <f ca="1">+'Prog 01'!R141</f>
        <v>313.78697</v>
      </c>
      <c r="R141" s="162">
        <f t="shared" ca="1" si="47"/>
        <v>0.22085670164181698</v>
      </c>
      <c r="T141" s="537"/>
      <c r="U141" s="537"/>
      <c r="X141" s="627"/>
      <c r="Y141" s="627"/>
      <c r="Z141" s="627"/>
      <c r="AA141" s="632"/>
    </row>
    <row r="142" spans="2:27" ht="15" customHeight="1" outlineLevel="2" x14ac:dyDescent="0.25">
      <c r="B142" s="165">
        <v>23</v>
      </c>
      <c r="C142" s="325"/>
      <c r="D142" s="326"/>
      <c r="E142" s="327"/>
      <c r="F142" s="478"/>
      <c r="G142" s="1012" t="s">
        <v>280</v>
      </c>
      <c r="H142" s="331">
        <f>+H143</f>
        <v>10</v>
      </c>
      <c r="I142" s="109">
        <f>+I143</f>
        <v>183168</v>
      </c>
      <c r="J142" s="323">
        <f ca="1">+J143</f>
        <v>183168</v>
      </c>
      <c r="K142" s="256">
        <f t="shared" ca="1" si="46"/>
        <v>1</v>
      </c>
      <c r="L142" s="109">
        <f>+L143</f>
        <v>183168</v>
      </c>
      <c r="M142" s="256">
        <f t="shared" si="48"/>
        <v>1</v>
      </c>
      <c r="N142" s="109">
        <f>+N143</f>
        <v>0</v>
      </c>
      <c r="O142" s="162">
        <f t="shared" si="49"/>
        <v>0</v>
      </c>
      <c r="P142" s="367">
        <f>+'Prog 01'!Q142</f>
        <v>4634.6799999999994</v>
      </c>
      <c r="Q142" s="323">
        <f ca="1">+Q143</f>
        <v>4634.6799999999994</v>
      </c>
      <c r="R142" s="162">
        <f t="shared" ca="1" si="47"/>
        <v>1</v>
      </c>
      <c r="T142" s="537"/>
      <c r="U142" s="537"/>
      <c r="X142" s="627"/>
      <c r="Y142" s="627"/>
      <c r="Z142" s="627"/>
      <c r="AA142" s="632"/>
    </row>
    <row r="143" spans="2:27" ht="15" hidden="1" customHeight="1" outlineLevel="2" x14ac:dyDescent="0.25">
      <c r="B143" s="165"/>
      <c r="C143" s="325" t="s">
        <v>163</v>
      </c>
      <c r="D143" s="326"/>
      <c r="E143" s="327"/>
      <c r="F143" s="478" t="s">
        <v>348</v>
      </c>
      <c r="G143" s="767" t="s">
        <v>799</v>
      </c>
      <c r="H143" s="331">
        <f>+VLOOKUP(F143,matriz01,3,FALSE)</f>
        <v>10</v>
      </c>
      <c r="I143" s="323">
        <f>+VLOOKUP(F143,matriz01,4,FALSE)</f>
        <v>183168</v>
      </c>
      <c r="J143" s="323">
        <f ca="1">+VLOOKUP(F143,matriz01,5,FALSE)</f>
        <v>183168</v>
      </c>
      <c r="K143" s="256">
        <f t="shared" ca="1" si="46"/>
        <v>1</v>
      </c>
      <c r="L143" s="109">
        <f>INDEX(coincidenciaP01,MATCH(F143,indicep01,0),7)</f>
        <v>183168</v>
      </c>
      <c r="M143" s="256">
        <f t="shared" si="48"/>
        <v>1</v>
      </c>
      <c r="N143" s="109">
        <f t="shared" si="36"/>
        <v>0</v>
      </c>
      <c r="O143" s="162">
        <f t="shared" si="49"/>
        <v>0</v>
      </c>
      <c r="P143" s="367">
        <f>+'Prog 01'!Q143</f>
        <v>4634.6799999999994</v>
      </c>
      <c r="Q143" s="323">
        <f ca="1">+Q144</f>
        <v>4634.6799999999994</v>
      </c>
      <c r="R143" s="162">
        <f t="shared" ca="1" si="47"/>
        <v>1</v>
      </c>
      <c r="T143" s="537"/>
      <c r="U143" s="537"/>
      <c r="X143" s="627"/>
      <c r="Y143" s="627"/>
      <c r="Z143" s="627"/>
      <c r="AA143" s="632"/>
    </row>
    <row r="144" spans="2:27" ht="15" hidden="1" customHeight="1" outlineLevel="2" x14ac:dyDescent="0.25">
      <c r="B144" s="165"/>
      <c r="C144" s="325"/>
      <c r="D144" s="326" t="s">
        <v>166</v>
      </c>
      <c r="E144" s="327"/>
      <c r="F144" s="478" t="s">
        <v>282</v>
      </c>
      <c r="G144" s="767" t="s">
        <v>281</v>
      </c>
      <c r="H144" s="331">
        <f>+VLOOKUP(F144,matriz01,3,FALSE)</f>
        <v>10</v>
      </c>
      <c r="I144" s="323">
        <f>+VLOOKUP(F144,matriz01,4,FALSE)</f>
        <v>183168</v>
      </c>
      <c r="J144" s="323">
        <f ca="1">+VLOOKUP(F144,matriz01,5,FALSE)</f>
        <v>183168</v>
      </c>
      <c r="K144" s="256">
        <f t="shared" ca="1" si="46"/>
        <v>1</v>
      </c>
      <c r="L144" s="109">
        <f>INDEX(coincidenciaP01,MATCH(F144,indicep01,0),7)</f>
        <v>183168</v>
      </c>
      <c r="M144" s="256">
        <f t="shared" si="48"/>
        <v>1</v>
      </c>
      <c r="N144" s="109">
        <f t="shared" si="36"/>
        <v>0</v>
      </c>
      <c r="O144" s="162">
        <f t="shared" si="49"/>
        <v>0</v>
      </c>
      <c r="P144" s="367">
        <f>+'Prog 01'!Q144</f>
        <v>4634.6799999999994</v>
      </c>
      <c r="Q144" s="323">
        <f ca="1">+'Prog 01'!R144</f>
        <v>4634.6799999999994</v>
      </c>
      <c r="R144" s="162">
        <f t="shared" ca="1" si="47"/>
        <v>1</v>
      </c>
      <c r="T144" s="537"/>
      <c r="U144" s="537"/>
      <c r="X144" s="627"/>
      <c r="Y144" s="627"/>
      <c r="Z144" s="627"/>
      <c r="AA144" s="632"/>
    </row>
    <row r="145" spans="2:51" ht="15" customHeight="1" collapsed="1" x14ac:dyDescent="0.25">
      <c r="B145" s="165">
        <v>24</v>
      </c>
      <c r="C145" s="106" t="s">
        <v>2</v>
      </c>
      <c r="D145" s="107"/>
      <c r="E145" s="108"/>
      <c r="F145" s="108"/>
      <c r="G145" s="1008" t="s">
        <v>148</v>
      </c>
      <c r="H145" s="163">
        <f>+H154+H176+H190+H146</f>
        <v>85436322</v>
      </c>
      <c r="I145" s="109">
        <f>+I154+I176+I190+I146</f>
        <v>85818758</v>
      </c>
      <c r="J145" s="109">
        <f ca="1">+J154+J176+J190+J146</f>
        <v>79129213.866000012</v>
      </c>
      <c r="K145" s="256">
        <f t="shared" ca="1" si="46"/>
        <v>0.92205032687608934</v>
      </c>
      <c r="L145" s="109">
        <f>+L154+L176+L190+L146</f>
        <v>81146291.747999981</v>
      </c>
      <c r="M145" s="256">
        <f t="shared" si="48"/>
        <v>0.94555425456052367</v>
      </c>
      <c r="N145" s="109">
        <f>+N154+N176+N190+N146</f>
        <v>4672466.2520000059</v>
      </c>
      <c r="O145" s="162">
        <f t="shared" si="49"/>
        <v>5.4445745439476133E-2</v>
      </c>
      <c r="P145" s="163">
        <f>+P154+P176+P190+P146</f>
        <v>88217402.669999987</v>
      </c>
      <c r="Q145" s="109">
        <f ca="1">+Q154+Q176+Q190+Q146</f>
        <v>79722170.205770984</v>
      </c>
      <c r="R145" s="162">
        <f t="shared" ca="1" si="47"/>
        <v>0.90370117225047286</v>
      </c>
      <c r="T145" s="537"/>
      <c r="U145" s="537"/>
      <c r="X145" s="627"/>
      <c r="Y145" s="627"/>
      <c r="Z145" s="627"/>
      <c r="AA145" s="632"/>
    </row>
    <row r="146" spans="2:51" ht="15" hidden="1" customHeight="1" outlineLevel="1" x14ac:dyDescent="0.25">
      <c r="B146" s="324" t="s">
        <v>2</v>
      </c>
      <c r="C146" s="480" t="s">
        <v>311</v>
      </c>
      <c r="D146" s="326"/>
      <c r="E146" s="327"/>
      <c r="F146" s="327"/>
      <c r="G146" s="1012" t="s">
        <v>312</v>
      </c>
      <c r="H146" s="331">
        <v>0</v>
      </c>
      <c r="I146" s="323">
        <f>SUM(I147:I153)</f>
        <v>90000</v>
      </c>
      <c r="J146" s="323">
        <f ca="1">SUM(J147:J153)</f>
        <v>90000</v>
      </c>
      <c r="K146" s="256">
        <f ca="1">IFERROR(J146/I146,"0,00%")</f>
        <v>1</v>
      </c>
      <c r="L146" s="323">
        <f>SUM(L147:L153)</f>
        <v>90000</v>
      </c>
      <c r="M146" s="256">
        <f>+IFERROR(L146/I146,0)</f>
        <v>1</v>
      </c>
      <c r="N146" s="323">
        <f>SUM(N147:N153)</f>
        <v>0</v>
      </c>
      <c r="O146" s="162">
        <f>+IFERROR(N146/I146,0)</f>
        <v>0</v>
      </c>
      <c r="P146" s="330">
        <f>+SUM(P148:P153)</f>
        <v>0</v>
      </c>
      <c r="Q146" s="630">
        <f ca="1">+SUM(Q148:Q153)</f>
        <v>0</v>
      </c>
      <c r="R146" s="162" t="str">
        <f t="shared" ca="1" si="47"/>
        <v>0.00%</v>
      </c>
      <c r="T146" s="537"/>
      <c r="U146" s="537"/>
      <c r="X146" s="627"/>
      <c r="Y146" s="627"/>
      <c r="Z146" s="627"/>
      <c r="AA146" s="632"/>
    </row>
    <row r="147" spans="2:51" ht="15" hidden="1" customHeight="1" outlineLevel="1" x14ac:dyDescent="0.25">
      <c r="B147" s="324"/>
      <c r="C147" s="480"/>
      <c r="D147" s="326"/>
      <c r="E147" s="327"/>
      <c r="F147" s="272" t="s">
        <v>1028</v>
      </c>
      <c r="G147" s="767" t="str">
        <f>+'Prog 01'!H148</f>
        <v>Fundación para la Promoción y Desarrollo de la Muj</v>
      </c>
      <c r="H147" s="331">
        <v>0</v>
      </c>
      <c r="I147" s="323">
        <f>+'Prog 01'!J148</f>
        <v>90000</v>
      </c>
      <c r="J147" s="323">
        <f>+'Prog 01'!K148</f>
        <v>90000</v>
      </c>
      <c r="K147" s="256">
        <f>+'Prog 01'!L148</f>
        <v>1</v>
      </c>
      <c r="L147" s="323">
        <f>+'Prog 01'!M148</f>
        <v>90000</v>
      </c>
      <c r="M147" s="256">
        <f t="shared" si="48"/>
        <v>1</v>
      </c>
      <c r="N147" s="323">
        <f>+'Prog 01'!O148</f>
        <v>0</v>
      </c>
      <c r="O147" s="162">
        <f t="shared" si="49"/>
        <v>0</v>
      </c>
      <c r="P147" s="330">
        <v>0</v>
      </c>
      <c r="Q147" s="630">
        <v>0</v>
      </c>
      <c r="R147" s="162">
        <v>0</v>
      </c>
      <c r="T147" s="537"/>
      <c r="U147" s="537"/>
      <c r="X147" s="627"/>
      <c r="Y147" s="627"/>
      <c r="Z147" s="627"/>
      <c r="AA147" s="632"/>
    </row>
    <row r="148" spans="2:51" ht="15" hidden="1" customHeight="1" outlineLevel="1" x14ac:dyDescent="0.25">
      <c r="B148" s="165"/>
      <c r="C148" s="113"/>
      <c r="D148" s="107"/>
      <c r="E148" s="108"/>
      <c r="F148" s="272" t="s">
        <v>310</v>
      </c>
      <c r="G148" s="1013" t="s">
        <v>647</v>
      </c>
      <c r="H148" s="163">
        <v>0</v>
      </c>
      <c r="I148" s="109">
        <v>0</v>
      </c>
      <c r="J148" s="109">
        <v>0</v>
      </c>
      <c r="K148" s="256" t="str">
        <f t="shared" si="46"/>
        <v>0.00%</v>
      </c>
      <c r="L148" s="109">
        <v>0</v>
      </c>
      <c r="M148" s="256">
        <f t="shared" si="48"/>
        <v>0</v>
      </c>
      <c r="N148" s="109">
        <v>0</v>
      </c>
      <c r="O148" s="162">
        <f t="shared" si="49"/>
        <v>0</v>
      </c>
      <c r="P148" s="164">
        <f>+'Prog 01'!Q149</f>
        <v>0</v>
      </c>
      <c r="Q148" s="114">
        <f ca="1">+'Prog 01'!R149</f>
        <v>0</v>
      </c>
      <c r="R148" s="162" t="str">
        <f t="shared" ca="1" si="47"/>
        <v>0.00%</v>
      </c>
      <c r="T148" s="537"/>
      <c r="U148" s="537"/>
      <c r="X148" s="627"/>
      <c r="Y148" s="627"/>
      <c r="Z148" s="627"/>
      <c r="AA148" s="632"/>
    </row>
    <row r="149" spans="2:51" ht="15" hidden="1" customHeight="1" outlineLevel="1" x14ac:dyDescent="0.25">
      <c r="B149" s="165"/>
      <c r="C149" s="113"/>
      <c r="D149" s="107"/>
      <c r="E149" s="108"/>
      <c r="F149" s="272" t="s">
        <v>317</v>
      </c>
      <c r="G149" s="1013" t="s">
        <v>654</v>
      </c>
      <c r="H149" s="163">
        <v>0</v>
      </c>
      <c r="I149" s="109">
        <v>0</v>
      </c>
      <c r="J149" s="109">
        <v>0</v>
      </c>
      <c r="K149" s="256" t="str">
        <f t="shared" si="46"/>
        <v>0.00%</v>
      </c>
      <c r="L149" s="109">
        <v>0</v>
      </c>
      <c r="M149" s="256">
        <f t="shared" si="48"/>
        <v>0</v>
      </c>
      <c r="N149" s="109">
        <v>0</v>
      </c>
      <c r="O149" s="162">
        <f t="shared" si="49"/>
        <v>0</v>
      </c>
      <c r="P149" s="260">
        <f>+'Prog 01'!Q150</f>
        <v>0</v>
      </c>
      <c r="Q149" s="114">
        <f ca="1">+'Prog 01'!R150</f>
        <v>0</v>
      </c>
      <c r="R149" s="162" t="str">
        <f t="shared" ca="1" si="47"/>
        <v>0.00%</v>
      </c>
      <c r="T149" s="537"/>
      <c r="U149" s="537"/>
      <c r="X149" s="627"/>
      <c r="Y149" s="627"/>
      <c r="Z149" s="627"/>
      <c r="AA149" s="632"/>
    </row>
    <row r="150" spans="2:51" ht="15" hidden="1" customHeight="1" outlineLevel="1" x14ac:dyDescent="0.25">
      <c r="B150" s="165"/>
      <c r="C150" s="113"/>
      <c r="D150" s="107"/>
      <c r="E150" s="108"/>
      <c r="F150" s="272" t="s">
        <v>338</v>
      </c>
      <c r="G150" s="1013" t="s">
        <v>754</v>
      </c>
      <c r="H150" s="163">
        <v>0</v>
      </c>
      <c r="I150" s="109">
        <f>+'Prog 01'!J151</f>
        <v>0</v>
      </c>
      <c r="J150" s="109">
        <f ca="1">+'Prog 01'!K151</f>
        <v>0</v>
      </c>
      <c r="K150" s="256" t="str">
        <f t="shared" ca="1" si="46"/>
        <v>0.00%</v>
      </c>
      <c r="L150" s="109">
        <f>+'Prog 01'!M151</f>
        <v>0</v>
      </c>
      <c r="M150" s="256">
        <f t="shared" si="48"/>
        <v>0</v>
      </c>
      <c r="N150" s="109">
        <f>+'Prog 01'!O151</f>
        <v>0</v>
      </c>
      <c r="O150" s="162">
        <f t="shared" si="49"/>
        <v>0</v>
      </c>
      <c r="P150" s="260">
        <f>+'Prog 01'!Q151</f>
        <v>0</v>
      </c>
      <c r="Q150" s="114">
        <f ca="1">+'Prog 01'!R151</f>
        <v>0</v>
      </c>
      <c r="R150" s="162" t="str">
        <f t="shared" ca="1" si="47"/>
        <v>0.00%</v>
      </c>
      <c r="T150" s="537"/>
      <c r="U150" s="537"/>
      <c r="X150" s="627"/>
      <c r="Y150" s="627"/>
      <c r="Z150" s="627"/>
      <c r="AA150" s="632"/>
    </row>
    <row r="151" spans="2:51" ht="15" hidden="1" customHeight="1" outlineLevel="1" x14ac:dyDescent="0.25">
      <c r="B151" s="165"/>
      <c r="C151" s="113"/>
      <c r="D151" s="107"/>
      <c r="E151" s="108"/>
      <c r="F151" s="272" t="s">
        <v>753</v>
      </c>
      <c r="G151" s="1013" t="s">
        <v>755</v>
      </c>
      <c r="H151" s="163">
        <f>+'Prog 05'!H10</f>
        <v>0</v>
      </c>
      <c r="I151" s="109">
        <f>+'Prog 05'!I10</f>
        <v>0</v>
      </c>
      <c r="J151" s="109">
        <f>+'Prog 05'!J10</f>
        <v>0</v>
      </c>
      <c r="K151" s="256" t="str">
        <f t="shared" si="46"/>
        <v>0.00%</v>
      </c>
      <c r="L151" s="109">
        <f>+'Prog 05'!L10</f>
        <v>0</v>
      </c>
      <c r="M151" s="256">
        <f t="shared" si="48"/>
        <v>0</v>
      </c>
      <c r="N151" s="109">
        <f>+'Prog 05'!N10</f>
        <v>0</v>
      </c>
      <c r="O151" s="162">
        <f t="shared" si="49"/>
        <v>0</v>
      </c>
      <c r="P151" s="260">
        <f>+'Prog 01'!Q152</f>
        <v>0</v>
      </c>
      <c r="Q151" s="114">
        <f ca="1">+'Prog 01'!R152</f>
        <v>0</v>
      </c>
      <c r="R151" s="162" t="str">
        <f t="shared" ca="1" si="47"/>
        <v>0.00%</v>
      </c>
      <c r="T151" s="537"/>
      <c r="U151" s="537"/>
      <c r="X151" s="627"/>
      <c r="Y151" s="627"/>
      <c r="Z151" s="627"/>
      <c r="AA151" s="632"/>
    </row>
    <row r="152" spans="2:51" ht="15" hidden="1" customHeight="1" outlineLevel="1" x14ac:dyDescent="0.25">
      <c r="B152" s="165"/>
      <c r="C152" s="113"/>
      <c r="D152" s="107"/>
      <c r="E152" s="108"/>
      <c r="F152" s="272" t="s">
        <v>921</v>
      </c>
      <c r="G152" s="1013" t="s">
        <v>873</v>
      </c>
      <c r="H152" s="163">
        <v>0</v>
      </c>
      <c r="I152" s="109">
        <v>0</v>
      </c>
      <c r="J152" s="109">
        <v>0</v>
      </c>
      <c r="K152" s="256" t="str">
        <f t="shared" si="46"/>
        <v>0.00%</v>
      </c>
      <c r="L152" s="109">
        <v>0</v>
      </c>
      <c r="M152" s="256">
        <f t="shared" si="48"/>
        <v>0</v>
      </c>
      <c r="N152" s="109">
        <v>0</v>
      </c>
      <c r="O152" s="162">
        <f t="shared" si="49"/>
        <v>0</v>
      </c>
      <c r="P152" s="260">
        <f>+'Prog 01'!Q153</f>
        <v>0</v>
      </c>
      <c r="Q152" s="114">
        <f ca="1">+'Prog 01'!R153</f>
        <v>0</v>
      </c>
      <c r="R152" s="162" t="str">
        <f t="shared" ca="1" si="47"/>
        <v>0.00%</v>
      </c>
      <c r="T152" s="537"/>
      <c r="U152" s="537"/>
      <c r="X152" s="627"/>
      <c r="Y152" s="627"/>
      <c r="Z152" s="627"/>
      <c r="AA152" s="632"/>
    </row>
    <row r="153" spans="2:51" ht="15" hidden="1" customHeight="1" outlineLevel="1" x14ac:dyDescent="0.25">
      <c r="B153" s="165"/>
      <c r="C153" s="113"/>
      <c r="D153" s="107"/>
      <c r="E153" s="108"/>
      <c r="F153" s="272" t="s">
        <v>922</v>
      </c>
      <c r="G153" s="1013" t="s">
        <v>874</v>
      </c>
      <c r="H153" s="163">
        <v>0</v>
      </c>
      <c r="I153" s="109">
        <v>0</v>
      </c>
      <c r="J153" s="109">
        <v>0</v>
      </c>
      <c r="K153" s="256" t="str">
        <f t="shared" si="46"/>
        <v>0.00%</v>
      </c>
      <c r="L153" s="109">
        <v>0</v>
      </c>
      <c r="M153" s="256">
        <f t="shared" si="48"/>
        <v>0</v>
      </c>
      <c r="N153" s="109">
        <v>0</v>
      </c>
      <c r="O153" s="162">
        <f t="shared" si="49"/>
        <v>0</v>
      </c>
      <c r="P153" s="260">
        <f>+'Prog 01'!Q154</f>
        <v>0</v>
      </c>
      <c r="Q153" s="114">
        <f ca="1">+'Prog 01'!R154</f>
        <v>0</v>
      </c>
      <c r="R153" s="162" t="str">
        <f t="shared" ca="1" si="47"/>
        <v>0.00%</v>
      </c>
      <c r="T153" s="537"/>
      <c r="U153" s="537"/>
      <c r="X153" s="627"/>
      <c r="Y153" s="627"/>
      <c r="Z153" s="627"/>
      <c r="AA153" s="632"/>
    </row>
    <row r="154" spans="2:51" ht="15" hidden="1" customHeight="1" outlineLevel="1" x14ac:dyDescent="0.25">
      <c r="B154" s="324" t="s">
        <v>2</v>
      </c>
      <c r="C154" s="325" t="s">
        <v>164</v>
      </c>
      <c r="D154" s="326"/>
      <c r="E154" s="327"/>
      <c r="F154" s="327"/>
      <c r="G154" s="1012" t="s">
        <v>5</v>
      </c>
      <c r="H154" s="331">
        <f>SUM(H155:H175)</f>
        <v>192906</v>
      </c>
      <c r="I154" s="323">
        <f>SUM(I155:I175)</f>
        <v>192906</v>
      </c>
      <c r="J154" s="323">
        <f ca="1">SUM(J155:J175)</f>
        <v>192906</v>
      </c>
      <c r="K154" s="256">
        <f t="shared" ca="1" si="46"/>
        <v>1</v>
      </c>
      <c r="L154" s="323">
        <f>SUM(L155:L175)</f>
        <v>192906</v>
      </c>
      <c r="M154" s="256">
        <f t="shared" si="48"/>
        <v>1</v>
      </c>
      <c r="N154" s="323">
        <f>SUM(N155:N175)</f>
        <v>0</v>
      </c>
      <c r="O154" s="162">
        <f t="shared" si="49"/>
        <v>0</v>
      </c>
      <c r="P154" s="330">
        <f>+SUM(P155:P175)</f>
        <v>0</v>
      </c>
      <c r="Q154" s="630">
        <f>+SUM(Q155:Q175)</f>
        <v>0</v>
      </c>
      <c r="R154" s="162" t="str">
        <f t="shared" si="47"/>
        <v>0.00%</v>
      </c>
      <c r="T154" s="537"/>
      <c r="U154" s="537"/>
      <c r="X154" s="627"/>
      <c r="Y154" s="627"/>
      <c r="Z154" s="627"/>
      <c r="AA154" s="632"/>
      <c r="AY154" s="82"/>
    </row>
    <row r="155" spans="2:51" ht="15" hidden="1" customHeight="1" outlineLevel="1" x14ac:dyDescent="0.25">
      <c r="B155" s="165"/>
      <c r="C155" s="106"/>
      <c r="D155" s="107"/>
      <c r="E155" s="108"/>
      <c r="F155" s="272" t="s">
        <v>292</v>
      </c>
      <c r="G155" s="1008" t="s">
        <v>293</v>
      </c>
      <c r="H155" s="163">
        <v>0</v>
      </c>
      <c r="I155" s="109">
        <v>0</v>
      </c>
      <c r="J155" s="111">
        <v>0</v>
      </c>
      <c r="K155" s="256" t="str">
        <f t="shared" si="46"/>
        <v>0.00%</v>
      </c>
      <c r="L155" s="109">
        <v>0</v>
      </c>
      <c r="M155" s="256">
        <f t="shared" si="48"/>
        <v>0</v>
      </c>
      <c r="N155" s="323">
        <f t="shared" ref="N155:N175" si="50">+J155-L155</f>
        <v>0</v>
      </c>
      <c r="O155" s="162">
        <f t="shared" si="49"/>
        <v>0</v>
      </c>
      <c r="P155" s="260">
        <f>+'Prog 05'!P12</f>
        <v>0</v>
      </c>
      <c r="Q155" s="111">
        <f>+'Prog 05'!Q12</f>
        <v>0</v>
      </c>
      <c r="R155" s="162" t="str">
        <f t="shared" si="47"/>
        <v>0.00%</v>
      </c>
      <c r="T155" s="537"/>
      <c r="U155" s="537"/>
      <c r="X155" s="627"/>
      <c r="Y155" s="627"/>
      <c r="Z155" s="627"/>
      <c r="AA155" s="632"/>
      <c r="AY155" s="82"/>
    </row>
    <row r="156" spans="2:51" ht="15" hidden="1" customHeight="1" outlineLevel="1" x14ac:dyDescent="0.25">
      <c r="B156" s="165"/>
      <c r="C156" s="106"/>
      <c r="D156" s="107"/>
      <c r="E156" s="108"/>
      <c r="F156" s="272" t="s">
        <v>288</v>
      </c>
      <c r="G156" s="1010" t="s">
        <v>316</v>
      </c>
      <c r="H156" s="163">
        <f>+'Prog 05'!H13</f>
        <v>0</v>
      </c>
      <c r="I156" s="109">
        <f>+'Prog 05'!I13</f>
        <v>0</v>
      </c>
      <c r="J156" s="109">
        <f>+'Prog 05'!J13</f>
        <v>0</v>
      </c>
      <c r="K156" s="256" t="str">
        <f t="shared" si="46"/>
        <v>0.00%</v>
      </c>
      <c r="L156" s="109">
        <f>+'Prog 05'!L13</f>
        <v>0</v>
      </c>
      <c r="M156" s="256">
        <f t="shared" si="48"/>
        <v>0</v>
      </c>
      <c r="N156" s="323">
        <f t="shared" si="50"/>
        <v>0</v>
      </c>
      <c r="O156" s="162">
        <f t="shared" si="49"/>
        <v>0</v>
      </c>
      <c r="P156" s="260">
        <f>+'Prog 05'!P13</f>
        <v>0</v>
      </c>
      <c r="Q156" s="111">
        <f>+'Prog 05'!Q13</f>
        <v>0</v>
      </c>
      <c r="R156" s="162" t="str">
        <f t="shared" si="47"/>
        <v>0.00%</v>
      </c>
      <c r="T156" s="537"/>
      <c r="U156" s="537"/>
      <c r="X156" s="627"/>
      <c r="Y156" s="627"/>
      <c r="Z156" s="627"/>
      <c r="AA156" s="632"/>
      <c r="AY156" s="82"/>
    </row>
    <row r="157" spans="2:51" ht="15" hidden="1" customHeight="1" outlineLevel="1" x14ac:dyDescent="0.25">
      <c r="B157" s="165"/>
      <c r="C157" s="106"/>
      <c r="D157" s="107"/>
      <c r="E157" s="108"/>
      <c r="F157" s="272" t="s">
        <v>749</v>
      </c>
      <c r="G157" s="1010" t="s">
        <v>540</v>
      </c>
      <c r="H157" s="163">
        <f>+'Prog 05'!H14</f>
        <v>0</v>
      </c>
      <c r="I157" s="109">
        <f>+'Prog 05'!I14</f>
        <v>0</v>
      </c>
      <c r="J157" s="109">
        <f>+'Prog 05'!J14</f>
        <v>0</v>
      </c>
      <c r="K157" s="256" t="str">
        <f t="shared" si="46"/>
        <v>0.00%</v>
      </c>
      <c r="L157" s="109">
        <f>+'Prog 05'!L14</f>
        <v>0</v>
      </c>
      <c r="M157" s="256">
        <f t="shared" si="48"/>
        <v>0</v>
      </c>
      <c r="N157" s="323">
        <f t="shared" si="50"/>
        <v>0</v>
      </c>
      <c r="O157" s="162">
        <f t="shared" si="49"/>
        <v>0</v>
      </c>
      <c r="P157" s="164">
        <f>+'Prog 05'!P14</f>
        <v>0</v>
      </c>
      <c r="Q157" s="111">
        <f>+'Prog 05'!Q14</f>
        <v>0</v>
      </c>
      <c r="R157" s="162" t="str">
        <f t="shared" si="47"/>
        <v>0.00%</v>
      </c>
      <c r="T157" s="537"/>
      <c r="U157" s="537"/>
      <c r="X157" s="627"/>
      <c r="Y157" s="627"/>
      <c r="Z157" s="627"/>
      <c r="AA157" s="632"/>
      <c r="AY157" s="82"/>
    </row>
    <row r="158" spans="2:51" ht="15" hidden="1" customHeight="1" outlineLevel="1" x14ac:dyDescent="0.25">
      <c r="B158" s="165"/>
      <c r="C158" s="106"/>
      <c r="D158" s="107"/>
      <c r="E158" s="108"/>
      <c r="F158" s="272" t="s">
        <v>228</v>
      </c>
      <c r="G158" s="1010" t="s">
        <v>738</v>
      </c>
      <c r="H158" s="163">
        <f>+'Prog 05'!H15</f>
        <v>0</v>
      </c>
      <c r="I158" s="109">
        <f>+'Prog 05'!I15</f>
        <v>0</v>
      </c>
      <c r="J158" s="109">
        <f>+'Prog 05'!J15</f>
        <v>0</v>
      </c>
      <c r="K158" s="256" t="str">
        <f t="shared" si="46"/>
        <v>0.00%</v>
      </c>
      <c r="L158" s="109">
        <f>+'Prog 05'!L15</f>
        <v>0</v>
      </c>
      <c r="M158" s="256">
        <f t="shared" si="48"/>
        <v>0</v>
      </c>
      <c r="N158" s="323">
        <f t="shared" si="50"/>
        <v>0</v>
      </c>
      <c r="O158" s="162">
        <f t="shared" si="49"/>
        <v>0</v>
      </c>
      <c r="P158" s="260">
        <f>+'Prog 05'!P15</f>
        <v>0</v>
      </c>
      <c r="Q158" s="111">
        <f>+'Prog 05'!Q15</f>
        <v>0</v>
      </c>
      <c r="R158" s="162" t="str">
        <f t="shared" si="47"/>
        <v>0.00%</v>
      </c>
      <c r="T158" s="537"/>
      <c r="U158" s="537"/>
      <c r="X158" s="627"/>
      <c r="Y158" s="627"/>
      <c r="Z158" s="627"/>
      <c r="AA158" s="632"/>
      <c r="AY158" s="82"/>
    </row>
    <row r="159" spans="2:51" ht="15" hidden="1" customHeight="1" outlineLevel="1" x14ac:dyDescent="0.25">
      <c r="B159" s="165"/>
      <c r="C159" s="106"/>
      <c r="D159" s="107"/>
      <c r="E159" s="108"/>
      <c r="F159" s="272" t="s">
        <v>907</v>
      </c>
      <c r="G159" s="1010" t="s">
        <v>645</v>
      </c>
      <c r="H159" s="163">
        <v>0</v>
      </c>
      <c r="I159" s="109">
        <v>0</v>
      </c>
      <c r="J159" s="109">
        <v>0</v>
      </c>
      <c r="K159" s="256" t="str">
        <f t="shared" si="46"/>
        <v>0.00%</v>
      </c>
      <c r="L159" s="109">
        <v>0</v>
      </c>
      <c r="M159" s="256">
        <f t="shared" si="48"/>
        <v>0</v>
      </c>
      <c r="N159" s="323">
        <f>+J159-L159</f>
        <v>0</v>
      </c>
      <c r="O159" s="162">
        <f t="shared" si="49"/>
        <v>0</v>
      </c>
      <c r="P159" s="260">
        <f>+'Prog 05'!P16</f>
        <v>0</v>
      </c>
      <c r="Q159" s="111">
        <f>+'Prog 05'!Q16</f>
        <v>0</v>
      </c>
      <c r="R159" s="162" t="str">
        <f t="shared" si="47"/>
        <v>0.00%</v>
      </c>
      <c r="T159" s="537"/>
      <c r="U159" s="537"/>
      <c r="X159" s="627"/>
      <c r="Y159" s="627"/>
      <c r="Z159" s="627"/>
      <c r="AA159" s="632"/>
      <c r="AY159" s="82"/>
    </row>
    <row r="160" spans="2:51" ht="15" hidden="1" customHeight="1" outlineLevel="1" x14ac:dyDescent="0.25">
      <c r="B160" s="165"/>
      <c r="C160" s="106"/>
      <c r="D160" s="107"/>
      <c r="E160" s="108"/>
      <c r="F160" s="272" t="s">
        <v>229</v>
      </c>
      <c r="G160" s="1014" t="s">
        <v>739</v>
      </c>
      <c r="H160" s="331">
        <f>+'Prog 05'!H17</f>
        <v>0</v>
      </c>
      <c r="I160" s="323">
        <f>+'Prog 05'!I17</f>
        <v>0</v>
      </c>
      <c r="J160" s="323">
        <f>+'Prog 05'!J17</f>
        <v>0</v>
      </c>
      <c r="K160" s="256" t="str">
        <f t="shared" si="46"/>
        <v>0.00%</v>
      </c>
      <c r="L160" s="109">
        <f>+'Prog 05'!L17</f>
        <v>0</v>
      </c>
      <c r="M160" s="256">
        <f t="shared" si="48"/>
        <v>0</v>
      </c>
      <c r="N160" s="323">
        <f t="shared" si="50"/>
        <v>0</v>
      </c>
      <c r="O160" s="162">
        <f t="shared" si="49"/>
        <v>0</v>
      </c>
      <c r="P160" s="367">
        <f>+'Prog 05'!P17</f>
        <v>0</v>
      </c>
      <c r="Q160" s="111">
        <f>+'Prog 05'!Q17</f>
        <v>0</v>
      </c>
      <c r="R160" s="162" t="str">
        <f t="shared" si="47"/>
        <v>0.00%</v>
      </c>
      <c r="T160" s="537"/>
      <c r="U160" s="537"/>
      <c r="X160" s="627"/>
      <c r="Y160" s="627"/>
      <c r="Z160" s="627"/>
      <c r="AA160" s="632"/>
      <c r="AY160" s="82"/>
    </row>
    <row r="161" spans="2:51" ht="15" hidden="1" customHeight="1" outlineLevel="1" x14ac:dyDescent="0.25">
      <c r="B161" s="165"/>
      <c r="C161" s="106"/>
      <c r="D161" s="107"/>
      <c r="E161" s="108"/>
      <c r="F161" s="272" t="s">
        <v>230</v>
      </c>
      <c r="G161" s="1014" t="s">
        <v>740</v>
      </c>
      <c r="H161" s="331">
        <f>+'Prog 05'!H18</f>
        <v>0</v>
      </c>
      <c r="I161" s="323">
        <f>+'Prog 05'!I18</f>
        <v>0</v>
      </c>
      <c r="J161" s="323">
        <f>+'Prog 05'!J18</f>
        <v>0</v>
      </c>
      <c r="K161" s="256" t="str">
        <f t="shared" si="46"/>
        <v>0.00%</v>
      </c>
      <c r="L161" s="109">
        <f>+'Prog 05'!L18</f>
        <v>0</v>
      </c>
      <c r="M161" s="256">
        <f t="shared" si="48"/>
        <v>0</v>
      </c>
      <c r="N161" s="323">
        <f t="shared" si="50"/>
        <v>0</v>
      </c>
      <c r="O161" s="162">
        <f t="shared" si="49"/>
        <v>0</v>
      </c>
      <c r="P161" s="367">
        <f>+'Prog 05'!P18</f>
        <v>0</v>
      </c>
      <c r="Q161" s="111">
        <f>+'Prog 05'!Q18</f>
        <v>0</v>
      </c>
      <c r="R161" s="162" t="str">
        <f t="shared" si="47"/>
        <v>0.00%</v>
      </c>
      <c r="T161" s="537"/>
      <c r="U161" s="537"/>
      <c r="X161" s="627"/>
      <c r="Y161" s="627"/>
      <c r="Z161" s="627"/>
      <c r="AA161" s="632"/>
      <c r="AY161" s="82"/>
    </row>
    <row r="162" spans="2:51" ht="15" hidden="1" customHeight="1" outlineLevel="1" x14ac:dyDescent="0.25">
      <c r="B162" s="165"/>
      <c r="C162" s="106"/>
      <c r="D162" s="107"/>
      <c r="E162" s="108"/>
      <c r="F162" s="272" t="s">
        <v>231</v>
      </c>
      <c r="G162" s="1014" t="s">
        <v>741</v>
      </c>
      <c r="H162" s="331">
        <f>+'Prog 05'!H19</f>
        <v>0</v>
      </c>
      <c r="I162" s="323">
        <f>+'Prog 05'!I19</f>
        <v>0</v>
      </c>
      <c r="J162" s="323">
        <f>+'Prog 05'!J19</f>
        <v>0</v>
      </c>
      <c r="K162" s="256" t="str">
        <f t="shared" si="46"/>
        <v>0.00%</v>
      </c>
      <c r="L162" s="109">
        <f>+'Prog 05'!L19</f>
        <v>0</v>
      </c>
      <c r="M162" s="256">
        <f t="shared" si="48"/>
        <v>0</v>
      </c>
      <c r="N162" s="323">
        <f t="shared" si="50"/>
        <v>0</v>
      </c>
      <c r="O162" s="162">
        <f t="shared" si="49"/>
        <v>0</v>
      </c>
      <c r="P162" s="367">
        <f>+'Prog 05'!P19</f>
        <v>0</v>
      </c>
      <c r="Q162" s="111">
        <f>+'Prog 05'!Q19</f>
        <v>0</v>
      </c>
      <c r="R162" s="162" t="str">
        <f t="shared" si="47"/>
        <v>0.00%</v>
      </c>
      <c r="T162" s="537"/>
      <c r="U162" s="537"/>
      <c r="X162" s="627"/>
      <c r="Y162" s="627"/>
      <c r="Z162" s="627"/>
      <c r="AA162" s="632"/>
      <c r="AY162" s="82"/>
    </row>
    <row r="163" spans="2:51" ht="15" hidden="1" customHeight="1" outlineLevel="1" x14ac:dyDescent="0.25">
      <c r="B163" s="165"/>
      <c r="C163" s="106"/>
      <c r="D163" s="107"/>
      <c r="E163" s="108"/>
      <c r="F163" s="272" t="s">
        <v>232</v>
      </c>
      <c r="G163" s="1014" t="s">
        <v>742</v>
      </c>
      <c r="H163" s="331">
        <f>+'Prog 05'!H20</f>
        <v>0</v>
      </c>
      <c r="I163" s="323">
        <f>+'Prog 05'!I20</f>
        <v>0</v>
      </c>
      <c r="J163" s="323">
        <f>+'Prog 05'!J20</f>
        <v>0</v>
      </c>
      <c r="K163" s="256" t="str">
        <f t="shared" si="46"/>
        <v>0.00%</v>
      </c>
      <c r="L163" s="109">
        <f>+'Prog 05'!L20</f>
        <v>0</v>
      </c>
      <c r="M163" s="256">
        <f t="shared" si="48"/>
        <v>0</v>
      </c>
      <c r="N163" s="323">
        <f t="shared" si="50"/>
        <v>0</v>
      </c>
      <c r="O163" s="162">
        <f t="shared" si="49"/>
        <v>0</v>
      </c>
      <c r="P163" s="367">
        <f>+'Prog 05'!P20</f>
        <v>0</v>
      </c>
      <c r="Q163" s="111">
        <f>+'Prog 05'!Q20</f>
        <v>0</v>
      </c>
      <c r="R163" s="162" t="str">
        <f t="shared" si="47"/>
        <v>0.00%</v>
      </c>
      <c r="T163" s="537"/>
      <c r="U163" s="537"/>
      <c r="X163" s="627"/>
      <c r="Y163" s="627"/>
      <c r="Z163" s="627"/>
      <c r="AA163" s="632"/>
      <c r="AY163" s="82"/>
    </row>
    <row r="164" spans="2:51" ht="15" hidden="1" customHeight="1" outlineLevel="1" x14ac:dyDescent="0.25">
      <c r="B164" s="165"/>
      <c r="C164" s="106"/>
      <c r="D164" s="107"/>
      <c r="E164" s="108"/>
      <c r="F164" s="272" t="s">
        <v>233</v>
      </c>
      <c r="G164" s="1014" t="s">
        <v>635</v>
      </c>
      <c r="H164" s="1021">
        <f>+'Prog 05'!H21</f>
        <v>0</v>
      </c>
      <c r="I164" s="494">
        <f>+'Prog 05'!I21</f>
        <v>0</v>
      </c>
      <c r="J164" s="494">
        <f>+'Prog 05'!J21</f>
        <v>0</v>
      </c>
      <c r="K164" s="256" t="str">
        <f t="shared" si="46"/>
        <v>0.00%</v>
      </c>
      <c r="L164" s="109">
        <f>+'Prog 05'!L21</f>
        <v>0</v>
      </c>
      <c r="M164" s="256">
        <f t="shared" si="48"/>
        <v>0</v>
      </c>
      <c r="N164" s="323">
        <f t="shared" si="50"/>
        <v>0</v>
      </c>
      <c r="O164" s="162">
        <f t="shared" si="49"/>
        <v>0</v>
      </c>
      <c r="P164" s="367">
        <f>+'Prog 05'!P21</f>
        <v>0</v>
      </c>
      <c r="Q164" s="111">
        <f>+'Prog 05'!Q21</f>
        <v>0</v>
      </c>
      <c r="R164" s="162" t="str">
        <f t="shared" si="47"/>
        <v>0.00%</v>
      </c>
      <c r="T164" s="537"/>
      <c r="U164" s="537"/>
      <c r="X164" s="627"/>
      <c r="Y164" s="627"/>
      <c r="Z164" s="627"/>
      <c r="AA164" s="632"/>
      <c r="AY164" s="82"/>
    </row>
    <row r="165" spans="2:51" ht="15" hidden="1" customHeight="1" outlineLevel="1" x14ac:dyDescent="0.25">
      <c r="B165" s="165"/>
      <c r="C165" s="106"/>
      <c r="D165" s="107"/>
      <c r="E165" s="108"/>
      <c r="F165" s="272" t="s">
        <v>234</v>
      </c>
      <c r="G165" s="1010" t="s">
        <v>779</v>
      </c>
      <c r="H165" s="1022">
        <f>+'Prog 05'!H23</f>
        <v>0</v>
      </c>
      <c r="I165" s="273">
        <f>+'Prog 05'!I23</f>
        <v>0</v>
      </c>
      <c r="J165" s="273">
        <f>+'Prog 05'!J23</f>
        <v>0</v>
      </c>
      <c r="K165" s="256" t="str">
        <f t="shared" si="46"/>
        <v>0.00%</v>
      </c>
      <c r="L165" s="109">
        <f>+'Prog 05'!L23</f>
        <v>0</v>
      </c>
      <c r="M165" s="256">
        <f t="shared" si="48"/>
        <v>0</v>
      </c>
      <c r="N165" s="323">
        <f t="shared" si="50"/>
        <v>0</v>
      </c>
      <c r="O165" s="162">
        <f t="shared" si="49"/>
        <v>0</v>
      </c>
      <c r="P165" s="164">
        <f>+'Prog 05'!P22</f>
        <v>0</v>
      </c>
      <c r="Q165" s="111">
        <f>+'Prog 05'!Q22</f>
        <v>0</v>
      </c>
      <c r="R165" s="162" t="str">
        <f t="shared" si="47"/>
        <v>0.00%</v>
      </c>
      <c r="T165" s="537"/>
      <c r="U165" s="537"/>
      <c r="X165" s="627"/>
      <c r="Y165" s="627"/>
      <c r="Z165" s="627"/>
      <c r="AA165" s="632"/>
      <c r="AY165" s="82"/>
    </row>
    <row r="166" spans="2:51" ht="15" hidden="1" customHeight="1" outlineLevel="1" x14ac:dyDescent="0.25">
      <c r="B166" s="165"/>
      <c r="C166" s="106"/>
      <c r="D166" s="107"/>
      <c r="E166" s="108"/>
      <c r="F166" s="272" t="s">
        <v>235</v>
      </c>
      <c r="G166" s="1014" t="s">
        <v>743</v>
      </c>
      <c r="H166" s="1021">
        <f>+'Prog 05'!H23</f>
        <v>0</v>
      </c>
      <c r="I166" s="494">
        <f>+'Prog 05'!I23</f>
        <v>0</v>
      </c>
      <c r="J166" s="494">
        <f>+'Prog 05'!J23</f>
        <v>0</v>
      </c>
      <c r="K166" s="256" t="str">
        <f t="shared" si="46"/>
        <v>0.00%</v>
      </c>
      <c r="L166" s="109">
        <f>+'Prog 05'!L23</f>
        <v>0</v>
      </c>
      <c r="M166" s="256">
        <f t="shared" si="48"/>
        <v>0</v>
      </c>
      <c r="N166" s="323">
        <f t="shared" si="50"/>
        <v>0</v>
      </c>
      <c r="O166" s="162">
        <f t="shared" si="49"/>
        <v>0</v>
      </c>
      <c r="P166" s="367">
        <f>+'Prog 05'!P23</f>
        <v>0</v>
      </c>
      <c r="Q166" s="111">
        <f>+'Prog 05'!Q23</f>
        <v>0</v>
      </c>
      <c r="R166" s="162" t="str">
        <f t="shared" si="47"/>
        <v>0.00%</v>
      </c>
      <c r="T166" s="537"/>
      <c r="U166" s="537"/>
      <c r="X166" s="627"/>
      <c r="Y166" s="627"/>
      <c r="Z166" s="627"/>
      <c r="AA166" s="632"/>
      <c r="AY166" s="82"/>
    </row>
    <row r="167" spans="2:51" ht="15" hidden="1" customHeight="1" outlineLevel="1" x14ac:dyDescent="0.25">
      <c r="B167" s="165"/>
      <c r="C167" s="106"/>
      <c r="D167" s="107"/>
      <c r="E167" s="108"/>
      <c r="F167" s="272" t="s">
        <v>236</v>
      </c>
      <c r="G167" s="1014" t="s">
        <v>744</v>
      </c>
      <c r="H167" s="1021">
        <f>+'Prog 05'!H24</f>
        <v>0</v>
      </c>
      <c r="I167" s="494">
        <f>+'Prog 05'!I24</f>
        <v>0</v>
      </c>
      <c r="J167" s="494">
        <f>+'Prog 05'!J24</f>
        <v>0</v>
      </c>
      <c r="K167" s="256" t="str">
        <f t="shared" si="46"/>
        <v>0.00%</v>
      </c>
      <c r="L167" s="109">
        <f>+'Prog 05'!L24</f>
        <v>0</v>
      </c>
      <c r="M167" s="256">
        <f t="shared" si="48"/>
        <v>0</v>
      </c>
      <c r="N167" s="323">
        <f t="shared" si="50"/>
        <v>0</v>
      </c>
      <c r="O167" s="162">
        <f t="shared" si="49"/>
        <v>0</v>
      </c>
      <c r="P167" s="367">
        <f>+'Prog 05'!P24</f>
        <v>0</v>
      </c>
      <c r="Q167" s="111">
        <f>+'Prog 05'!Q24</f>
        <v>0</v>
      </c>
      <c r="R167" s="162" t="str">
        <f t="shared" si="47"/>
        <v>0.00%</v>
      </c>
      <c r="T167" s="537"/>
      <c r="U167" s="537"/>
      <c r="X167" s="627"/>
      <c r="Y167" s="627"/>
      <c r="Z167" s="627"/>
      <c r="AA167" s="632"/>
      <c r="AY167" s="82"/>
    </row>
    <row r="168" spans="2:51" ht="15" hidden="1" customHeight="1" outlineLevel="1" x14ac:dyDescent="0.25">
      <c r="B168" s="165"/>
      <c r="C168" s="106"/>
      <c r="D168" s="107"/>
      <c r="E168" s="108"/>
      <c r="F168" s="272" t="s">
        <v>237</v>
      </c>
      <c r="G168" s="1010" t="s">
        <v>778</v>
      </c>
      <c r="H168" s="1022">
        <f>+'Prog 05'!H26</f>
        <v>0</v>
      </c>
      <c r="I168" s="273">
        <f>+'Prog 05'!I26</f>
        <v>0</v>
      </c>
      <c r="J168" s="273">
        <f>+'Prog 05'!J26</f>
        <v>0</v>
      </c>
      <c r="K168" s="256" t="str">
        <f t="shared" si="46"/>
        <v>0.00%</v>
      </c>
      <c r="L168" s="109">
        <f>+'Prog 05'!L26</f>
        <v>0</v>
      </c>
      <c r="M168" s="256">
        <f t="shared" si="48"/>
        <v>0</v>
      </c>
      <c r="N168" s="323">
        <f t="shared" si="50"/>
        <v>0</v>
      </c>
      <c r="O168" s="162">
        <f t="shared" si="49"/>
        <v>0</v>
      </c>
      <c r="P168" s="164">
        <f>+'Prog 05'!P25</f>
        <v>0</v>
      </c>
      <c r="Q168" s="111">
        <f>+'Prog 05'!Q25</f>
        <v>0</v>
      </c>
      <c r="R168" s="162" t="str">
        <f t="shared" si="47"/>
        <v>0.00%</v>
      </c>
      <c r="T168" s="537"/>
      <c r="U168" s="537"/>
      <c r="X168" s="627"/>
      <c r="Y168" s="627"/>
      <c r="Z168" s="627"/>
      <c r="AA168" s="632"/>
      <c r="AY168" s="82"/>
    </row>
    <row r="169" spans="2:51" ht="15" hidden="1" customHeight="1" outlineLevel="1" x14ac:dyDescent="0.25">
      <c r="B169" s="165"/>
      <c r="C169" s="106"/>
      <c r="D169" s="107"/>
      <c r="E169" s="108"/>
      <c r="F169" s="272" t="s">
        <v>238</v>
      </c>
      <c r="G169" s="1014" t="s">
        <v>745</v>
      </c>
      <c r="H169" s="1021">
        <f>+'Prog 05'!H26</f>
        <v>0</v>
      </c>
      <c r="I169" s="494">
        <f>+'Prog 05'!I26</f>
        <v>0</v>
      </c>
      <c r="J169" s="494">
        <f>+'Prog 05'!J26</f>
        <v>0</v>
      </c>
      <c r="K169" s="256" t="str">
        <f t="shared" si="46"/>
        <v>0.00%</v>
      </c>
      <c r="L169" s="109">
        <f>+'Prog 05'!L26</f>
        <v>0</v>
      </c>
      <c r="M169" s="256">
        <f t="shared" si="48"/>
        <v>0</v>
      </c>
      <c r="N169" s="323">
        <f t="shared" si="50"/>
        <v>0</v>
      </c>
      <c r="O169" s="162">
        <f t="shared" si="49"/>
        <v>0</v>
      </c>
      <c r="P169" s="367">
        <f>+'Prog 05'!P26</f>
        <v>0</v>
      </c>
      <c r="Q169" s="111">
        <f>+'Prog 05'!Q26</f>
        <v>0</v>
      </c>
      <c r="R169" s="162" t="str">
        <f t="shared" si="47"/>
        <v>0.00%</v>
      </c>
      <c r="T169" s="537"/>
      <c r="U169" s="537"/>
      <c r="X169" s="627"/>
      <c r="Y169" s="627"/>
      <c r="Z169" s="627"/>
      <c r="AA169" s="632"/>
      <c r="AY169" s="82"/>
    </row>
    <row r="170" spans="2:51" ht="15" hidden="1" customHeight="1" outlineLevel="1" x14ac:dyDescent="0.25">
      <c r="B170" s="165"/>
      <c r="C170" s="106"/>
      <c r="D170" s="107"/>
      <c r="E170" s="108"/>
      <c r="F170" s="272" t="s">
        <v>239</v>
      </c>
      <c r="G170" s="1014" t="s">
        <v>746</v>
      </c>
      <c r="H170" s="1021">
        <f>+'Prog 05'!H27</f>
        <v>0</v>
      </c>
      <c r="I170" s="494">
        <f>+'Prog 05'!I27</f>
        <v>0</v>
      </c>
      <c r="J170" s="494">
        <f>+'Prog 05'!J27</f>
        <v>0</v>
      </c>
      <c r="K170" s="256" t="str">
        <f t="shared" si="46"/>
        <v>0.00%</v>
      </c>
      <c r="L170" s="109">
        <f>+'Prog 05'!L27</f>
        <v>0</v>
      </c>
      <c r="M170" s="256">
        <f t="shared" si="48"/>
        <v>0</v>
      </c>
      <c r="N170" s="323">
        <f t="shared" si="50"/>
        <v>0</v>
      </c>
      <c r="O170" s="162">
        <f t="shared" si="49"/>
        <v>0</v>
      </c>
      <c r="P170" s="367">
        <f>+'Prog 05'!P27</f>
        <v>0</v>
      </c>
      <c r="Q170" s="111">
        <f>+'Prog 05'!Q27</f>
        <v>0</v>
      </c>
      <c r="R170" s="162" t="str">
        <f t="shared" si="47"/>
        <v>0.00%</v>
      </c>
      <c r="T170" s="537"/>
      <c r="U170" s="537"/>
      <c r="X170" s="627"/>
      <c r="Y170" s="627"/>
      <c r="Z170" s="627"/>
      <c r="AA170" s="632"/>
      <c r="AY170" s="82"/>
    </row>
    <row r="171" spans="2:51" ht="15" hidden="1" customHeight="1" outlineLevel="1" x14ac:dyDescent="0.25">
      <c r="B171" s="165"/>
      <c r="C171" s="106"/>
      <c r="D171" s="107"/>
      <c r="E171" s="108"/>
      <c r="F171" s="272" t="s">
        <v>240</v>
      </c>
      <c r="G171" s="1014" t="s">
        <v>747</v>
      </c>
      <c r="H171" s="1021">
        <f>+'Prog 05'!H28</f>
        <v>0</v>
      </c>
      <c r="I171" s="494">
        <f>+'Prog 05'!I28</f>
        <v>0</v>
      </c>
      <c r="J171" s="494">
        <f>+'Prog 05'!J28</f>
        <v>0</v>
      </c>
      <c r="K171" s="256" t="str">
        <f t="shared" si="46"/>
        <v>0.00%</v>
      </c>
      <c r="L171" s="109">
        <f>+'Prog 05'!L28</f>
        <v>0</v>
      </c>
      <c r="M171" s="256">
        <f t="shared" si="48"/>
        <v>0</v>
      </c>
      <c r="N171" s="323">
        <f t="shared" si="50"/>
        <v>0</v>
      </c>
      <c r="O171" s="162">
        <f t="shared" si="49"/>
        <v>0</v>
      </c>
      <c r="P171" s="367">
        <f>+'Prog 05'!P28</f>
        <v>0</v>
      </c>
      <c r="Q171" s="111">
        <f>+'Prog 05'!Q28</f>
        <v>0</v>
      </c>
      <c r="R171" s="162" t="str">
        <f t="shared" si="47"/>
        <v>0.00%</v>
      </c>
      <c r="T171" s="537"/>
      <c r="U171" s="537"/>
      <c r="X171" s="627"/>
      <c r="Y171" s="627"/>
      <c r="Z171" s="627"/>
      <c r="AA171" s="632"/>
      <c r="AY171" s="82"/>
    </row>
    <row r="172" spans="2:51" ht="15" hidden="1" customHeight="1" outlineLevel="1" x14ac:dyDescent="0.25">
      <c r="B172" s="165"/>
      <c r="C172" s="106"/>
      <c r="D172" s="107"/>
      <c r="E172" s="108"/>
      <c r="F172" s="272" t="s">
        <v>241</v>
      </c>
      <c r="G172" s="1014" t="s">
        <v>748</v>
      </c>
      <c r="H172" s="1021">
        <f>+'Prog 05'!H29</f>
        <v>0</v>
      </c>
      <c r="I172" s="494">
        <f>+'Prog 05'!I29</f>
        <v>0</v>
      </c>
      <c r="J172" s="494">
        <f>+'Prog 05'!J29</f>
        <v>0</v>
      </c>
      <c r="K172" s="256" t="str">
        <f t="shared" si="46"/>
        <v>0.00%</v>
      </c>
      <c r="L172" s="109">
        <f>+'Prog 05'!L29</f>
        <v>0</v>
      </c>
      <c r="M172" s="256">
        <f t="shared" si="48"/>
        <v>0</v>
      </c>
      <c r="N172" s="323">
        <f t="shared" si="50"/>
        <v>0</v>
      </c>
      <c r="O172" s="162">
        <f t="shared" si="49"/>
        <v>0</v>
      </c>
      <c r="P172" s="367">
        <f>+'Prog 05'!P29</f>
        <v>0</v>
      </c>
      <c r="Q172" s="111">
        <f>+'Prog 05'!Q29</f>
        <v>0</v>
      </c>
      <c r="R172" s="162" t="str">
        <f t="shared" si="47"/>
        <v>0.00%</v>
      </c>
      <c r="T172" s="537"/>
      <c r="U172" s="537"/>
      <c r="X172" s="627"/>
      <c r="Y172" s="627"/>
      <c r="Z172" s="627"/>
      <c r="AA172" s="632"/>
      <c r="AY172" s="82"/>
    </row>
    <row r="173" spans="2:51" ht="15" hidden="1" customHeight="1" outlineLevel="1" x14ac:dyDescent="0.25">
      <c r="B173" s="165"/>
      <c r="C173" s="106"/>
      <c r="D173" s="107"/>
      <c r="E173" s="108"/>
      <c r="F173" s="272" t="s">
        <v>788</v>
      </c>
      <c r="G173" s="1010" t="s">
        <v>636</v>
      </c>
      <c r="H173" s="1022">
        <f>+'Prog 05'!H31</f>
        <v>0</v>
      </c>
      <c r="I173" s="273">
        <f>+'Prog 05'!I31</f>
        <v>0</v>
      </c>
      <c r="J173" s="273">
        <f>+'Prog 05'!J31</f>
        <v>0</v>
      </c>
      <c r="K173" s="256" t="str">
        <f t="shared" si="46"/>
        <v>0.00%</v>
      </c>
      <c r="L173" s="109">
        <f>+'Prog 05'!L31</f>
        <v>0</v>
      </c>
      <c r="M173" s="256">
        <f t="shared" si="48"/>
        <v>0</v>
      </c>
      <c r="N173" s="323">
        <f t="shared" si="50"/>
        <v>0</v>
      </c>
      <c r="O173" s="162">
        <f t="shared" si="49"/>
        <v>0</v>
      </c>
      <c r="P173" s="164">
        <f>+'Prog 05'!P30</f>
        <v>0</v>
      </c>
      <c r="Q173" s="111">
        <f>+'Prog 05'!Q30</f>
        <v>0</v>
      </c>
      <c r="R173" s="162" t="str">
        <f t="shared" si="47"/>
        <v>0.00%</v>
      </c>
      <c r="T173" s="537"/>
      <c r="U173" s="537"/>
      <c r="X173" s="627"/>
      <c r="Y173" s="627"/>
      <c r="Z173" s="627"/>
      <c r="AA173" s="632"/>
      <c r="AY173" s="82"/>
    </row>
    <row r="174" spans="2:51" ht="15" hidden="1" customHeight="1" outlineLevel="1" x14ac:dyDescent="0.25">
      <c r="B174" s="165"/>
      <c r="C174" s="106"/>
      <c r="D174" s="107"/>
      <c r="E174" s="108"/>
      <c r="F174" s="272" t="s">
        <v>1010</v>
      </c>
      <c r="G174" s="1010" t="s">
        <v>988</v>
      </c>
      <c r="H174" s="1022">
        <f>+'Prog 02'!H12</f>
        <v>192906</v>
      </c>
      <c r="I174" s="273">
        <f>+'Prog 02'!I12</f>
        <v>192906</v>
      </c>
      <c r="J174" s="273">
        <f ca="1">+'Prog 02'!J12</f>
        <v>192906</v>
      </c>
      <c r="K174" s="256">
        <f t="shared" ca="1" si="46"/>
        <v>1</v>
      </c>
      <c r="L174" s="109">
        <f>+'Prog 02'!L12</f>
        <v>192906</v>
      </c>
      <c r="M174" s="256">
        <f t="shared" si="48"/>
        <v>1</v>
      </c>
      <c r="N174" s="323">
        <f>+'Prog 02'!N12</f>
        <v>0</v>
      </c>
      <c r="O174" s="162">
        <f t="shared" si="49"/>
        <v>0</v>
      </c>
      <c r="P174" s="164">
        <v>0</v>
      </c>
      <c r="Q174" s="111">
        <v>0</v>
      </c>
      <c r="R174" s="162" t="str">
        <f t="shared" si="47"/>
        <v>0.00%</v>
      </c>
      <c r="T174" s="537"/>
      <c r="U174" s="537"/>
      <c r="X174" s="627"/>
      <c r="Y174" s="627"/>
      <c r="Z174" s="627"/>
      <c r="AA174" s="632"/>
      <c r="AY174" s="82"/>
    </row>
    <row r="175" spans="2:51" ht="15" hidden="1" customHeight="1" outlineLevel="1" x14ac:dyDescent="0.25">
      <c r="B175" s="165"/>
      <c r="C175" s="106"/>
      <c r="D175" s="107"/>
      <c r="E175" s="108"/>
      <c r="F175" s="272" t="s">
        <v>750</v>
      </c>
      <c r="G175" s="1010" t="s">
        <v>539</v>
      </c>
      <c r="H175" s="1022">
        <f>+'Prog 05'!H31</f>
        <v>0</v>
      </c>
      <c r="I175" s="273">
        <f>+'Prog 05'!I31</f>
        <v>0</v>
      </c>
      <c r="J175" s="273">
        <f>+'Prog 05'!J31</f>
        <v>0</v>
      </c>
      <c r="K175" s="256" t="str">
        <f t="shared" si="46"/>
        <v>0.00%</v>
      </c>
      <c r="L175" s="109">
        <f>+'Prog 05'!L31</f>
        <v>0</v>
      </c>
      <c r="M175" s="256">
        <f t="shared" si="48"/>
        <v>0</v>
      </c>
      <c r="N175" s="323">
        <f t="shared" si="50"/>
        <v>0</v>
      </c>
      <c r="O175" s="162">
        <f t="shared" si="49"/>
        <v>0</v>
      </c>
      <c r="P175" s="164">
        <f>+'Prog 05'!P31</f>
        <v>0</v>
      </c>
      <c r="Q175" s="111">
        <f>+'Prog 05'!Q31</f>
        <v>0</v>
      </c>
      <c r="R175" s="162" t="str">
        <f t="shared" si="47"/>
        <v>0.00%</v>
      </c>
      <c r="T175" s="537"/>
      <c r="U175" s="537"/>
      <c r="X175" s="627"/>
      <c r="Y175" s="627"/>
      <c r="Z175" s="627"/>
      <c r="AA175" s="632"/>
      <c r="AY175" s="82"/>
    </row>
    <row r="176" spans="2:51" ht="15" hidden="1" customHeight="1" outlineLevel="1" x14ac:dyDescent="0.25">
      <c r="B176" s="324" t="s">
        <v>2</v>
      </c>
      <c r="C176" s="325" t="s">
        <v>167</v>
      </c>
      <c r="D176" s="326"/>
      <c r="E176" s="481"/>
      <c r="F176" s="481"/>
      <c r="G176" s="1012" t="s">
        <v>3</v>
      </c>
      <c r="H176" s="1021">
        <f>SUM(H177:H189)</f>
        <v>85243416</v>
      </c>
      <c r="I176" s="494">
        <f>SUM(I177:I189)</f>
        <v>85243416</v>
      </c>
      <c r="J176" s="494">
        <f ca="1">SUM(J177:J189)</f>
        <v>78846307.866000012</v>
      </c>
      <c r="K176" s="256">
        <f t="shared" ca="1" si="46"/>
        <v>0.92495481253355694</v>
      </c>
      <c r="L176" s="323">
        <f>SUM(L177:L189)</f>
        <v>80863385.747999981</v>
      </c>
      <c r="M176" s="256">
        <f t="shared" si="48"/>
        <v>0.94861737765178233</v>
      </c>
      <c r="N176" s="323">
        <f>SUM(N177:N189)</f>
        <v>4380030.2520000059</v>
      </c>
      <c r="O176" s="162">
        <f t="shared" si="49"/>
        <v>5.1382622348217555E-2</v>
      </c>
      <c r="P176" s="331">
        <f>SUM(P177:P189)</f>
        <v>88217402.669999987</v>
      </c>
      <c r="Q176" s="323">
        <f ca="1">SUM(Q177:Q189)</f>
        <v>79722170.205770984</v>
      </c>
      <c r="R176" s="162">
        <f t="shared" ca="1" si="47"/>
        <v>0.90370117225047286</v>
      </c>
      <c r="T176" s="537"/>
      <c r="U176" s="537"/>
      <c r="X176" s="627"/>
      <c r="Y176" s="627"/>
      <c r="Z176" s="627"/>
      <c r="AA176" s="632"/>
    </row>
    <row r="177" spans="2:27" ht="15" hidden="1" customHeight="1" outlineLevel="2" x14ac:dyDescent="0.25">
      <c r="B177" s="165"/>
      <c r="C177" s="106"/>
      <c r="D177" s="115" t="s">
        <v>195</v>
      </c>
      <c r="E177" s="115"/>
      <c r="F177" s="110" t="str">
        <f>+CONCATENATE($B$145,"",$C$176,"",D177,"",E177)</f>
        <v>24.03.024</v>
      </c>
      <c r="G177" s="1009" t="s">
        <v>243</v>
      </c>
      <c r="H177" s="1022">
        <f>+VLOOKUP(F177,matriz01,3,FALSE)</f>
        <v>10</v>
      </c>
      <c r="I177" s="273">
        <f>+VLOOKUP(F177,matriz01,4,FALSE)</f>
        <v>10</v>
      </c>
      <c r="J177" s="273">
        <f ca="1">+'Prog 01'!K156</f>
        <v>0</v>
      </c>
      <c r="K177" s="256">
        <f t="shared" ca="1" si="46"/>
        <v>0</v>
      </c>
      <c r="L177" s="109">
        <f>INDEX(coincidenciaP01,MATCH(F177,indicep01,0),7)</f>
        <v>0</v>
      </c>
      <c r="M177" s="256">
        <f t="shared" si="48"/>
        <v>0</v>
      </c>
      <c r="N177" s="109">
        <f>INDEX(coincidenciaP01,MATCH(F177,indicep01,0),9)</f>
        <v>10</v>
      </c>
      <c r="O177" s="162">
        <f t="shared" si="49"/>
        <v>1</v>
      </c>
      <c r="P177" s="163">
        <f>+'Prog 01'!Q156</f>
        <v>58475.63</v>
      </c>
      <c r="Q177" s="109">
        <f ca="1">+'Prog 01'!R156</f>
        <v>23386</v>
      </c>
      <c r="R177" s="162">
        <f t="shared" ca="1" si="47"/>
        <v>0.39992728594800947</v>
      </c>
      <c r="T177" s="537"/>
      <c r="U177" s="537"/>
      <c r="X177" s="627"/>
      <c r="Y177" s="627"/>
      <c r="Z177" s="627"/>
      <c r="AA177" s="632"/>
    </row>
    <row r="178" spans="2:27" ht="15" hidden="1" customHeight="1" outlineLevel="2" x14ac:dyDescent="0.25">
      <c r="B178" s="165"/>
      <c r="C178" s="106"/>
      <c r="D178" s="115" t="s">
        <v>225</v>
      </c>
      <c r="E178" s="115"/>
      <c r="F178" s="110" t="str">
        <f>+CONCATENATE($B$145,"",$C$176,"",D178,"",E178)</f>
        <v>24.03.026</v>
      </c>
      <c r="G178" s="1009" t="s">
        <v>139</v>
      </c>
      <c r="H178" s="1022">
        <f>+VLOOKUP(F178,matriz02,3,FALSE)</f>
        <v>1534002</v>
      </c>
      <c r="I178" s="273">
        <f>+VLOOKUP(F178,matriz02,4,FALSE)</f>
        <v>1534002</v>
      </c>
      <c r="J178" s="273">
        <f ca="1">+'Prog 02'!J14</f>
        <v>415096.59299999999</v>
      </c>
      <c r="K178" s="256">
        <f t="shared" ca="1" si="46"/>
        <v>0.27059716545350004</v>
      </c>
      <c r="L178" s="109">
        <f>+'Prog 02'!L14</f>
        <v>1049531.5930000001</v>
      </c>
      <c r="M178" s="256">
        <f t="shared" si="48"/>
        <v>0.68417876443446624</v>
      </c>
      <c r="N178" s="109">
        <f>+'Prog 02'!N14</f>
        <v>484470.40699999989</v>
      </c>
      <c r="O178" s="162">
        <f t="shared" si="49"/>
        <v>0.31582123556553376</v>
      </c>
      <c r="P178" s="163">
        <f>+'Prog 02'!P14</f>
        <v>1385181.4809999999</v>
      </c>
      <c r="Q178" s="109">
        <f>+'Prog 02'!Q14</f>
        <v>483227.04399999999</v>
      </c>
      <c r="R178" s="162">
        <f t="shared" si="47"/>
        <v>0.34885468123003299</v>
      </c>
      <c r="T178" s="537"/>
      <c r="U178" s="537"/>
      <c r="X178" s="627"/>
      <c r="Y178" s="627"/>
      <c r="Z178" s="627"/>
      <c r="AA178" s="632"/>
    </row>
    <row r="179" spans="2:27" ht="15" hidden="1" customHeight="1" outlineLevel="2" x14ac:dyDescent="0.25">
      <c r="B179" s="165"/>
      <c r="C179" s="106"/>
      <c r="D179" s="115" t="s">
        <v>939</v>
      </c>
      <c r="E179" s="483"/>
      <c r="F179" s="478" t="str">
        <f>+CONCATENATE($B$145,"",$C$176,"",D179,"",E179)</f>
        <v>24.03.027</v>
      </c>
      <c r="G179" s="767" t="s">
        <v>933</v>
      </c>
      <c r="H179" s="1022">
        <v>0</v>
      </c>
      <c r="I179" s="273">
        <f>+'Prog 01'!J157</f>
        <v>0</v>
      </c>
      <c r="J179" s="273">
        <f ca="1">+'Prog 01'!K157</f>
        <v>0</v>
      </c>
      <c r="K179" s="256" t="str">
        <f t="shared" ca="1" si="46"/>
        <v>0.00%</v>
      </c>
      <c r="L179" s="109">
        <f>+'Prog 01'!M157</f>
        <v>0</v>
      </c>
      <c r="M179" s="256">
        <f t="shared" si="48"/>
        <v>0</v>
      </c>
      <c r="N179" s="109">
        <f>+'Prog 01'!O157</f>
        <v>0</v>
      </c>
      <c r="O179" s="162">
        <f t="shared" si="49"/>
        <v>0</v>
      </c>
      <c r="P179" s="163">
        <v>0</v>
      </c>
      <c r="Q179" s="109">
        <v>0</v>
      </c>
      <c r="R179" s="162" t="str">
        <f t="shared" si="47"/>
        <v>0.00%</v>
      </c>
      <c r="T179" s="537"/>
      <c r="U179" s="537"/>
      <c r="X179" s="627"/>
      <c r="Y179" s="627"/>
      <c r="Z179" s="627"/>
      <c r="AA179" s="632"/>
    </row>
    <row r="180" spans="2:27" ht="15" hidden="1" customHeight="1" outlineLevel="2" x14ac:dyDescent="0.25">
      <c r="B180" s="165"/>
      <c r="C180" s="106"/>
      <c r="D180" s="119" t="s">
        <v>306</v>
      </c>
      <c r="E180" s="115"/>
      <c r="F180" s="110" t="str">
        <f>+CONCATENATE($B$145,"",$C$176,"",D180,"",E180)</f>
        <v>24.03.033</v>
      </c>
      <c r="G180" s="1009" t="s">
        <v>307</v>
      </c>
      <c r="H180" s="1022">
        <f>+'Prog 02'!H20</f>
        <v>2696418</v>
      </c>
      <c r="I180" s="273">
        <f>+'Prog 02'!I20</f>
        <v>2696418</v>
      </c>
      <c r="J180" s="273">
        <f ca="1">+'Prog 02'!J20</f>
        <v>1008525.1630000001</v>
      </c>
      <c r="K180" s="256">
        <f t="shared" ca="1" si="46"/>
        <v>0.374024043379031</v>
      </c>
      <c r="L180" s="109">
        <f>+'Prog 02'!L20</f>
        <v>1929107.8070000003</v>
      </c>
      <c r="M180" s="256">
        <f t="shared" si="48"/>
        <v>0.71543351475921024</v>
      </c>
      <c r="N180" s="109">
        <f>+'Prog 02'!N20</f>
        <v>767310.19299999974</v>
      </c>
      <c r="O180" s="162">
        <f t="shared" si="49"/>
        <v>0.2845664852407897</v>
      </c>
      <c r="P180" s="163">
        <f>+'Prog 02'!P20</f>
        <v>2773855.9799999995</v>
      </c>
      <c r="Q180" s="109">
        <f>+'Prog 02'!Q20</f>
        <v>886771.44536100002</v>
      </c>
      <c r="R180" s="162">
        <f t="shared" si="47"/>
        <v>0.31968907245177169</v>
      </c>
      <c r="T180" s="537"/>
      <c r="U180" s="537"/>
      <c r="X180" s="627"/>
      <c r="Y180" s="627"/>
      <c r="Z180" s="627"/>
      <c r="AA180" s="632"/>
    </row>
    <row r="181" spans="2:27" ht="15" hidden="1" customHeight="1" outlineLevel="2" x14ac:dyDescent="0.25">
      <c r="B181" s="165"/>
      <c r="C181" s="106"/>
      <c r="D181" s="119" t="s">
        <v>527</v>
      </c>
      <c r="E181" s="115"/>
      <c r="F181" s="110" t="s">
        <v>526</v>
      </c>
      <c r="G181" s="1009" t="s">
        <v>263</v>
      </c>
      <c r="H181" s="163">
        <f>+'Prog 02'!H26</f>
        <v>58398</v>
      </c>
      <c r="I181" s="109">
        <f>+'Prog 02'!I26</f>
        <v>58398</v>
      </c>
      <c r="J181" s="109">
        <f ca="1">+'Prog 02'!J26</f>
        <v>34677.466</v>
      </c>
      <c r="K181" s="256">
        <f t="shared" ca="1" si="46"/>
        <v>0.59381256207404365</v>
      </c>
      <c r="L181" s="109">
        <f>+'Prog 02'!L26</f>
        <v>52242.966</v>
      </c>
      <c r="M181" s="256">
        <f t="shared" si="48"/>
        <v>0.89460197267029695</v>
      </c>
      <c r="N181" s="109">
        <f>+'Prog 02'!N27</f>
        <v>6155.0339999999997</v>
      </c>
      <c r="O181" s="162">
        <f t="shared" si="49"/>
        <v>0.10539802732970306</v>
      </c>
      <c r="P181" s="163">
        <f>+'Prog 02'!P26</f>
        <v>96186.618000000002</v>
      </c>
      <c r="Q181" s="109">
        <f>+'Prog 02'!Q26</f>
        <v>22585.8799</v>
      </c>
      <c r="R181" s="162">
        <f t="shared" si="47"/>
        <v>0.23481312026169793</v>
      </c>
      <c r="T181" s="537"/>
      <c r="U181" s="537"/>
      <c r="X181" s="627"/>
      <c r="Y181" s="627"/>
      <c r="Z181" s="627"/>
      <c r="AA181" s="632"/>
    </row>
    <row r="182" spans="2:27" ht="15" hidden="1" customHeight="1" outlineLevel="2" x14ac:dyDescent="0.25">
      <c r="B182" s="165"/>
      <c r="C182" s="106"/>
      <c r="D182" s="119" t="s">
        <v>192</v>
      </c>
      <c r="E182" s="115"/>
      <c r="F182" s="110" t="s">
        <v>881</v>
      </c>
      <c r="G182" s="1009" t="str">
        <f>+'Prog 01'!H158</f>
        <v xml:space="preserve">Fortalecimiento de Capacidades de Intervención en </v>
      </c>
      <c r="H182" s="163">
        <v>0</v>
      </c>
      <c r="I182" s="109">
        <v>0</v>
      </c>
      <c r="J182" s="109">
        <v>0</v>
      </c>
      <c r="K182" s="256" t="str">
        <f t="shared" si="46"/>
        <v>0.00%</v>
      </c>
      <c r="L182" s="109">
        <v>0</v>
      </c>
      <c r="M182" s="256">
        <f t="shared" si="48"/>
        <v>0</v>
      </c>
      <c r="N182" s="109">
        <v>0</v>
      </c>
      <c r="O182" s="162">
        <f t="shared" si="49"/>
        <v>0</v>
      </c>
      <c r="P182" s="163">
        <f>+'Prog 01'!Q158</f>
        <v>0</v>
      </c>
      <c r="Q182" s="109">
        <f ca="1">+'Prog 01'!R158</f>
        <v>0</v>
      </c>
      <c r="R182" s="162" t="str">
        <f t="shared" ca="1" si="47"/>
        <v>0.00%</v>
      </c>
      <c r="T182" s="537"/>
      <c r="U182" s="537"/>
      <c r="X182" s="627"/>
      <c r="Y182" s="627"/>
      <c r="Z182" s="627"/>
      <c r="AA182" s="632"/>
    </row>
    <row r="183" spans="2:27" ht="15" hidden="1" customHeight="1" outlineLevel="2" x14ac:dyDescent="0.25">
      <c r="B183" s="165"/>
      <c r="C183" s="106"/>
      <c r="D183" s="115" t="s">
        <v>226</v>
      </c>
      <c r="E183" s="115"/>
      <c r="F183" s="110" t="str">
        <f t="shared" ref="F183:F189" si="51">+CONCATENATE($B$145,"",$C$176,"",D183,"",E183)</f>
        <v>24.03.403</v>
      </c>
      <c r="G183" s="1009" t="s">
        <v>313</v>
      </c>
      <c r="H183" s="163">
        <f>+'Prog 03'!H15</f>
        <v>74875016</v>
      </c>
      <c r="I183" s="109">
        <f>+'Prog 03'!I15</f>
        <v>74905999</v>
      </c>
      <c r="J183" s="109">
        <f ca="1">+'Prog 03'!J15</f>
        <v>74905998.225000009</v>
      </c>
      <c r="K183" s="256">
        <f t="shared" ca="1" si="46"/>
        <v>0.99999998965369929</v>
      </c>
      <c r="L183" s="109">
        <f>+'Prog 03'!L15</f>
        <v>74905998.224999994</v>
      </c>
      <c r="M183" s="256">
        <f t="shared" si="48"/>
        <v>0.99999998965369907</v>
      </c>
      <c r="N183" s="109">
        <f>+'Prog 03'!N15</f>
        <v>0.77500000596046448</v>
      </c>
      <c r="O183" s="162">
        <f t="shared" si="49"/>
        <v>1.0346300914569799E-8</v>
      </c>
      <c r="P183" s="163">
        <f>+'Prog 03'!P15</f>
        <v>75042659.332000002</v>
      </c>
      <c r="Q183" s="109">
        <f>+'Prog 03'!Q15</f>
        <v>74875001.303089991</v>
      </c>
      <c r="R183" s="162">
        <f t="shared" si="47"/>
        <v>0.99776583039030819</v>
      </c>
      <c r="T183" s="537"/>
      <c r="U183" s="537"/>
      <c r="X183" s="627"/>
      <c r="Y183" s="627"/>
      <c r="Z183" s="627"/>
      <c r="AA183" s="632"/>
    </row>
    <row r="184" spans="2:27" ht="15" hidden="1" customHeight="1" outlineLevel="2" x14ac:dyDescent="0.25">
      <c r="B184" s="165" t="s">
        <v>2</v>
      </c>
      <c r="C184" s="106"/>
      <c r="D184" s="119" t="s">
        <v>255</v>
      </c>
      <c r="E184" s="115"/>
      <c r="F184" s="110" t="str">
        <f t="shared" si="51"/>
        <v>24.03.406</v>
      </c>
      <c r="G184" s="1009" t="s">
        <v>254</v>
      </c>
      <c r="H184" s="163">
        <f>+'Prog 03'!H16</f>
        <v>3810757</v>
      </c>
      <c r="I184" s="109">
        <f>+'Prog 03'!I16</f>
        <v>3810757</v>
      </c>
      <c r="J184" s="109">
        <f ca="1">+'Prog 03'!J16</f>
        <v>1603656.7479999997</v>
      </c>
      <c r="K184" s="256">
        <f t="shared" ca="1" si="46"/>
        <v>0.42082367046757369</v>
      </c>
      <c r="L184" s="109">
        <f>+'Prog 03'!L16</f>
        <v>1813738.0160000001</v>
      </c>
      <c r="M184" s="256">
        <f t="shared" si="48"/>
        <v>0.47595215753720327</v>
      </c>
      <c r="N184" s="109">
        <f>+'Prog 03'!N16</f>
        <v>1997018.9839999999</v>
      </c>
      <c r="O184" s="162">
        <f t="shared" si="49"/>
        <v>0.52404784246279679</v>
      </c>
      <c r="P184" s="163">
        <f>+'Prog 03'!P16</f>
        <v>5209702.409</v>
      </c>
      <c r="Q184" s="109">
        <f>+'Prog 03'!Q16</f>
        <v>2239431.321525</v>
      </c>
      <c r="R184" s="162">
        <f t="shared" si="47"/>
        <v>0.42985782021949653</v>
      </c>
      <c r="T184" s="537"/>
      <c r="U184" s="537"/>
      <c r="X184" s="627"/>
      <c r="Y184" s="627"/>
      <c r="Z184" s="627"/>
      <c r="AA184" s="632"/>
    </row>
    <row r="185" spans="2:27" ht="15" hidden="1" customHeight="1" outlineLevel="2" x14ac:dyDescent="0.25">
      <c r="B185" s="165" t="s">
        <v>2</v>
      </c>
      <c r="C185" s="106"/>
      <c r="D185" s="119" t="s">
        <v>257</v>
      </c>
      <c r="E185" s="115"/>
      <c r="F185" s="110" t="str">
        <f t="shared" si="51"/>
        <v>24.03.409</v>
      </c>
      <c r="G185" s="1009" t="s">
        <v>261</v>
      </c>
      <c r="H185" s="163">
        <f>+'Prog 01'!I159</f>
        <v>136421</v>
      </c>
      <c r="I185" s="109">
        <f>+VLOOKUP(F185,matriz01,4,FALSE)</f>
        <v>136421</v>
      </c>
      <c r="J185" s="109">
        <f ca="1">+'Prog 01'!K159</f>
        <v>70413.670999999988</v>
      </c>
      <c r="K185" s="256">
        <f t="shared" ca="1" si="46"/>
        <v>0.51614979365346969</v>
      </c>
      <c r="L185" s="109">
        <f>+'Prog 01'!M159</f>
        <v>95984.040999999997</v>
      </c>
      <c r="M185" s="256">
        <f t="shared" si="48"/>
        <v>0.70358699173880856</v>
      </c>
      <c r="N185" s="109">
        <f>INDEX(coincidenciaP01,MATCH(F185,indicep01,0),9)</f>
        <v>40436.959000000003</v>
      </c>
      <c r="O185" s="162">
        <f t="shared" si="49"/>
        <v>0.29641300826119149</v>
      </c>
      <c r="P185" s="163">
        <f>+'Prog 01'!Q159</f>
        <v>221616.36599999998</v>
      </c>
      <c r="Q185" s="109">
        <f ca="1">+'Prog 01'!R159</f>
        <v>128203.82189499999</v>
      </c>
      <c r="R185" s="162">
        <f t="shared" ca="1" si="47"/>
        <v>0.57849437841156548</v>
      </c>
      <c r="T185" s="537"/>
      <c r="U185" s="537"/>
      <c r="X185" s="627"/>
      <c r="Y185" s="627"/>
      <c r="Z185" s="627"/>
      <c r="AA185" s="632"/>
    </row>
    <row r="186" spans="2:27" ht="15" hidden="1" customHeight="1" outlineLevel="2" x14ac:dyDescent="0.25">
      <c r="B186" s="165"/>
      <c r="C186" s="788"/>
      <c r="D186" s="119" t="s">
        <v>935</v>
      </c>
      <c r="E186" s="115"/>
      <c r="F186" s="110" t="str">
        <f t="shared" si="51"/>
        <v>24.03.410</v>
      </c>
      <c r="G186" s="1009" t="s">
        <v>936</v>
      </c>
      <c r="H186" s="163">
        <v>0</v>
      </c>
      <c r="I186" s="109"/>
      <c r="J186" s="109"/>
      <c r="K186" s="256" t="str">
        <f t="shared" si="46"/>
        <v>0.00%</v>
      </c>
      <c r="L186" s="109"/>
      <c r="M186" s="256">
        <f t="shared" si="48"/>
        <v>0</v>
      </c>
      <c r="N186" s="109"/>
      <c r="O186" s="162">
        <f t="shared" si="49"/>
        <v>0</v>
      </c>
      <c r="P186" s="163">
        <f>+'Prog 01'!Q160</f>
        <v>0</v>
      </c>
      <c r="Q186" s="109">
        <f ca="1">+'Prog 01'!R160</f>
        <v>0</v>
      </c>
      <c r="R186" s="162" t="str">
        <f t="shared" ca="1" si="47"/>
        <v>0.00%</v>
      </c>
      <c r="T186" s="537"/>
      <c r="U186" s="537"/>
      <c r="X186" s="627"/>
      <c r="Y186" s="627"/>
      <c r="Z186" s="627"/>
      <c r="AA186" s="632"/>
    </row>
    <row r="187" spans="2:27" ht="15" hidden="1" customHeight="1" outlineLevel="2" x14ac:dyDescent="0.25">
      <c r="B187" s="165" t="s">
        <v>2</v>
      </c>
      <c r="C187" s="106"/>
      <c r="D187" s="119" t="s">
        <v>258</v>
      </c>
      <c r="E187" s="115"/>
      <c r="F187" s="110" t="str">
        <f t="shared" si="51"/>
        <v>24.03.415</v>
      </c>
      <c r="G187" s="1009" t="s">
        <v>262</v>
      </c>
      <c r="H187" s="163">
        <f>+'Prog 01'!I161</f>
        <v>0</v>
      </c>
      <c r="I187" s="109">
        <f>+VLOOKUP(F187,matriz01,4,FALSE)</f>
        <v>0</v>
      </c>
      <c r="J187" s="109">
        <f ca="1">+'Prog 01'!K161</f>
        <v>0</v>
      </c>
      <c r="K187" s="256" t="str">
        <f t="shared" ca="1" si="46"/>
        <v>0.00%</v>
      </c>
      <c r="L187" s="109">
        <f>INDEX(coincidenciaP01,MATCH(F187,indicep01,0),7)</f>
        <v>0</v>
      </c>
      <c r="M187" s="256">
        <f t="shared" si="48"/>
        <v>0</v>
      </c>
      <c r="N187" s="109">
        <f>INDEX(coincidenciaP01,MATCH(F187,indicep01,0),9)</f>
        <v>0</v>
      </c>
      <c r="O187" s="162">
        <f t="shared" si="49"/>
        <v>0</v>
      </c>
      <c r="P187" s="163">
        <f>+'Prog 01'!Q161</f>
        <v>48246.380999999994</v>
      </c>
      <c r="Q187" s="109">
        <f ca="1">+'Prog 01'!R161</f>
        <v>44943.64</v>
      </c>
      <c r="R187" s="162">
        <f t="shared" ca="1" si="47"/>
        <v>0.93154427479234148</v>
      </c>
      <c r="T187" s="537"/>
      <c r="U187" s="537"/>
      <c r="X187" s="627"/>
      <c r="Y187" s="627"/>
      <c r="Z187" s="627"/>
      <c r="AA187" s="632"/>
    </row>
    <row r="188" spans="2:27" ht="15" hidden="1" customHeight="1" outlineLevel="2" x14ac:dyDescent="0.25">
      <c r="B188" s="165" t="s">
        <v>2</v>
      </c>
      <c r="C188" s="106"/>
      <c r="D188" s="119" t="s">
        <v>272</v>
      </c>
      <c r="E188" s="115"/>
      <c r="F188" s="110" t="str">
        <f t="shared" si="51"/>
        <v>24.03.500</v>
      </c>
      <c r="G188" s="1009" t="s">
        <v>265</v>
      </c>
      <c r="H188" s="163">
        <f>+'Prog 02'!H29</f>
        <v>0</v>
      </c>
      <c r="I188" s="109">
        <f>+'Prog 02'!I29</f>
        <v>0</v>
      </c>
      <c r="J188" s="109">
        <f ca="1">+'Prog 02'!J29</f>
        <v>0</v>
      </c>
      <c r="K188" s="256" t="str">
        <f t="shared" ca="1" si="46"/>
        <v>0.00%</v>
      </c>
      <c r="L188" s="109">
        <f>+'Prog 02'!L28</f>
        <v>0</v>
      </c>
      <c r="M188" s="256">
        <f t="shared" si="48"/>
        <v>0</v>
      </c>
      <c r="N188" s="109">
        <f>+'Prog 02'!N29</f>
        <v>0</v>
      </c>
      <c r="O188" s="162">
        <f t="shared" si="49"/>
        <v>0</v>
      </c>
      <c r="P188" s="163">
        <f>+'Prog 02'!P28</f>
        <v>192905.799</v>
      </c>
      <c r="Q188" s="109">
        <f>+'Prog 02'!Q29</f>
        <v>0</v>
      </c>
      <c r="R188" s="162">
        <f t="shared" si="47"/>
        <v>0</v>
      </c>
      <c r="T188" s="537"/>
      <c r="U188" s="537"/>
      <c r="X188" s="627"/>
      <c r="Y188" s="627"/>
      <c r="Z188" s="627"/>
      <c r="AA188" s="632"/>
    </row>
    <row r="189" spans="2:27" ht="15" hidden="1" customHeight="1" outlineLevel="2" x14ac:dyDescent="0.25">
      <c r="B189" s="165" t="s">
        <v>2</v>
      </c>
      <c r="C189" s="106"/>
      <c r="D189" s="119" t="s">
        <v>325</v>
      </c>
      <c r="E189" s="115"/>
      <c r="F189" s="110" t="str">
        <f t="shared" si="51"/>
        <v>24.03.602</v>
      </c>
      <c r="G189" s="1009" t="s">
        <v>303</v>
      </c>
      <c r="H189" s="163">
        <f>+'Prog 02'!H30</f>
        <v>2132394</v>
      </c>
      <c r="I189" s="109">
        <f>+'Prog 02'!I30</f>
        <v>2101411</v>
      </c>
      <c r="J189" s="109">
        <f ca="1">+'Prog 02'!J30</f>
        <v>807940</v>
      </c>
      <c r="K189" s="256">
        <f t="shared" ca="1" si="46"/>
        <v>0.38447500274815349</v>
      </c>
      <c r="L189" s="109">
        <f>+'Prog 02'!L30</f>
        <v>1016783.1</v>
      </c>
      <c r="M189" s="256">
        <f t="shared" si="48"/>
        <v>0.4838573225323366</v>
      </c>
      <c r="N189" s="109">
        <f>+'Prog 02'!N30</f>
        <v>1084627.8999999999</v>
      </c>
      <c r="O189" s="162">
        <f t="shared" si="49"/>
        <v>0.5161426774676634</v>
      </c>
      <c r="P189" s="163">
        <f>+'Prog 02'!P30</f>
        <v>3188572.6739999996</v>
      </c>
      <c r="Q189" s="109">
        <f>+'Prog 02'!Q30</f>
        <v>1018619.75</v>
      </c>
      <c r="R189" s="162">
        <f t="shared" si="47"/>
        <v>0.31945947423621435</v>
      </c>
      <c r="T189" s="537"/>
      <c r="U189" s="537"/>
      <c r="X189" s="627"/>
      <c r="Y189" s="627"/>
      <c r="Z189" s="627"/>
      <c r="AA189" s="632"/>
    </row>
    <row r="190" spans="2:27" s="155" customFormat="1" ht="15" hidden="1" customHeight="1" outlineLevel="1" x14ac:dyDescent="0.25">
      <c r="B190" s="324" t="s">
        <v>2</v>
      </c>
      <c r="C190" s="480" t="s">
        <v>183</v>
      </c>
      <c r="D190" s="326"/>
      <c r="E190" s="481"/>
      <c r="F190" s="481"/>
      <c r="G190" s="1012" t="s">
        <v>294</v>
      </c>
      <c r="H190" s="331">
        <f>SUM(H191:H195)</f>
        <v>0</v>
      </c>
      <c r="I190" s="323">
        <f>SUM(I191:I195)</f>
        <v>292436</v>
      </c>
      <c r="J190" s="323">
        <f ca="1">SUM(J191:J195)</f>
        <v>0</v>
      </c>
      <c r="K190" s="256">
        <f t="shared" ca="1" si="46"/>
        <v>0</v>
      </c>
      <c r="L190" s="323">
        <f>SUM(L191:L195)</f>
        <v>0</v>
      </c>
      <c r="M190" s="256">
        <f t="shared" si="48"/>
        <v>0</v>
      </c>
      <c r="N190" s="323">
        <f>SUM(N191:N195)</f>
        <v>292436</v>
      </c>
      <c r="O190" s="162">
        <f t="shared" si="49"/>
        <v>1</v>
      </c>
      <c r="P190" s="331">
        <f>+SUM(P191:P194)</f>
        <v>0</v>
      </c>
      <c r="Q190" s="323">
        <f ca="1">+SUM(Q191:Q194)</f>
        <v>0</v>
      </c>
      <c r="R190" s="162" t="str">
        <f t="shared" ca="1" si="47"/>
        <v>0.00%</v>
      </c>
      <c r="S190" s="154"/>
      <c r="T190" s="537"/>
      <c r="U190" s="537"/>
      <c r="V190" s="628"/>
      <c r="W190" s="628"/>
      <c r="X190" s="627"/>
      <c r="Y190" s="627"/>
      <c r="Z190" s="627"/>
      <c r="AA190" s="632"/>
    </row>
    <row r="191" spans="2:27" s="155" customFormat="1" ht="15" hidden="1" customHeight="1" outlineLevel="1" x14ac:dyDescent="0.25">
      <c r="B191" s="165"/>
      <c r="C191" s="113"/>
      <c r="D191" s="107"/>
      <c r="E191" s="118"/>
      <c r="F191" s="110" t="s">
        <v>244</v>
      </c>
      <c r="G191" s="1013" t="s">
        <v>757</v>
      </c>
      <c r="H191" s="163">
        <v>0</v>
      </c>
      <c r="I191" s="109">
        <f>+'Prog 01'!J163</f>
        <v>165000</v>
      </c>
      <c r="J191" s="109">
        <f ca="1">+'Prog 01'!K163</f>
        <v>0</v>
      </c>
      <c r="K191" s="256">
        <f t="shared" ca="1" si="46"/>
        <v>0</v>
      </c>
      <c r="L191" s="109">
        <f>+'Prog 01'!M163</f>
        <v>0</v>
      </c>
      <c r="M191" s="256">
        <f t="shared" si="48"/>
        <v>0</v>
      </c>
      <c r="N191" s="109">
        <f>+'Prog 01'!O163</f>
        <v>165000</v>
      </c>
      <c r="O191" s="162">
        <f t="shared" si="49"/>
        <v>1</v>
      </c>
      <c r="P191" s="163">
        <f>+'Prog 01'!Q163</f>
        <v>0</v>
      </c>
      <c r="Q191" s="109">
        <f ca="1">+'Prog 01'!R163</f>
        <v>0</v>
      </c>
      <c r="R191" s="162" t="str">
        <f t="shared" ca="1" si="47"/>
        <v>0.00%</v>
      </c>
      <c r="S191" s="154"/>
      <c r="T191" s="537"/>
      <c r="U191" s="537"/>
      <c r="V191" s="628"/>
      <c r="W191" s="628"/>
      <c r="X191" s="627"/>
      <c r="Y191" s="627"/>
      <c r="Z191" s="627"/>
      <c r="AA191" s="632"/>
    </row>
    <row r="192" spans="2:27" s="155" customFormat="1" ht="15" hidden="1" customHeight="1" outlineLevel="1" x14ac:dyDescent="0.25">
      <c r="B192" s="165"/>
      <c r="C192" s="113"/>
      <c r="D192" s="107"/>
      <c r="E192" s="118"/>
      <c r="F192" s="110" t="s">
        <v>326</v>
      </c>
      <c r="G192" s="1013" t="s">
        <v>327</v>
      </c>
      <c r="H192" s="163">
        <v>0</v>
      </c>
      <c r="I192" s="109">
        <f>+'Prog 01'!J164</f>
        <v>51678</v>
      </c>
      <c r="J192" s="109">
        <f ca="1">+'Prog 01'!K164</f>
        <v>0</v>
      </c>
      <c r="K192" s="256">
        <f t="shared" ca="1" si="46"/>
        <v>0</v>
      </c>
      <c r="L192" s="109">
        <f>+'Prog 01'!M164</f>
        <v>0</v>
      </c>
      <c r="M192" s="256">
        <f t="shared" si="48"/>
        <v>0</v>
      </c>
      <c r="N192" s="109">
        <f>+'Prog 01'!O164</f>
        <v>51678</v>
      </c>
      <c r="O192" s="162">
        <f t="shared" si="49"/>
        <v>1</v>
      </c>
      <c r="P192" s="163">
        <f>+'Prog 01'!Q164</f>
        <v>0</v>
      </c>
      <c r="Q192" s="109">
        <f ca="1">+'Prog 01'!R164</f>
        <v>0</v>
      </c>
      <c r="R192" s="162" t="str">
        <f t="shared" ca="1" si="47"/>
        <v>0.00%</v>
      </c>
      <c r="S192" s="154"/>
      <c r="T192" s="537"/>
      <c r="U192" s="537"/>
      <c r="V192" s="628"/>
      <c r="W192" s="628"/>
      <c r="X192" s="627"/>
      <c r="Y192" s="627"/>
      <c r="Z192" s="627"/>
      <c r="AA192" s="632"/>
    </row>
    <row r="193" spans="1:27" s="155" customFormat="1" ht="15" hidden="1" customHeight="1" outlineLevel="1" x14ac:dyDescent="0.25">
      <c r="A193" s="479"/>
      <c r="B193" s="324"/>
      <c r="C193" s="480"/>
      <c r="D193" s="326"/>
      <c r="E193" s="481"/>
      <c r="F193" s="478" t="s">
        <v>756</v>
      </c>
      <c r="G193" s="1015" t="s">
        <v>501</v>
      </c>
      <c r="H193" s="163">
        <v>0</v>
      </c>
      <c r="I193" s="109">
        <f>+'Prog 01'!J165</f>
        <v>0</v>
      </c>
      <c r="J193" s="109">
        <v>0</v>
      </c>
      <c r="K193" s="256" t="str">
        <f t="shared" si="46"/>
        <v>0.00%</v>
      </c>
      <c r="L193" s="109">
        <f>INDEX(coincidenciaP01,MATCH(F193,indicep01,0),7)</f>
        <v>0</v>
      </c>
      <c r="M193" s="256">
        <f t="shared" si="48"/>
        <v>0</v>
      </c>
      <c r="N193" s="109">
        <f>INDEX(coincidenciaP01,MATCH(F193,indicep01,0),9)</f>
        <v>0</v>
      </c>
      <c r="O193" s="162">
        <f t="shared" si="49"/>
        <v>0</v>
      </c>
      <c r="P193" s="163">
        <f>+'Prog 01'!Q165</f>
        <v>0</v>
      </c>
      <c r="Q193" s="109">
        <f ca="1">+'Prog 01'!R165</f>
        <v>0</v>
      </c>
      <c r="R193" s="162" t="str">
        <f t="shared" ca="1" si="47"/>
        <v>0.00%</v>
      </c>
      <c r="S193" s="154"/>
      <c r="T193" s="537"/>
      <c r="U193" s="537"/>
      <c r="V193" s="628"/>
      <c r="W193" s="628"/>
      <c r="X193" s="627"/>
      <c r="Y193" s="627"/>
      <c r="Z193" s="627"/>
      <c r="AA193" s="632"/>
    </row>
    <row r="194" spans="1:27" s="155" customFormat="1" ht="15" hidden="1" customHeight="1" outlineLevel="1" x14ac:dyDescent="0.25">
      <c r="A194" s="479"/>
      <c r="B194" s="324"/>
      <c r="C194" s="480"/>
      <c r="D194" s="326"/>
      <c r="E194" s="481"/>
      <c r="F194" s="478" t="s">
        <v>760</v>
      </c>
      <c r="G194" s="1015" t="s">
        <v>761</v>
      </c>
      <c r="H194" s="163">
        <v>0</v>
      </c>
      <c r="I194" s="109">
        <f>+'Prog 01'!J166</f>
        <v>75758</v>
      </c>
      <c r="J194" s="109">
        <v>0</v>
      </c>
      <c r="K194" s="256">
        <f t="shared" si="46"/>
        <v>0</v>
      </c>
      <c r="L194" s="109">
        <f>INDEX(coincidenciaP01,MATCH(F194,indicep01,0),7)</f>
        <v>0</v>
      </c>
      <c r="M194" s="256">
        <f t="shared" si="48"/>
        <v>0</v>
      </c>
      <c r="N194" s="109">
        <f>+'Prog 01'!O166</f>
        <v>75758</v>
      </c>
      <c r="O194" s="162">
        <f t="shared" si="49"/>
        <v>1</v>
      </c>
      <c r="P194" s="163">
        <f>+'Prog 01'!Q166</f>
        <v>0</v>
      </c>
      <c r="Q194" s="109">
        <f ca="1">+'Prog 01'!R166</f>
        <v>0</v>
      </c>
      <c r="R194" s="162" t="str">
        <f t="shared" ca="1" si="47"/>
        <v>0.00%</v>
      </c>
      <c r="S194" s="154"/>
      <c r="T194" s="537"/>
      <c r="U194" s="537"/>
      <c r="V194" s="628"/>
      <c r="W194" s="628"/>
      <c r="X194" s="627"/>
      <c r="Y194" s="627"/>
      <c r="Z194" s="627"/>
      <c r="AA194" s="632"/>
    </row>
    <row r="195" spans="1:27" s="155" customFormat="1" ht="15" hidden="1" customHeight="1" outlineLevel="1" x14ac:dyDescent="0.25">
      <c r="A195" s="479"/>
      <c r="B195" s="324"/>
      <c r="C195" s="480"/>
      <c r="D195" s="326"/>
      <c r="E195" s="481"/>
      <c r="F195" s="478" t="str">
        <f>+'Prog 01'!G167</f>
        <v xml:space="preserve">24.07.008 </v>
      </c>
      <c r="G195" s="1015" t="str">
        <f>+'Prog 01'!H167</f>
        <v>A Facultad Latinoamericana de Ciencias Sociales</v>
      </c>
      <c r="H195" s="163">
        <v>0</v>
      </c>
      <c r="I195" s="109">
        <f>+'Prog 01'!J167</f>
        <v>0</v>
      </c>
      <c r="J195" s="109">
        <f ca="1">+'Prog 01'!K167</f>
        <v>0</v>
      </c>
      <c r="K195" s="256" t="str">
        <f t="shared" ca="1" si="46"/>
        <v>0.00%</v>
      </c>
      <c r="L195" s="109">
        <f>+'Prog 01'!M167</f>
        <v>0</v>
      </c>
      <c r="M195" s="256">
        <f t="shared" si="48"/>
        <v>0</v>
      </c>
      <c r="N195" s="109">
        <f>+'Prog 01'!O167</f>
        <v>0</v>
      </c>
      <c r="O195" s="162">
        <f t="shared" si="49"/>
        <v>0</v>
      </c>
      <c r="P195" s="163">
        <f>+'Prog 01'!Q167</f>
        <v>0</v>
      </c>
      <c r="Q195" s="109">
        <f ca="1">+'Prog 01'!R167</f>
        <v>0</v>
      </c>
      <c r="R195" s="162" t="str">
        <f t="shared" ca="1" si="47"/>
        <v>0.00%</v>
      </c>
      <c r="S195" s="154"/>
      <c r="T195" s="537"/>
      <c r="U195" s="537"/>
      <c r="V195" s="628"/>
      <c r="W195" s="628"/>
      <c r="X195" s="627"/>
      <c r="Y195" s="627"/>
      <c r="Z195" s="627"/>
      <c r="AA195" s="632"/>
    </row>
    <row r="196" spans="1:27" s="155" customFormat="1" ht="16.5" customHeight="1" outlineLevel="2" x14ac:dyDescent="0.25">
      <c r="A196" s="479"/>
      <c r="B196" s="324">
        <v>25</v>
      </c>
      <c r="C196" s="325"/>
      <c r="D196" s="482"/>
      <c r="E196" s="483"/>
      <c r="F196" s="478"/>
      <c r="G196" s="1012" t="s">
        <v>542</v>
      </c>
      <c r="H196" s="579">
        <f>+H197+H198</f>
        <v>165399</v>
      </c>
      <c r="I196" s="578">
        <f>+I197+I198</f>
        <v>165755</v>
      </c>
      <c r="J196" s="578">
        <f ca="1">+'Prog 01'!K168+'Prog 02'!J37+'Prog 03'!J23+'Prog 05'!J32</f>
        <v>3385153.8560000001</v>
      </c>
      <c r="K196" s="256">
        <f t="shared" ca="1" si="46"/>
        <v>20.422634949171972</v>
      </c>
      <c r="L196" s="578">
        <f ca="1">+L197</f>
        <v>3385153.8560000001</v>
      </c>
      <c r="M196" s="256">
        <f t="shared" ca="1" si="48"/>
        <v>20.422634949171972</v>
      </c>
      <c r="N196" s="578">
        <f>+N197</f>
        <v>-3219398.8560000001</v>
      </c>
      <c r="O196" s="162">
        <f t="shared" si="49"/>
        <v>-19.422634949171972</v>
      </c>
      <c r="P196" s="579">
        <f>+'Prog 01'!Q168+'Prog 03'!P23+'Prog 05'!P32+'Prog 02'!P37</f>
        <v>288847.93763</v>
      </c>
      <c r="Q196" s="578">
        <f ca="1">+Q197</f>
        <v>2155617.28474</v>
      </c>
      <c r="R196" s="162">
        <f t="shared" ca="1" si="47"/>
        <v>7.462810025326335</v>
      </c>
      <c r="S196" s="154"/>
      <c r="T196" s="537"/>
      <c r="U196" s="537"/>
      <c r="V196" s="628"/>
      <c r="W196" s="628"/>
      <c r="X196" s="627"/>
      <c r="Y196" s="627"/>
      <c r="Z196" s="627"/>
      <c r="AA196" s="632"/>
    </row>
    <row r="197" spans="1:27" ht="15" hidden="1" customHeight="1" outlineLevel="2" x14ac:dyDescent="0.25">
      <c r="A197" s="5"/>
      <c r="B197" s="324"/>
      <c r="C197" s="325">
        <v>99</v>
      </c>
      <c r="D197" s="482"/>
      <c r="E197" s="483"/>
      <c r="F197" s="478"/>
      <c r="G197" s="767" t="s">
        <v>543</v>
      </c>
      <c r="H197" s="163">
        <f>+'Prog 01'!I169+'Prog 03'!H24</f>
        <v>165399</v>
      </c>
      <c r="I197" s="109">
        <f>+'Prog 01'!J168+'Prog 02'!I38+'Prog 03'!I24</f>
        <v>165755</v>
      </c>
      <c r="J197" s="109">
        <f ca="1">+'Prog 01'!K168+'Prog 02'!J38+'Prog 03'!J24+'Prog 05'!J33</f>
        <v>3385153.8560000001</v>
      </c>
      <c r="K197" s="256">
        <f t="shared" ca="1" si="46"/>
        <v>20.422634949171972</v>
      </c>
      <c r="L197" s="323">
        <f ca="1">+'Prog 01'!M168+'Prog 02'!L37+'Prog 03'!L23+'Prog 05'!L32</f>
        <v>3385153.8560000001</v>
      </c>
      <c r="M197" s="256">
        <f t="shared" ca="1" si="48"/>
        <v>20.422634949171972</v>
      </c>
      <c r="N197" s="323">
        <f>+'Prog 01'!O169+'Prog 02'!N38+'Prog 03'!N24+'Prog 05'!N33</f>
        <v>-3219398.8560000001</v>
      </c>
      <c r="O197" s="162">
        <f t="shared" si="49"/>
        <v>-19.422634949171972</v>
      </c>
      <c r="P197" s="579">
        <f>+'Prog 01'!Q169+'Prog 03'!P24+'Prog 05'!P33+'Prog 02'!P38</f>
        <v>288847.93763</v>
      </c>
      <c r="Q197" s="109">
        <f ca="1">+'Prog 02'!Q38+'Prog 03'!Q24+'Prog 05'!Q33+'Prog 01'!R168</f>
        <v>2155617.28474</v>
      </c>
      <c r="R197" s="162">
        <f t="shared" ca="1" si="47"/>
        <v>7.462810025326335</v>
      </c>
      <c r="T197" s="537"/>
      <c r="U197" s="537"/>
      <c r="X197" s="627"/>
      <c r="Y197" s="627"/>
      <c r="Z197" s="627"/>
      <c r="AA197" s="632"/>
    </row>
    <row r="198" spans="1:27" ht="15" hidden="1" customHeight="1" outlineLevel="2" x14ac:dyDescent="0.25">
      <c r="A198" s="5"/>
      <c r="B198" s="324"/>
      <c r="C198" s="325"/>
      <c r="D198" s="482"/>
      <c r="E198" s="483"/>
      <c r="F198" s="478" t="s">
        <v>1044</v>
      </c>
      <c r="G198" s="767" t="s">
        <v>1042</v>
      </c>
      <c r="H198" s="163">
        <f>+'Prog 01'!I170</f>
        <v>0</v>
      </c>
      <c r="I198" s="109">
        <f>+'Prog 01'!J170</f>
        <v>0</v>
      </c>
      <c r="J198" s="109">
        <f ca="1">+'Prog 01'!K170</f>
        <v>169256.06100000002</v>
      </c>
      <c r="K198" s="256" t="str">
        <f t="shared" ca="1" si="46"/>
        <v>0.00%</v>
      </c>
      <c r="L198" s="109">
        <f>+'Prog 01'!M170</f>
        <v>169256.06099999999</v>
      </c>
      <c r="M198" s="256">
        <f t="shared" si="48"/>
        <v>0</v>
      </c>
      <c r="N198" s="109">
        <f>+'Prog 01'!O170</f>
        <v>-169256.06099999999</v>
      </c>
      <c r="O198" s="162">
        <f t="shared" si="49"/>
        <v>0</v>
      </c>
      <c r="P198" s="1409">
        <v>0</v>
      </c>
      <c r="Q198" s="109">
        <v>0</v>
      </c>
      <c r="R198" s="162">
        <v>0</v>
      </c>
      <c r="T198" s="537"/>
      <c r="U198" s="537"/>
      <c r="X198" s="627"/>
      <c r="Y198" s="627"/>
      <c r="Z198" s="627"/>
      <c r="AA198" s="632"/>
    </row>
    <row r="199" spans="1:27" ht="15" hidden="1" customHeight="1" outlineLevel="2" x14ac:dyDescent="0.25">
      <c r="A199" s="5"/>
      <c r="B199" s="324">
        <v>26</v>
      </c>
      <c r="C199" s="325"/>
      <c r="D199" s="482"/>
      <c r="E199" s="483"/>
      <c r="F199" s="478"/>
      <c r="G199" s="1012" t="str">
        <f>+'Prog 03'!G26</f>
        <v>OTROS GASTOS CORRIENTES</v>
      </c>
      <c r="H199" s="163">
        <v>0</v>
      </c>
      <c r="I199" s="109">
        <v>0</v>
      </c>
      <c r="J199" s="109">
        <v>0</v>
      </c>
      <c r="K199" s="256" t="str">
        <f t="shared" si="46"/>
        <v>0.00%</v>
      </c>
      <c r="L199" s="323">
        <v>0</v>
      </c>
      <c r="M199" s="256">
        <f t="shared" si="48"/>
        <v>0</v>
      </c>
      <c r="N199" s="323">
        <v>0</v>
      </c>
      <c r="O199" s="162">
        <f t="shared" si="49"/>
        <v>0</v>
      </c>
      <c r="P199" s="579">
        <f>+P200</f>
        <v>0</v>
      </c>
      <c r="Q199" s="109">
        <f ca="1">+Q200</f>
        <v>0</v>
      </c>
      <c r="R199" s="162" t="str">
        <f t="shared" ca="1" si="47"/>
        <v>0.00%</v>
      </c>
      <c r="T199" s="537"/>
      <c r="U199" s="537"/>
      <c r="X199" s="627"/>
      <c r="Y199" s="627"/>
      <c r="Z199" s="627"/>
      <c r="AA199" s="632"/>
    </row>
    <row r="200" spans="1:27" ht="15" hidden="1" customHeight="1" outlineLevel="2" x14ac:dyDescent="0.25">
      <c r="A200" s="5"/>
      <c r="B200" s="324"/>
      <c r="C200" s="325">
        <v>1</v>
      </c>
      <c r="D200" s="482"/>
      <c r="E200" s="483"/>
      <c r="F200" s="478" t="s">
        <v>320</v>
      </c>
      <c r="G200" s="767" t="str">
        <f>+'Prog 03'!G27</f>
        <v>Devoluciones</v>
      </c>
      <c r="H200" s="163">
        <v>0</v>
      </c>
      <c r="I200" s="109"/>
      <c r="J200" s="109"/>
      <c r="K200" s="256" t="str">
        <f t="shared" si="46"/>
        <v>0.00%</v>
      </c>
      <c r="L200" s="323"/>
      <c r="M200" s="256">
        <f t="shared" si="48"/>
        <v>0</v>
      </c>
      <c r="N200" s="323"/>
      <c r="O200" s="162">
        <f t="shared" si="49"/>
        <v>0</v>
      </c>
      <c r="P200" s="579">
        <f>+'Prog 03'!P27</f>
        <v>0</v>
      </c>
      <c r="Q200" s="109">
        <f ca="1">+'Prog 03'!Q27</f>
        <v>0</v>
      </c>
      <c r="R200" s="162" t="str">
        <f t="shared" ca="1" si="47"/>
        <v>0.00%</v>
      </c>
      <c r="T200" s="537"/>
      <c r="U200" s="537"/>
      <c r="X200" s="627"/>
      <c r="Y200" s="627"/>
      <c r="Z200" s="627"/>
      <c r="AA200" s="632"/>
    </row>
    <row r="201" spans="1:27" ht="15" customHeight="1" collapsed="1" x14ac:dyDescent="0.25">
      <c r="B201" s="165">
        <v>29</v>
      </c>
      <c r="C201" s="106" t="s">
        <v>2</v>
      </c>
      <c r="D201" s="107"/>
      <c r="E201" s="108"/>
      <c r="F201" s="108"/>
      <c r="G201" s="1008" t="s">
        <v>315</v>
      </c>
      <c r="H201" s="1050">
        <f>+H202+H204+H205+H203</f>
        <v>332151</v>
      </c>
      <c r="I201" s="109">
        <f>+I202+I204+I205+I203</f>
        <v>332151</v>
      </c>
      <c r="J201" s="109">
        <f ca="1">+J204+J205+J202</f>
        <v>166156.31399999998</v>
      </c>
      <c r="K201" s="256">
        <f t="shared" ca="1" si="46"/>
        <v>0.50024330500284508</v>
      </c>
      <c r="L201" s="109">
        <f>+L204+L205+L202</f>
        <v>170743.81400000001</v>
      </c>
      <c r="M201" s="256">
        <f t="shared" si="48"/>
        <v>0.51405479435557933</v>
      </c>
      <c r="N201" s="109">
        <f>+N204+N205+N202+N203</f>
        <v>161407.18600000002</v>
      </c>
      <c r="O201" s="162">
        <f t="shared" si="49"/>
        <v>0.48594520564442079</v>
      </c>
      <c r="P201" s="163">
        <f>SUM(P204:P205)</f>
        <v>178095.02</v>
      </c>
      <c r="Q201" s="109">
        <f ca="1">SUM(Q202:Q205)</f>
        <v>111430.597138</v>
      </c>
      <c r="R201" s="162">
        <f t="shared" ca="1" si="47"/>
        <v>0.62568058970992002</v>
      </c>
      <c r="T201" s="537"/>
      <c r="U201" s="537"/>
      <c r="X201" s="627"/>
      <c r="Y201" s="627"/>
      <c r="Z201" s="627"/>
      <c r="AA201" s="632"/>
    </row>
    <row r="202" spans="1:27" ht="15" hidden="1" customHeight="1" x14ac:dyDescent="0.25">
      <c r="A202" s="5"/>
      <c r="B202" s="324"/>
      <c r="C202" s="325">
        <v>3</v>
      </c>
      <c r="D202" s="326"/>
      <c r="E202" s="327"/>
      <c r="F202" s="327" t="s">
        <v>938</v>
      </c>
      <c r="G202" s="1012" t="s">
        <v>940</v>
      </c>
      <c r="H202" s="163">
        <f>+'Prog 01'!I175</f>
        <v>82914</v>
      </c>
      <c r="I202" s="163">
        <f>+'Prog 01'!J175</f>
        <v>82914</v>
      </c>
      <c r="J202" s="109">
        <f ca="1">+'Prog 01'!K175</f>
        <v>76393.801999999996</v>
      </c>
      <c r="K202" s="256">
        <f t="shared" ca="1" si="46"/>
        <v>0.92136191716718518</v>
      </c>
      <c r="L202" s="109">
        <f>+'Prog 01'!M175</f>
        <v>76393.801999999996</v>
      </c>
      <c r="M202" s="256">
        <f t="shared" si="48"/>
        <v>0.92136191716718518</v>
      </c>
      <c r="N202" s="109">
        <f>+'Prog 01'!O175</f>
        <v>6520.1980000000003</v>
      </c>
      <c r="O202" s="162">
        <f t="shared" si="49"/>
        <v>7.8638082832814732E-2</v>
      </c>
      <c r="P202" s="163">
        <v>0</v>
      </c>
      <c r="Q202" s="109">
        <v>0</v>
      </c>
      <c r="R202" s="162" t="str">
        <f t="shared" si="47"/>
        <v>0.00%</v>
      </c>
      <c r="T202" s="537"/>
      <c r="U202" s="537"/>
      <c r="X202" s="627"/>
      <c r="Y202" s="627"/>
      <c r="Z202" s="627"/>
      <c r="AA202" s="632"/>
    </row>
    <row r="203" spans="1:27" ht="15" hidden="1" customHeight="1" x14ac:dyDescent="0.25">
      <c r="A203" s="5"/>
      <c r="B203" s="324"/>
      <c r="C203" s="325">
        <v>4</v>
      </c>
      <c r="D203" s="326"/>
      <c r="E203" s="327"/>
      <c r="F203" s="327"/>
      <c r="G203" s="1012" t="str">
        <f>+'Prog 01'!H176</f>
        <v>Mobiliario y Otros</v>
      </c>
      <c r="H203" s="163">
        <f>+'Prog 01'!I176</f>
        <v>16508</v>
      </c>
      <c r="I203" s="163">
        <f>+'Prog 01'!J176</f>
        <v>16508</v>
      </c>
      <c r="J203" s="109">
        <f ca="1">+'Prog 01'!K176</f>
        <v>0</v>
      </c>
      <c r="K203" s="256">
        <f t="shared" ca="1" si="46"/>
        <v>0</v>
      </c>
      <c r="L203" s="109">
        <v>0</v>
      </c>
      <c r="M203" s="256">
        <v>0</v>
      </c>
      <c r="N203" s="109">
        <f>+'Prog 01'!O176</f>
        <v>16508</v>
      </c>
      <c r="O203" s="162">
        <v>0</v>
      </c>
      <c r="P203" s="163">
        <v>0</v>
      </c>
      <c r="Q203" s="109">
        <v>0</v>
      </c>
      <c r="R203" s="162">
        <v>0</v>
      </c>
      <c r="T203" s="537"/>
      <c r="U203" s="537"/>
      <c r="X203" s="627"/>
      <c r="Y203" s="627"/>
      <c r="Z203" s="627"/>
      <c r="AA203" s="632"/>
    </row>
    <row r="204" spans="1:27" ht="15" hidden="1" customHeight="1" x14ac:dyDescent="0.25">
      <c r="A204" s="5"/>
      <c r="B204" s="324"/>
      <c r="C204" s="325" t="s">
        <v>786</v>
      </c>
      <c r="D204" s="326"/>
      <c r="E204" s="327"/>
      <c r="F204" s="327" t="s">
        <v>212</v>
      </c>
      <c r="G204" s="1012" t="s">
        <v>214</v>
      </c>
      <c r="H204" s="163">
        <f>+'Prog 01'!I177</f>
        <v>0</v>
      </c>
      <c r="I204" s="109">
        <f>+'Prog 01'!J177</f>
        <v>0</v>
      </c>
      <c r="J204" s="109">
        <f ca="1">+'Prog 01'!K177</f>
        <v>0</v>
      </c>
      <c r="K204" s="256" t="str">
        <f t="shared" ca="1" si="46"/>
        <v>0.00%</v>
      </c>
      <c r="L204" s="109">
        <f>+'Prog 01'!M178</f>
        <v>0</v>
      </c>
      <c r="M204" s="256">
        <f t="shared" si="48"/>
        <v>0</v>
      </c>
      <c r="N204" s="109">
        <f>+'Prog 01'!O178</f>
        <v>0</v>
      </c>
      <c r="O204" s="162">
        <f t="shared" si="49"/>
        <v>0</v>
      </c>
      <c r="P204" s="163">
        <f>+'Prog 01'!Q177</f>
        <v>8982.35</v>
      </c>
      <c r="Q204" s="109">
        <f ca="1">+'Prog 01'!R177</f>
        <v>8845.3781980000003</v>
      </c>
      <c r="R204" s="162">
        <f t="shared" ca="1" si="47"/>
        <v>0.98475100591715981</v>
      </c>
      <c r="T204" s="537"/>
      <c r="U204" s="537"/>
      <c r="X204" s="627"/>
      <c r="Y204" s="627"/>
      <c r="Z204" s="627"/>
      <c r="AA204" s="632"/>
    </row>
    <row r="205" spans="1:27" ht="15" hidden="1" customHeight="1" outlineLevel="1" x14ac:dyDescent="0.25">
      <c r="B205" s="165" t="s">
        <v>2</v>
      </c>
      <c r="C205" s="106" t="s">
        <v>787</v>
      </c>
      <c r="D205" s="107"/>
      <c r="E205" s="108"/>
      <c r="F205" s="108" t="s">
        <v>215</v>
      </c>
      <c r="G205" s="1008" t="s">
        <v>80</v>
      </c>
      <c r="H205" s="163">
        <f>+VLOOKUP(F205,matriz01,3,FALSE)</f>
        <v>232729</v>
      </c>
      <c r="I205" s="109">
        <f>+'Prog 01'!J179</f>
        <v>232729</v>
      </c>
      <c r="J205" s="109">
        <f ca="1">+VLOOKUP(F205,matriz01,5,FALSE)</f>
        <v>89762.511999999988</v>
      </c>
      <c r="K205" s="256">
        <f t="shared" ca="1" si="46"/>
        <v>0.38569543116672178</v>
      </c>
      <c r="L205" s="109">
        <f>INDEX(coincidenciaP01,MATCH(F205,indicep01,0),7)</f>
        <v>94350.012000000002</v>
      </c>
      <c r="M205" s="256">
        <f t="shared" si="48"/>
        <v>0.40540719893094546</v>
      </c>
      <c r="N205" s="109">
        <f>+'Prog 01'!O179</f>
        <v>138378.98800000001</v>
      </c>
      <c r="O205" s="162">
        <f t="shared" si="49"/>
        <v>0.59459280106905466</v>
      </c>
      <c r="P205" s="163">
        <f>+'Prog 01'!Q179</f>
        <v>169112.66999999998</v>
      </c>
      <c r="Q205" s="109">
        <f ca="1">+'Prog 01'!R179</f>
        <v>102585.21893999999</v>
      </c>
      <c r="R205" s="162">
        <f t="shared" ca="1" si="47"/>
        <v>0.60660871204978317</v>
      </c>
      <c r="T205" s="537"/>
      <c r="U205" s="537"/>
      <c r="X205" s="627"/>
      <c r="Y205" s="627"/>
      <c r="Z205" s="627"/>
      <c r="AA205" s="632"/>
    </row>
    <row r="206" spans="1:27" ht="15" hidden="1" customHeight="1" outlineLevel="1" x14ac:dyDescent="0.25">
      <c r="B206" s="165">
        <f>+'Prog 03'!B28</f>
        <v>30</v>
      </c>
      <c r="C206" s="106"/>
      <c r="D206" s="107"/>
      <c r="E206" s="108"/>
      <c r="F206" s="108"/>
      <c r="G206" s="1008" t="str">
        <f>+'Prog 03'!G28</f>
        <v xml:space="preserve">ADQUISICIÓN DE ACTIVOS FINANCIEROS </v>
      </c>
      <c r="H206" s="331">
        <f>+'Prog 03'!H28</f>
        <v>0</v>
      </c>
      <c r="I206" s="323">
        <f>+'Prog 03'!I28</f>
        <v>0</v>
      </c>
      <c r="J206" s="323">
        <f ca="1">+'Prog 03'!J28</f>
        <v>0</v>
      </c>
      <c r="K206" s="256" t="str">
        <f t="shared" ca="1" si="46"/>
        <v>0.00%</v>
      </c>
      <c r="L206" s="109">
        <f>+'Prog 03'!L28</f>
        <v>0</v>
      </c>
      <c r="M206" s="256">
        <f t="shared" si="48"/>
        <v>0</v>
      </c>
      <c r="N206" s="109">
        <f>+'Prog 03'!N28</f>
        <v>0</v>
      </c>
      <c r="O206" s="162">
        <f t="shared" si="49"/>
        <v>0</v>
      </c>
      <c r="P206" s="163">
        <f>+'Prog 03'!P29</f>
        <v>0</v>
      </c>
      <c r="Q206" s="109">
        <f>+'Prog 03'!Q29</f>
        <v>0</v>
      </c>
      <c r="R206" s="162" t="str">
        <f t="shared" si="47"/>
        <v>0.00%</v>
      </c>
      <c r="T206" s="537"/>
      <c r="U206" s="537"/>
      <c r="X206" s="627"/>
      <c r="Y206" s="627"/>
      <c r="Z206" s="627"/>
      <c r="AA206" s="632"/>
    </row>
    <row r="207" spans="1:27" ht="15.75" customHeight="1" collapsed="1" x14ac:dyDescent="0.25">
      <c r="B207" s="324">
        <v>32</v>
      </c>
      <c r="C207" s="325" t="s">
        <v>2</v>
      </c>
      <c r="D207" s="326"/>
      <c r="E207" s="327"/>
      <c r="F207" s="327"/>
      <c r="G207" s="1008" t="s">
        <v>149</v>
      </c>
      <c r="H207" s="331">
        <f>+H208</f>
        <v>5667935</v>
      </c>
      <c r="I207" s="328">
        <f>+I208</f>
        <v>5667935</v>
      </c>
      <c r="J207" s="328">
        <f ca="1">+J208</f>
        <v>2527610.1009999998</v>
      </c>
      <c r="K207" s="256">
        <f t="shared" ca="1" si="46"/>
        <v>0.44594902746767556</v>
      </c>
      <c r="L207" s="109">
        <f>+L208</f>
        <v>2527610.1009999998</v>
      </c>
      <c r="M207" s="256">
        <f t="shared" si="48"/>
        <v>0.44594902746767556</v>
      </c>
      <c r="N207" s="109">
        <f>+N208</f>
        <v>3140324.8990000002</v>
      </c>
      <c r="O207" s="162">
        <f t="shared" si="49"/>
        <v>0.55405097253232438</v>
      </c>
      <c r="P207" s="260">
        <f>+P208</f>
        <v>9728520.7239999995</v>
      </c>
      <c r="Q207" s="328">
        <f>+Q208</f>
        <v>0</v>
      </c>
      <c r="R207" s="162">
        <f t="shared" si="47"/>
        <v>0</v>
      </c>
      <c r="T207" s="537"/>
      <c r="U207" s="537"/>
      <c r="X207" s="627"/>
      <c r="Y207" s="627"/>
      <c r="Z207" s="627"/>
      <c r="AA207" s="632"/>
    </row>
    <row r="208" spans="1:27" ht="15" hidden="1" customHeight="1" outlineLevel="1" x14ac:dyDescent="0.25">
      <c r="B208" s="165" t="s">
        <v>2</v>
      </c>
      <c r="C208" s="106">
        <v>4</v>
      </c>
      <c r="D208" s="107"/>
      <c r="E208" s="108"/>
      <c r="F208" s="108" t="s">
        <v>224</v>
      </c>
      <c r="G208" s="1009" t="s">
        <v>146</v>
      </c>
      <c r="H208" s="163">
        <f>+'Prog 03'!H31</f>
        <v>5667935</v>
      </c>
      <c r="I208" s="109">
        <f>+'Prog 03'!I31</f>
        <v>5667935</v>
      </c>
      <c r="J208" s="109">
        <f ca="1">+'Prog 03'!J31</f>
        <v>2527610.1009999998</v>
      </c>
      <c r="K208" s="256">
        <f t="shared" ref="K208:K273" ca="1" si="52">IFERROR(J208/I208,"0.00%")</f>
        <v>0.44594902746767556</v>
      </c>
      <c r="L208" s="109">
        <f>+'Prog 03'!L31</f>
        <v>2527610.1009999998</v>
      </c>
      <c r="M208" s="256">
        <f t="shared" si="48"/>
        <v>0.44594902746767556</v>
      </c>
      <c r="N208" s="109">
        <f>+'Prog 03'!N31</f>
        <v>3140324.8990000002</v>
      </c>
      <c r="O208" s="162">
        <f t="shared" si="49"/>
        <v>0.55405097253232438</v>
      </c>
      <c r="P208" s="163">
        <f>+P209+P210+P211</f>
        <v>9728520.7239999995</v>
      </c>
      <c r="Q208" s="109">
        <f>+Q209+Q210+Q211</f>
        <v>0</v>
      </c>
      <c r="R208" s="162">
        <f t="shared" ref="R208:R273" si="53">IFERROR(Q208/P208,"0.00%")</f>
        <v>0</v>
      </c>
      <c r="T208" s="537"/>
      <c r="U208" s="537"/>
      <c r="X208" s="627"/>
      <c r="Y208" s="627"/>
      <c r="Z208" s="627"/>
      <c r="AA208" s="632"/>
    </row>
    <row r="209" spans="2:27" ht="15" hidden="1" customHeight="1" outlineLevel="1" x14ac:dyDescent="0.25">
      <c r="B209" s="165"/>
      <c r="C209" s="106"/>
      <c r="D209" s="107"/>
      <c r="E209" s="108"/>
      <c r="F209" s="108"/>
      <c r="G209" s="1009" t="s">
        <v>142</v>
      </c>
      <c r="H209" s="163">
        <f>+'Prog 03'!H31</f>
        <v>5667935</v>
      </c>
      <c r="I209" s="109">
        <f>+'Prog 03'!I31</f>
        <v>5667935</v>
      </c>
      <c r="J209" s="109">
        <f>+'Prog 03'!J32</f>
        <v>0</v>
      </c>
      <c r="K209" s="256">
        <f t="shared" si="52"/>
        <v>0</v>
      </c>
      <c r="L209" s="109"/>
      <c r="M209" s="256">
        <f t="shared" ref="M209:M274" si="54">+IFERROR(L209/I209,0)</f>
        <v>0</v>
      </c>
      <c r="N209" s="109">
        <f>+'Prog 03'!N31</f>
        <v>3140324.8990000002</v>
      </c>
      <c r="O209" s="162">
        <f t="shared" ref="O209:O274" si="55">+IFERROR(N209/I209,0)</f>
        <v>0.55405097253232438</v>
      </c>
      <c r="P209" s="163">
        <f>+'Prog 03'!P31</f>
        <v>9728520.7239999995</v>
      </c>
      <c r="Q209" s="109">
        <f>+'Prog 03'!Q31</f>
        <v>0</v>
      </c>
      <c r="R209" s="162">
        <f t="shared" si="53"/>
        <v>0</v>
      </c>
      <c r="T209" s="537"/>
      <c r="U209" s="537"/>
      <c r="X209" s="627"/>
      <c r="Y209" s="627"/>
      <c r="Z209" s="627"/>
      <c r="AA209" s="632"/>
    </row>
    <row r="210" spans="2:27" ht="15" hidden="1" customHeight="1" outlineLevel="1" x14ac:dyDescent="0.25">
      <c r="B210" s="165"/>
      <c r="C210" s="106"/>
      <c r="D210" s="107"/>
      <c r="E210" s="108"/>
      <c r="F210" s="108" t="s">
        <v>804</v>
      </c>
      <c r="G210" s="1009" t="s">
        <v>658</v>
      </c>
      <c r="H210" s="163">
        <v>0</v>
      </c>
      <c r="I210" s="109">
        <v>0</v>
      </c>
      <c r="J210" s="109">
        <v>0</v>
      </c>
      <c r="K210" s="256" t="str">
        <f t="shared" si="52"/>
        <v>0.00%</v>
      </c>
      <c r="L210" s="109">
        <v>0</v>
      </c>
      <c r="M210" s="256">
        <f t="shared" si="54"/>
        <v>0</v>
      </c>
      <c r="N210" s="109">
        <v>0</v>
      </c>
      <c r="O210" s="162">
        <f t="shared" si="55"/>
        <v>0</v>
      </c>
      <c r="P210" s="163">
        <f>+'Prog 03'!P32</f>
        <v>0</v>
      </c>
      <c r="Q210" s="109">
        <f>'Prog 03'!Q32</f>
        <v>0</v>
      </c>
      <c r="R210" s="162" t="str">
        <f t="shared" si="53"/>
        <v>0.00%</v>
      </c>
      <c r="T210" s="537"/>
      <c r="U210" s="537"/>
      <c r="X210" s="627"/>
      <c r="Y210" s="627"/>
      <c r="Z210" s="627"/>
      <c r="AA210" s="632"/>
    </row>
    <row r="211" spans="2:27" ht="15" hidden="1" customHeight="1" outlineLevel="1" x14ac:dyDescent="0.25">
      <c r="B211" s="165"/>
      <c r="C211" s="106"/>
      <c r="D211" s="107"/>
      <c r="E211" s="108"/>
      <c r="F211" s="108" t="s">
        <v>854</v>
      </c>
      <c r="G211" s="1009" t="s">
        <v>698</v>
      </c>
      <c r="H211" s="163">
        <v>0</v>
      </c>
      <c r="I211" s="109">
        <v>0</v>
      </c>
      <c r="J211" s="109">
        <v>0</v>
      </c>
      <c r="K211" s="256" t="str">
        <f t="shared" si="52"/>
        <v>0.00%</v>
      </c>
      <c r="L211" s="109">
        <v>0</v>
      </c>
      <c r="M211" s="256">
        <f t="shared" si="54"/>
        <v>0</v>
      </c>
      <c r="N211" s="109">
        <v>0</v>
      </c>
      <c r="O211" s="162">
        <f t="shared" si="55"/>
        <v>0</v>
      </c>
      <c r="P211" s="163">
        <v>0</v>
      </c>
      <c r="Q211" s="109">
        <v>0</v>
      </c>
      <c r="R211" s="162" t="str">
        <f t="shared" si="53"/>
        <v>0.00%</v>
      </c>
      <c r="T211" s="537"/>
      <c r="U211" s="537"/>
      <c r="X211" s="627"/>
      <c r="Y211" s="627"/>
      <c r="Z211" s="627"/>
      <c r="AA211" s="632"/>
    </row>
    <row r="212" spans="2:27" ht="15" customHeight="1" collapsed="1" x14ac:dyDescent="0.25">
      <c r="B212" s="165">
        <v>33</v>
      </c>
      <c r="C212" s="106" t="s">
        <v>2</v>
      </c>
      <c r="D212" s="107"/>
      <c r="E212" s="108"/>
      <c r="F212" s="108"/>
      <c r="G212" s="1008" t="s">
        <v>150</v>
      </c>
      <c r="H212" s="163">
        <f>+H213+H237</f>
        <v>301825406</v>
      </c>
      <c r="I212" s="109">
        <f>+I213+I237</f>
        <v>322962944</v>
      </c>
      <c r="J212" s="109">
        <f ca="1">+J213+J237</f>
        <v>154936627.17399999</v>
      </c>
      <c r="K212" s="256">
        <f t="shared" ca="1" si="52"/>
        <v>0.47973499762870625</v>
      </c>
      <c r="L212" s="109">
        <f>+L213+L237</f>
        <v>183557165.37400001</v>
      </c>
      <c r="M212" s="256">
        <f t="shared" si="54"/>
        <v>0.56835364175402125</v>
      </c>
      <c r="N212" s="109">
        <f>+N213+N237</f>
        <v>139405778.62599999</v>
      </c>
      <c r="O212" s="162">
        <f t="shared" si="55"/>
        <v>0.4316463582459788</v>
      </c>
      <c r="P212" s="260">
        <f>+P213+P237</f>
        <v>295490705.41799998</v>
      </c>
      <c r="Q212" s="111">
        <f ca="1">+Q213+Q237</f>
        <v>124780966.17888999</v>
      </c>
      <c r="R212" s="162">
        <f t="shared" ca="1" si="53"/>
        <v>0.42228389553700285</v>
      </c>
      <c r="T212" s="537"/>
      <c r="U212" s="537"/>
      <c r="X212" s="627"/>
      <c r="Y212" s="627"/>
      <c r="Z212" s="627"/>
      <c r="AA212" s="632"/>
    </row>
    <row r="213" spans="2:27" ht="15" hidden="1" customHeight="1" outlineLevel="1" x14ac:dyDescent="0.25">
      <c r="B213" s="165"/>
      <c r="C213" s="106" t="s">
        <v>164</v>
      </c>
      <c r="D213" s="107"/>
      <c r="E213" s="108"/>
      <c r="F213" s="108"/>
      <c r="G213" s="1008" t="s">
        <v>86</v>
      </c>
      <c r="H213" s="163">
        <f>SUM(H214:H236)</f>
        <v>0</v>
      </c>
      <c r="I213" s="109">
        <f>SUM(I214:I236)</f>
        <v>30570604</v>
      </c>
      <c r="J213" s="109">
        <f ca="1">SUM(J214:J236)</f>
        <v>11523725</v>
      </c>
      <c r="K213" s="256">
        <f t="shared" ca="1" si="52"/>
        <v>0.3769544429020768</v>
      </c>
      <c r="L213" s="109">
        <f>SUM(L214:L236)</f>
        <v>11523725</v>
      </c>
      <c r="M213" s="256">
        <f t="shared" si="54"/>
        <v>0.3769544429020768</v>
      </c>
      <c r="N213" s="109">
        <f>SUM(N214:N236)</f>
        <v>19046879</v>
      </c>
      <c r="O213" s="162">
        <f t="shared" si="55"/>
        <v>0.6230455570979232</v>
      </c>
      <c r="P213" s="163">
        <f>SUM(P214:P236)</f>
        <v>26729363.544999998</v>
      </c>
      <c r="Q213" s="109">
        <f ca="1">SUM(Q214:Q236)</f>
        <v>0</v>
      </c>
      <c r="R213" s="162">
        <f t="shared" ca="1" si="53"/>
        <v>0</v>
      </c>
      <c r="T213" s="537"/>
      <c r="U213" s="537"/>
      <c r="X213" s="627"/>
      <c r="Y213" s="627"/>
      <c r="Z213" s="627"/>
      <c r="AA213" s="632"/>
    </row>
    <row r="214" spans="2:27" ht="15" hidden="1" customHeight="1" outlineLevel="2" x14ac:dyDescent="0.25">
      <c r="B214" s="165"/>
      <c r="C214" s="106"/>
      <c r="D214" s="116" t="s">
        <v>169</v>
      </c>
      <c r="E214" s="117"/>
      <c r="F214" s="110" t="str">
        <f>+CONCATENATE($B$212,"",$C$213,"",D214,"",E214)</f>
        <v>33.02.001</v>
      </c>
      <c r="G214" s="1009" t="s">
        <v>827</v>
      </c>
      <c r="H214" s="163">
        <f>+'Prog 05'!H36</f>
        <v>0</v>
      </c>
      <c r="I214" s="109">
        <f>+'Prog 05'!I36</f>
        <v>0</v>
      </c>
      <c r="J214" s="109">
        <f ca="1">+'Prog 05'!J36</f>
        <v>0</v>
      </c>
      <c r="K214" s="256" t="str">
        <f t="shared" ca="1" si="52"/>
        <v>0.00%</v>
      </c>
      <c r="L214" s="109">
        <f>+'Prog 05'!L36</f>
        <v>0</v>
      </c>
      <c r="M214" s="256">
        <f t="shared" si="54"/>
        <v>0</v>
      </c>
      <c r="N214" s="109">
        <f>+'Prog 05'!N36</f>
        <v>0</v>
      </c>
      <c r="O214" s="162">
        <f t="shared" si="55"/>
        <v>0</v>
      </c>
      <c r="P214" s="163">
        <f>+'Prog 05'!P36</f>
        <v>0</v>
      </c>
      <c r="Q214" s="109">
        <f>+'Prog 05'!Q36</f>
        <v>0</v>
      </c>
      <c r="R214" s="162" t="str">
        <f t="shared" si="53"/>
        <v>0.00%</v>
      </c>
      <c r="T214" s="537"/>
      <c r="U214" s="537"/>
      <c r="X214" s="627"/>
      <c r="Y214" s="627"/>
      <c r="Z214" s="627"/>
      <c r="AA214" s="632"/>
    </row>
    <row r="215" spans="2:27" ht="15" hidden="1" customHeight="1" outlineLevel="2" x14ac:dyDescent="0.25">
      <c r="B215" s="165"/>
      <c r="C215" s="106"/>
      <c r="D215" s="116" t="s">
        <v>165</v>
      </c>
      <c r="E215" s="117"/>
      <c r="F215" s="110" t="str">
        <f t="shared" ref="F215:F236" si="56">+CONCATENATE($B$212,"",$C$213,"",D215,"",E215)</f>
        <v>33.02.002</v>
      </c>
      <c r="G215" s="1009" t="s">
        <v>828</v>
      </c>
      <c r="H215" s="163">
        <f>+'Prog 05'!H37</f>
        <v>0</v>
      </c>
      <c r="I215" s="109">
        <f>+'Prog 05'!I37</f>
        <v>0</v>
      </c>
      <c r="J215" s="109">
        <f ca="1">+'Prog 05'!J37</f>
        <v>0</v>
      </c>
      <c r="K215" s="256" t="str">
        <f t="shared" ca="1" si="52"/>
        <v>0.00%</v>
      </c>
      <c r="L215" s="109">
        <f>+'Prog 05'!L37</f>
        <v>0</v>
      </c>
      <c r="M215" s="256">
        <f t="shared" si="54"/>
        <v>0</v>
      </c>
      <c r="N215" s="109">
        <f>+'Prog 05'!N37</f>
        <v>0</v>
      </c>
      <c r="O215" s="162">
        <f t="shared" si="55"/>
        <v>0</v>
      </c>
      <c r="P215" s="163">
        <f>+'Prog 05'!P37</f>
        <v>0</v>
      </c>
      <c r="Q215" s="109">
        <f ca="1">+'Prog 05'!Q37</f>
        <v>0</v>
      </c>
      <c r="R215" s="162" t="str">
        <f t="shared" ca="1" si="53"/>
        <v>0.00%</v>
      </c>
      <c r="T215" s="537"/>
      <c r="U215" s="537"/>
      <c r="X215" s="627"/>
      <c r="Y215" s="627"/>
      <c r="Z215" s="627"/>
      <c r="AA215" s="632"/>
    </row>
    <row r="216" spans="2:27" ht="15" hidden="1" customHeight="1" outlineLevel="2" x14ac:dyDescent="0.25">
      <c r="B216" s="165"/>
      <c r="C216" s="106"/>
      <c r="D216" s="116" t="s">
        <v>166</v>
      </c>
      <c r="E216" s="117"/>
      <c r="F216" s="110" t="str">
        <f t="shared" si="56"/>
        <v>33.02.003</v>
      </c>
      <c r="G216" s="1009" t="s">
        <v>829</v>
      </c>
      <c r="H216" s="163">
        <f>+'Prog 05'!H38</f>
        <v>0</v>
      </c>
      <c r="I216" s="109">
        <f>+'Prog 05'!I38</f>
        <v>0</v>
      </c>
      <c r="J216" s="109">
        <f ca="1">+'Prog 05'!J38</f>
        <v>0</v>
      </c>
      <c r="K216" s="256" t="str">
        <f t="shared" ca="1" si="52"/>
        <v>0.00%</v>
      </c>
      <c r="L216" s="109">
        <f>+'Prog 05'!L38</f>
        <v>0</v>
      </c>
      <c r="M216" s="256">
        <f t="shared" si="54"/>
        <v>0</v>
      </c>
      <c r="N216" s="109">
        <f>+'Prog 05'!N38</f>
        <v>0</v>
      </c>
      <c r="O216" s="162">
        <f t="shared" si="55"/>
        <v>0</v>
      </c>
      <c r="P216" s="163">
        <f>+'Prog 05'!P38</f>
        <v>0</v>
      </c>
      <c r="Q216" s="109">
        <f ca="1">+'Prog 05'!Q38</f>
        <v>0</v>
      </c>
      <c r="R216" s="162" t="str">
        <f t="shared" ca="1" si="53"/>
        <v>0.00%</v>
      </c>
      <c r="T216" s="537"/>
      <c r="U216" s="537"/>
      <c r="X216" s="627"/>
      <c r="Y216" s="627"/>
      <c r="Z216" s="627"/>
      <c r="AA216" s="632"/>
    </row>
    <row r="217" spans="2:27" ht="15" hidden="1" customHeight="1" outlineLevel="2" x14ac:dyDescent="0.25">
      <c r="B217" s="165"/>
      <c r="C217" s="106"/>
      <c r="D217" s="116" t="s">
        <v>179</v>
      </c>
      <c r="E217" s="117"/>
      <c r="F217" s="110" t="str">
        <f t="shared" si="56"/>
        <v>33.02.004</v>
      </c>
      <c r="G217" s="1009" t="s">
        <v>830</v>
      </c>
      <c r="H217" s="163">
        <f>+'Prog 05'!H39</f>
        <v>0</v>
      </c>
      <c r="I217" s="109">
        <f>+'Prog 05'!I39</f>
        <v>0</v>
      </c>
      <c r="J217" s="109">
        <f ca="1">+'Prog 05'!J39</f>
        <v>0</v>
      </c>
      <c r="K217" s="256" t="str">
        <f t="shared" ca="1" si="52"/>
        <v>0.00%</v>
      </c>
      <c r="L217" s="109">
        <f>+'Prog 05'!L39</f>
        <v>0</v>
      </c>
      <c r="M217" s="256">
        <f t="shared" si="54"/>
        <v>0</v>
      </c>
      <c r="N217" s="109">
        <f>+'Prog 05'!N39</f>
        <v>0</v>
      </c>
      <c r="O217" s="162">
        <f t="shared" si="55"/>
        <v>0</v>
      </c>
      <c r="P217" s="163">
        <f>+'Prog 05'!P39</f>
        <v>0</v>
      </c>
      <c r="Q217" s="109">
        <f ca="1">+'Prog 05'!Q39</f>
        <v>0</v>
      </c>
      <c r="R217" s="162" t="str">
        <f t="shared" ca="1" si="53"/>
        <v>0.00%</v>
      </c>
      <c r="T217" s="537"/>
      <c r="U217" s="537"/>
      <c r="X217" s="627"/>
      <c r="Y217" s="627"/>
      <c r="Z217" s="627"/>
      <c r="AA217" s="632"/>
    </row>
    <row r="218" spans="2:27" ht="15" hidden="1" customHeight="1" outlineLevel="2" x14ac:dyDescent="0.25">
      <c r="B218" s="165"/>
      <c r="C218" s="106"/>
      <c r="D218" s="116" t="s">
        <v>180</v>
      </c>
      <c r="E218" s="117"/>
      <c r="F218" s="110" t="str">
        <f t="shared" si="56"/>
        <v>33.02.005</v>
      </c>
      <c r="G218" s="1009" t="s">
        <v>831</v>
      </c>
      <c r="H218" s="163">
        <f>+'Prog 05'!H40</f>
        <v>0</v>
      </c>
      <c r="I218" s="109">
        <f>+'Prog 05'!I40</f>
        <v>0</v>
      </c>
      <c r="J218" s="109">
        <f ca="1">+'Prog 05'!J40</f>
        <v>0</v>
      </c>
      <c r="K218" s="256" t="str">
        <f t="shared" ca="1" si="52"/>
        <v>0.00%</v>
      </c>
      <c r="L218" s="109">
        <f>+'Prog 05'!L40</f>
        <v>0</v>
      </c>
      <c r="M218" s="256">
        <f t="shared" si="54"/>
        <v>0</v>
      </c>
      <c r="N218" s="109">
        <f>+'Prog 05'!N40</f>
        <v>0</v>
      </c>
      <c r="O218" s="162">
        <f t="shared" si="55"/>
        <v>0</v>
      </c>
      <c r="P218" s="163">
        <f>+'Prog 05'!P40</f>
        <v>0</v>
      </c>
      <c r="Q218" s="109">
        <f ca="1">+'Prog 05'!Q40</f>
        <v>0</v>
      </c>
      <c r="R218" s="162" t="str">
        <f t="shared" ca="1" si="53"/>
        <v>0.00%</v>
      </c>
      <c r="T218" s="537"/>
      <c r="U218" s="537"/>
      <c r="X218" s="627"/>
      <c r="Y218" s="627"/>
      <c r="Z218" s="627"/>
      <c r="AA218" s="632"/>
    </row>
    <row r="219" spans="2:27" ht="15" hidden="1" customHeight="1" outlineLevel="2" x14ac:dyDescent="0.25">
      <c r="B219" s="165"/>
      <c r="C219" s="106"/>
      <c r="D219" s="116" t="s">
        <v>181</v>
      </c>
      <c r="E219" s="117"/>
      <c r="F219" s="110" t="str">
        <f t="shared" si="56"/>
        <v>33.02.006</v>
      </c>
      <c r="G219" s="1009" t="s">
        <v>832</v>
      </c>
      <c r="H219" s="163">
        <v>0</v>
      </c>
      <c r="I219" s="109">
        <f>+'Prog 05'!I41</f>
        <v>0</v>
      </c>
      <c r="J219" s="109">
        <f ca="1">+'Prog 05'!J41</f>
        <v>0</v>
      </c>
      <c r="K219" s="256" t="str">
        <f t="shared" ca="1" si="52"/>
        <v>0.00%</v>
      </c>
      <c r="L219" s="109">
        <f>+'Prog 05'!L41</f>
        <v>0</v>
      </c>
      <c r="M219" s="256">
        <f t="shared" si="54"/>
        <v>0</v>
      </c>
      <c r="N219" s="109">
        <f>+'Prog 05'!N41</f>
        <v>0</v>
      </c>
      <c r="O219" s="162">
        <f t="shared" si="55"/>
        <v>0</v>
      </c>
      <c r="P219" s="163">
        <f>+'Prog 05'!P41</f>
        <v>0</v>
      </c>
      <c r="Q219" s="109">
        <f ca="1">+'Prog 05'!Q41</f>
        <v>0</v>
      </c>
      <c r="R219" s="162" t="str">
        <f t="shared" ca="1" si="53"/>
        <v>0.00%</v>
      </c>
      <c r="T219" s="537"/>
      <c r="U219" s="537"/>
      <c r="X219" s="627"/>
      <c r="Y219" s="627"/>
      <c r="Z219" s="627"/>
      <c r="AA219" s="632"/>
    </row>
    <row r="220" spans="2:27" ht="15" hidden="1" customHeight="1" outlineLevel="2" x14ac:dyDescent="0.25">
      <c r="B220" s="165"/>
      <c r="C220" s="106"/>
      <c r="D220" s="116" t="s">
        <v>170</v>
      </c>
      <c r="E220" s="117"/>
      <c r="F220" s="110" t="str">
        <f t="shared" si="56"/>
        <v>33.02.007</v>
      </c>
      <c r="G220" s="1009" t="s">
        <v>833</v>
      </c>
      <c r="H220" s="163">
        <f>+'Prog 05'!H42</f>
        <v>0</v>
      </c>
      <c r="I220" s="109">
        <f>+'Prog 05'!I42</f>
        <v>0</v>
      </c>
      <c r="J220" s="109">
        <f ca="1">+'Prog 05'!J42</f>
        <v>0</v>
      </c>
      <c r="K220" s="256" t="str">
        <f t="shared" ca="1" si="52"/>
        <v>0.00%</v>
      </c>
      <c r="L220" s="109">
        <f>+'Prog 05'!L42</f>
        <v>0</v>
      </c>
      <c r="M220" s="256">
        <f t="shared" si="54"/>
        <v>0</v>
      </c>
      <c r="N220" s="109">
        <f>+'Prog 05'!N42</f>
        <v>0</v>
      </c>
      <c r="O220" s="162">
        <f t="shared" si="55"/>
        <v>0</v>
      </c>
      <c r="P220" s="163">
        <f>+'Prog 05'!P42</f>
        <v>0</v>
      </c>
      <c r="Q220" s="109">
        <f ca="1">+'Prog 05'!Q42</f>
        <v>0</v>
      </c>
      <c r="R220" s="162" t="str">
        <f t="shared" ca="1" si="53"/>
        <v>0.00%</v>
      </c>
      <c r="T220" s="537"/>
      <c r="U220" s="537"/>
      <c r="X220" s="627"/>
      <c r="Y220" s="627"/>
      <c r="Z220" s="627"/>
      <c r="AA220" s="632"/>
    </row>
    <row r="221" spans="2:27" ht="15" hidden="1" customHeight="1" outlineLevel="2" x14ac:dyDescent="0.25">
      <c r="B221" s="165"/>
      <c r="C221" s="106"/>
      <c r="D221" s="116" t="s">
        <v>171</v>
      </c>
      <c r="E221" s="117"/>
      <c r="F221" s="110" t="str">
        <f t="shared" si="56"/>
        <v>33.02.008</v>
      </c>
      <c r="G221" s="1009" t="s">
        <v>834</v>
      </c>
      <c r="H221" s="163">
        <f>+'Prog 05'!H43</f>
        <v>0</v>
      </c>
      <c r="I221" s="109">
        <f>+'Prog 05'!I43</f>
        <v>0</v>
      </c>
      <c r="J221" s="109">
        <f ca="1">+'Prog 05'!J43</f>
        <v>0</v>
      </c>
      <c r="K221" s="256" t="str">
        <f t="shared" ca="1" si="52"/>
        <v>0.00%</v>
      </c>
      <c r="L221" s="109">
        <f>+'Prog 05'!L43</f>
        <v>0</v>
      </c>
      <c r="M221" s="256">
        <f t="shared" si="54"/>
        <v>0</v>
      </c>
      <c r="N221" s="109">
        <f>+'Prog 05'!N43</f>
        <v>0</v>
      </c>
      <c r="O221" s="162">
        <f t="shared" si="55"/>
        <v>0</v>
      </c>
      <c r="P221" s="163">
        <f>+'Prog 05'!P43</f>
        <v>0</v>
      </c>
      <c r="Q221" s="109">
        <f ca="1">+'Prog 05'!Q43</f>
        <v>0</v>
      </c>
      <c r="R221" s="162" t="str">
        <f t="shared" ca="1" si="53"/>
        <v>0.00%</v>
      </c>
      <c r="T221" s="537"/>
      <c r="U221" s="537"/>
      <c r="X221" s="627"/>
      <c r="Y221" s="627"/>
      <c r="Z221" s="627"/>
      <c r="AA221" s="632"/>
    </row>
    <row r="222" spans="2:27" ht="15" hidden="1" customHeight="1" outlineLevel="2" x14ac:dyDescent="0.25">
      <c r="B222" s="165"/>
      <c r="C222" s="106"/>
      <c r="D222" s="116" t="s">
        <v>172</v>
      </c>
      <c r="E222" s="117"/>
      <c r="F222" s="110" t="str">
        <f t="shared" si="56"/>
        <v>33.02.009</v>
      </c>
      <c r="G222" s="1009" t="s">
        <v>835</v>
      </c>
      <c r="H222" s="163">
        <f>+'Prog 05'!H44</f>
        <v>0</v>
      </c>
      <c r="I222" s="109">
        <f>+'Prog 05'!I44</f>
        <v>0</v>
      </c>
      <c r="J222" s="109">
        <f ca="1">+'Prog 05'!J44</f>
        <v>0</v>
      </c>
      <c r="K222" s="256" t="str">
        <f t="shared" ca="1" si="52"/>
        <v>0.00%</v>
      </c>
      <c r="L222" s="109">
        <v>0</v>
      </c>
      <c r="M222" s="256">
        <f t="shared" si="54"/>
        <v>0</v>
      </c>
      <c r="N222" s="109">
        <f>+'Prog 05'!N44</f>
        <v>0</v>
      </c>
      <c r="O222" s="162">
        <f t="shared" si="55"/>
        <v>0</v>
      </c>
      <c r="P222" s="163">
        <f>+'Prog 05'!P44</f>
        <v>0</v>
      </c>
      <c r="Q222" s="109">
        <f ca="1">+'Prog 05'!Q44</f>
        <v>0</v>
      </c>
      <c r="R222" s="162" t="str">
        <f t="shared" ca="1" si="53"/>
        <v>0.00%</v>
      </c>
      <c r="T222" s="537"/>
      <c r="U222" s="537"/>
      <c r="X222" s="627"/>
      <c r="Y222" s="627"/>
      <c r="Z222" s="627"/>
      <c r="AA222" s="632"/>
    </row>
    <row r="223" spans="2:27" ht="15" hidden="1" customHeight="1" outlineLevel="2" x14ac:dyDescent="0.25">
      <c r="B223" s="165"/>
      <c r="C223" s="106"/>
      <c r="D223" s="116" t="s">
        <v>173</v>
      </c>
      <c r="E223" s="117"/>
      <c r="F223" s="110" t="str">
        <f t="shared" si="56"/>
        <v>33.02.010</v>
      </c>
      <c r="G223" s="1009" t="s">
        <v>836</v>
      </c>
      <c r="H223" s="163">
        <f>+'Prog 05'!H45</f>
        <v>0</v>
      </c>
      <c r="I223" s="109">
        <f>+'Prog 05'!I45</f>
        <v>0</v>
      </c>
      <c r="J223" s="109">
        <f ca="1">+'Prog 05'!J45</f>
        <v>0</v>
      </c>
      <c r="K223" s="256" t="str">
        <f t="shared" ca="1" si="52"/>
        <v>0.00%</v>
      </c>
      <c r="L223" s="109">
        <f>+'Prog 05'!L45</f>
        <v>0</v>
      </c>
      <c r="M223" s="256">
        <f t="shared" si="54"/>
        <v>0</v>
      </c>
      <c r="N223" s="109">
        <f>+'Prog 05'!N45</f>
        <v>0</v>
      </c>
      <c r="O223" s="162">
        <f t="shared" si="55"/>
        <v>0</v>
      </c>
      <c r="P223" s="163">
        <f>+'Prog 05'!P45</f>
        <v>0</v>
      </c>
      <c r="Q223" s="109">
        <f ca="1">+'Prog 05'!Q45</f>
        <v>0</v>
      </c>
      <c r="R223" s="162" t="str">
        <f t="shared" ca="1" si="53"/>
        <v>0.00%</v>
      </c>
      <c r="T223" s="537"/>
      <c r="U223" s="537"/>
      <c r="X223" s="627"/>
      <c r="Y223" s="627"/>
      <c r="Z223" s="627"/>
      <c r="AA223" s="632"/>
    </row>
    <row r="224" spans="2:27" ht="15" hidden="1" customHeight="1" outlineLevel="2" x14ac:dyDescent="0.25">
      <c r="B224" s="165"/>
      <c r="C224" s="106"/>
      <c r="D224" s="116" t="s">
        <v>174</v>
      </c>
      <c r="E224" s="117"/>
      <c r="F224" s="110" t="str">
        <f t="shared" si="56"/>
        <v>33.02.011</v>
      </c>
      <c r="G224" s="1009" t="s">
        <v>837</v>
      </c>
      <c r="H224" s="163">
        <f>+'Prog 05'!H46</f>
        <v>0</v>
      </c>
      <c r="I224" s="109">
        <f>+'Prog 05'!I46</f>
        <v>0</v>
      </c>
      <c r="J224" s="109">
        <f ca="1">+'Prog 05'!J46</f>
        <v>0</v>
      </c>
      <c r="K224" s="256" t="str">
        <f t="shared" ca="1" si="52"/>
        <v>0.00%</v>
      </c>
      <c r="L224" s="109">
        <f>+'Prog 05'!L46</f>
        <v>0</v>
      </c>
      <c r="M224" s="256">
        <f t="shared" si="54"/>
        <v>0</v>
      </c>
      <c r="N224" s="109">
        <f>+'Prog 05'!N46</f>
        <v>0</v>
      </c>
      <c r="O224" s="162">
        <f t="shared" si="55"/>
        <v>0</v>
      </c>
      <c r="P224" s="163">
        <f>+'Prog 05'!P46</f>
        <v>0</v>
      </c>
      <c r="Q224" s="109">
        <f ca="1">+'Prog 05'!Q46</f>
        <v>0</v>
      </c>
      <c r="R224" s="162" t="str">
        <f t="shared" ca="1" si="53"/>
        <v>0.00%</v>
      </c>
      <c r="T224" s="537"/>
      <c r="U224" s="537"/>
      <c r="X224" s="627"/>
      <c r="Y224" s="627"/>
      <c r="Z224" s="627"/>
      <c r="AA224" s="632"/>
    </row>
    <row r="225" spans="2:27" ht="15" hidden="1" customHeight="1" outlineLevel="2" x14ac:dyDescent="0.25">
      <c r="B225" s="165"/>
      <c r="C225" s="106"/>
      <c r="D225" s="116" t="s">
        <v>175</v>
      </c>
      <c r="E225" s="117"/>
      <c r="F225" s="110" t="str">
        <f t="shared" si="56"/>
        <v>33.02.012</v>
      </c>
      <c r="G225" s="1009" t="s">
        <v>838</v>
      </c>
      <c r="H225" s="163">
        <f>+'Prog 05'!H47</f>
        <v>0</v>
      </c>
      <c r="I225" s="109">
        <f>+'Prog 05'!I47</f>
        <v>0</v>
      </c>
      <c r="J225" s="109">
        <f ca="1">+'Prog 05'!J47</f>
        <v>0</v>
      </c>
      <c r="K225" s="256" t="str">
        <f t="shared" ca="1" si="52"/>
        <v>0.00%</v>
      </c>
      <c r="L225" s="109">
        <f>+'Prog 05'!L47</f>
        <v>0</v>
      </c>
      <c r="M225" s="256">
        <f t="shared" si="54"/>
        <v>0</v>
      </c>
      <c r="N225" s="109">
        <f>+'Prog 05'!N47</f>
        <v>0</v>
      </c>
      <c r="O225" s="162">
        <f t="shared" si="55"/>
        <v>0</v>
      </c>
      <c r="P225" s="163">
        <f>+'Prog 05'!P47</f>
        <v>0</v>
      </c>
      <c r="Q225" s="109">
        <f ca="1">+'Prog 05'!Q47</f>
        <v>0</v>
      </c>
      <c r="R225" s="162" t="str">
        <f t="shared" ca="1" si="53"/>
        <v>0.00%</v>
      </c>
      <c r="T225" s="537"/>
      <c r="U225" s="537"/>
      <c r="X225" s="627"/>
      <c r="Y225" s="627"/>
      <c r="Z225" s="627"/>
      <c r="AA225" s="632"/>
    </row>
    <row r="226" spans="2:27" ht="15" hidden="1" customHeight="1" outlineLevel="2" x14ac:dyDescent="0.25">
      <c r="B226" s="165"/>
      <c r="C226" s="106"/>
      <c r="D226" s="116" t="s">
        <v>176</v>
      </c>
      <c r="E226" s="117"/>
      <c r="F226" s="110" t="str">
        <f t="shared" si="56"/>
        <v>33.02.013</v>
      </c>
      <c r="G226" s="1009" t="s">
        <v>88</v>
      </c>
      <c r="H226" s="163">
        <f>+'Prog 05'!H48</f>
        <v>0</v>
      </c>
      <c r="I226" s="109">
        <f>+'Prog 05'!I48</f>
        <v>0</v>
      </c>
      <c r="J226" s="109">
        <f ca="1">+'Prog 05'!J48</f>
        <v>0</v>
      </c>
      <c r="K226" s="256" t="str">
        <f t="shared" ca="1" si="52"/>
        <v>0.00%</v>
      </c>
      <c r="L226" s="109">
        <f>+'Prog 05'!L48</f>
        <v>0</v>
      </c>
      <c r="M226" s="256">
        <f t="shared" si="54"/>
        <v>0</v>
      </c>
      <c r="N226" s="109">
        <f>+'Prog 05'!N48</f>
        <v>0</v>
      </c>
      <c r="O226" s="162">
        <f t="shared" si="55"/>
        <v>0</v>
      </c>
      <c r="P226" s="163">
        <f>+'Prog 05'!P48</f>
        <v>0</v>
      </c>
      <c r="Q226" s="109">
        <f ca="1">+'Prog 05'!Q48</f>
        <v>0</v>
      </c>
      <c r="R226" s="162" t="str">
        <f t="shared" ca="1" si="53"/>
        <v>0.00%</v>
      </c>
      <c r="T226" s="537"/>
      <c r="U226" s="537"/>
      <c r="X226" s="627"/>
      <c r="Y226" s="627"/>
      <c r="Z226" s="627"/>
      <c r="AA226" s="632"/>
    </row>
    <row r="227" spans="2:27" ht="15" hidden="1" customHeight="1" outlineLevel="2" x14ac:dyDescent="0.25">
      <c r="B227" s="165"/>
      <c r="C227" s="106"/>
      <c r="D227" s="116" t="s">
        <v>191</v>
      </c>
      <c r="E227" s="117"/>
      <c r="F227" s="110" t="str">
        <f t="shared" si="56"/>
        <v>33.02.014</v>
      </c>
      <c r="G227" s="1009" t="s">
        <v>839</v>
      </c>
      <c r="H227" s="163">
        <f>+'Prog 05'!H49</f>
        <v>0</v>
      </c>
      <c r="I227" s="109">
        <f>+'Prog 05'!I49</f>
        <v>0</v>
      </c>
      <c r="J227" s="109">
        <f>+'Prog 05'!J49</f>
        <v>0</v>
      </c>
      <c r="K227" s="256" t="str">
        <f t="shared" si="52"/>
        <v>0.00%</v>
      </c>
      <c r="L227" s="109">
        <f>+'Prog 05'!L49</f>
        <v>0</v>
      </c>
      <c r="M227" s="256">
        <f t="shared" si="54"/>
        <v>0</v>
      </c>
      <c r="N227" s="109">
        <f>+'Prog 05'!N49</f>
        <v>0</v>
      </c>
      <c r="O227" s="162">
        <f t="shared" si="55"/>
        <v>0</v>
      </c>
      <c r="P227" s="163">
        <f>+'Prog 05'!P49</f>
        <v>0</v>
      </c>
      <c r="Q227" s="109">
        <f ca="1">+'Prog 05'!Q49</f>
        <v>0</v>
      </c>
      <c r="R227" s="162" t="str">
        <f t="shared" ca="1" si="53"/>
        <v>0.00%</v>
      </c>
      <c r="T227" s="537"/>
      <c r="U227" s="537"/>
      <c r="X227" s="627"/>
      <c r="Y227" s="627"/>
      <c r="Z227" s="627"/>
      <c r="AA227" s="632"/>
    </row>
    <row r="228" spans="2:27" ht="15" hidden="1" customHeight="1" outlineLevel="2" x14ac:dyDescent="0.25">
      <c r="B228" s="165"/>
      <c r="C228" s="106"/>
      <c r="D228" s="116" t="s">
        <v>192</v>
      </c>
      <c r="E228" s="117"/>
      <c r="F228" s="110" t="str">
        <f t="shared" si="56"/>
        <v>33.02.015</v>
      </c>
      <c r="G228" s="1009" t="s">
        <v>840</v>
      </c>
      <c r="H228" s="163">
        <f>+'Prog 05'!H50</f>
        <v>0</v>
      </c>
      <c r="I228" s="109">
        <f>+'Prog 05'!I50</f>
        <v>0</v>
      </c>
      <c r="J228" s="109">
        <f ca="1">+'Prog 05'!J50</f>
        <v>0</v>
      </c>
      <c r="K228" s="256" t="str">
        <f t="shared" ca="1" si="52"/>
        <v>0.00%</v>
      </c>
      <c r="L228" s="109">
        <f>+'Prog 05'!L50</f>
        <v>0</v>
      </c>
      <c r="M228" s="256">
        <f t="shared" si="54"/>
        <v>0</v>
      </c>
      <c r="N228" s="109">
        <f>+'Prog 05'!N50</f>
        <v>0</v>
      </c>
      <c r="O228" s="162">
        <f t="shared" si="55"/>
        <v>0</v>
      </c>
      <c r="P228" s="163">
        <f>+'Prog 05'!P50</f>
        <v>0</v>
      </c>
      <c r="Q228" s="109">
        <f ca="1">+'Prog 05'!Q50</f>
        <v>0</v>
      </c>
      <c r="R228" s="162" t="str">
        <f t="shared" ca="1" si="53"/>
        <v>0.00%</v>
      </c>
      <c r="T228" s="537"/>
      <c r="U228" s="537"/>
      <c r="X228" s="627"/>
      <c r="Y228" s="627"/>
      <c r="Z228" s="627"/>
      <c r="AA228" s="632"/>
    </row>
    <row r="229" spans="2:27" ht="15" hidden="1" customHeight="1" outlineLevel="2" x14ac:dyDescent="0.25">
      <c r="B229" s="165"/>
      <c r="C229" s="106"/>
      <c r="D229" s="120" t="s">
        <v>227</v>
      </c>
      <c r="E229" s="117"/>
      <c r="F229" s="110" t="str">
        <f t="shared" si="56"/>
        <v>33.02.016</v>
      </c>
      <c r="G229" s="1009" t="s">
        <v>841</v>
      </c>
      <c r="H229" s="163">
        <v>0</v>
      </c>
      <c r="I229" s="109">
        <f>+'Prog 05'!I51</f>
        <v>0</v>
      </c>
      <c r="J229" s="109">
        <v>0</v>
      </c>
      <c r="K229" s="256" t="str">
        <f t="shared" si="52"/>
        <v>0.00%</v>
      </c>
      <c r="L229" s="109">
        <v>0</v>
      </c>
      <c r="M229" s="256">
        <f t="shared" si="54"/>
        <v>0</v>
      </c>
      <c r="N229" s="109">
        <v>0</v>
      </c>
      <c r="O229" s="162">
        <f t="shared" si="55"/>
        <v>0</v>
      </c>
      <c r="P229" s="163">
        <f>+'Prog 05'!P51</f>
        <v>0</v>
      </c>
      <c r="Q229" s="109">
        <f ca="1">+'Prog 05'!Q51</f>
        <v>0</v>
      </c>
      <c r="R229" s="162" t="str">
        <f t="shared" ca="1" si="53"/>
        <v>0.00%</v>
      </c>
      <c r="T229" s="537"/>
      <c r="U229" s="537"/>
      <c r="X229" s="627"/>
      <c r="Y229" s="627"/>
      <c r="Z229" s="627"/>
      <c r="AA229" s="632"/>
    </row>
    <row r="230" spans="2:27" ht="15" hidden="1" customHeight="1" outlineLevel="2" x14ac:dyDescent="0.25">
      <c r="B230" s="165"/>
      <c r="C230" s="106"/>
      <c r="D230" s="120" t="s">
        <v>193</v>
      </c>
      <c r="E230" s="117"/>
      <c r="F230" s="110" t="str">
        <f t="shared" si="56"/>
        <v>33.02.017</v>
      </c>
      <c r="G230" s="1009" t="s">
        <v>842</v>
      </c>
      <c r="H230" s="163">
        <v>0</v>
      </c>
      <c r="I230" s="109">
        <v>0</v>
      </c>
      <c r="J230" s="109">
        <v>0</v>
      </c>
      <c r="K230" s="256" t="str">
        <f t="shared" si="52"/>
        <v>0.00%</v>
      </c>
      <c r="L230" s="109">
        <v>0</v>
      </c>
      <c r="M230" s="256">
        <f t="shared" si="54"/>
        <v>0</v>
      </c>
      <c r="N230" s="109">
        <v>0</v>
      </c>
      <c r="O230" s="162">
        <f t="shared" si="55"/>
        <v>0</v>
      </c>
      <c r="P230" s="163">
        <f>+'Prog 05'!P52</f>
        <v>0</v>
      </c>
      <c r="Q230" s="109">
        <f ca="1">+'Prog 05'!Q52</f>
        <v>0</v>
      </c>
      <c r="R230" s="162" t="str">
        <f t="shared" ca="1" si="53"/>
        <v>0.00%</v>
      </c>
      <c r="T230" s="537"/>
      <c r="U230" s="537"/>
      <c r="X230" s="627"/>
      <c r="Y230" s="627"/>
      <c r="Z230" s="627"/>
      <c r="AA230" s="632"/>
    </row>
    <row r="231" spans="2:27" ht="15" hidden="1" customHeight="1" outlineLevel="2" x14ac:dyDescent="0.25">
      <c r="B231" s="165"/>
      <c r="C231" s="106"/>
      <c r="D231" s="120" t="s">
        <v>691</v>
      </c>
      <c r="E231" s="117"/>
      <c r="F231" s="110" t="str">
        <f t="shared" si="56"/>
        <v>33.02.020</v>
      </c>
      <c r="G231" s="1009" t="str">
        <f>+'Prog 05'!G53</f>
        <v>Gobiernos Regionales - Programas de Inversión</v>
      </c>
      <c r="H231" s="163">
        <f>+'Prog 05'!H53</f>
        <v>0</v>
      </c>
      <c r="I231" s="109">
        <f>+'Prog 05'!I53</f>
        <v>30570604</v>
      </c>
      <c r="J231" s="109">
        <f ca="1">+'Prog 05'!J53</f>
        <v>11523725</v>
      </c>
      <c r="K231" s="256">
        <f t="shared" ca="1" si="52"/>
        <v>0.3769544429020768</v>
      </c>
      <c r="L231" s="109">
        <f>+'Prog 05'!L53</f>
        <v>11523725</v>
      </c>
      <c r="M231" s="256">
        <f t="shared" si="54"/>
        <v>0.3769544429020768</v>
      </c>
      <c r="N231" s="109">
        <f>+I231-L231</f>
        <v>19046879</v>
      </c>
      <c r="O231" s="162">
        <f t="shared" si="55"/>
        <v>0.6230455570979232</v>
      </c>
      <c r="P231" s="163">
        <f>+'Prog 05'!P53</f>
        <v>0</v>
      </c>
      <c r="Q231" s="109">
        <f ca="1">+'Prog 05'!Q53</f>
        <v>0</v>
      </c>
      <c r="R231" s="162" t="str">
        <f ca="1">+'Prog 05'!R53</f>
        <v>0.00%</v>
      </c>
      <c r="T231" s="537"/>
      <c r="U231" s="537"/>
      <c r="X231" s="627"/>
      <c r="Y231" s="627"/>
      <c r="Z231" s="627"/>
      <c r="AA231" s="632"/>
    </row>
    <row r="232" spans="2:27" ht="15" hidden="1" customHeight="1" outlineLevel="2" x14ac:dyDescent="0.25">
      <c r="B232" s="165"/>
      <c r="C232" s="106"/>
      <c r="D232" s="120" t="s">
        <v>911</v>
      </c>
      <c r="E232" s="117"/>
      <c r="F232" s="110" t="str">
        <f t="shared" si="56"/>
        <v>33.02.018</v>
      </c>
      <c r="G232" s="1009" t="s">
        <v>507</v>
      </c>
      <c r="H232" s="163">
        <v>0</v>
      </c>
      <c r="I232" s="109">
        <f>+'Prog 03'!I35</f>
        <v>0</v>
      </c>
      <c r="J232" s="109">
        <f ca="1">+'Prog 03'!J35</f>
        <v>0</v>
      </c>
      <c r="K232" s="256" t="str">
        <f t="shared" ca="1" si="52"/>
        <v>0.00%</v>
      </c>
      <c r="L232" s="109">
        <f>+'Prog 03'!L35</f>
        <v>0</v>
      </c>
      <c r="M232" s="256">
        <f t="shared" si="54"/>
        <v>0</v>
      </c>
      <c r="N232" s="109">
        <f>+'Prog 03'!N35</f>
        <v>0</v>
      </c>
      <c r="O232" s="162">
        <f t="shared" si="55"/>
        <v>0</v>
      </c>
      <c r="P232" s="163">
        <f>+'Prog 03'!P35</f>
        <v>0</v>
      </c>
      <c r="Q232" s="109">
        <f>+'Prog 03'!Q35</f>
        <v>0</v>
      </c>
      <c r="R232" s="162" t="str">
        <f t="shared" si="53"/>
        <v>0.00%</v>
      </c>
      <c r="T232" s="537"/>
      <c r="U232" s="537"/>
      <c r="X232" s="627"/>
      <c r="Y232" s="627"/>
      <c r="Z232" s="627"/>
      <c r="AA232" s="632"/>
    </row>
    <row r="233" spans="2:27" ht="15" hidden="1" customHeight="1" outlineLevel="2" x14ac:dyDescent="0.25">
      <c r="B233" s="165"/>
      <c r="C233" s="106"/>
      <c r="D233" s="274" t="s">
        <v>766</v>
      </c>
      <c r="E233" s="117"/>
      <c r="F233" s="110" t="str">
        <f t="shared" si="56"/>
        <v>33.02.107</v>
      </c>
      <c r="G233" s="1009" t="s">
        <v>687</v>
      </c>
      <c r="H233" s="163">
        <v>0</v>
      </c>
      <c r="I233" s="109">
        <v>0</v>
      </c>
      <c r="J233" s="109">
        <v>0</v>
      </c>
      <c r="K233" s="256" t="str">
        <f t="shared" si="52"/>
        <v>0.00%</v>
      </c>
      <c r="L233" s="109">
        <v>0</v>
      </c>
      <c r="M233" s="256">
        <f t="shared" si="54"/>
        <v>0</v>
      </c>
      <c r="N233" s="109">
        <v>0</v>
      </c>
      <c r="O233" s="162">
        <f t="shared" si="55"/>
        <v>0</v>
      </c>
      <c r="P233" s="163">
        <f>+'Prog 05'!P54</f>
        <v>0</v>
      </c>
      <c r="Q233" s="109">
        <f ca="1">+'Prog 05'!Q54</f>
        <v>0</v>
      </c>
      <c r="R233" s="162" t="str">
        <f t="shared" ca="1" si="53"/>
        <v>0.00%</v>
      </c>
      <c r="T233" s="537"/>
      <c r="U233" s="537"/>
      <c r="X233" s="627"/>
      <c r="Y233" s="627"/>
      <c r="Z233" s="627"/>
      <c r="AA233" s="632"/>
    </row>
    <row r="234" spans="2:27" ht="15" hidden="1" customHeight="1" outlineLevel="2" x14ac:dyDescent="0.25">
      <c r="B234" s="165"/>
      <c r="C234" s="106"/>
      <c r="D234" s="274" t="s">
        <v>767</v>
      </c>
      <c r="E234" s="117"/>
      <c r="F234" s="110" t="str">
        <f t="shared" si="56"/>
        <v>33.02.914</v>
      </c>
      <c r="G234" s="1009" t="s">
        <v>539</v>
      </c>
      <c r="H234" s="163">
        <v>0</v>
      </c>
      <c r="I234" s="109">
        <v>0</v>
      </c>
      <c r="J234" s="109">
        <v>0</v>
      </c>
      <c r="K234" s="256" t="str">
        <f t="shared" si="52"/>
        <v>0.00%</v>
      </c>
      <c r="L234" s="109">
        <v>0</v>
      </c>
      <c r="M234" s="256">
        <f t="shared" si="54"/>
        <v>0</v>
      </c>
      <c r="N234" s="109">
        <v>0</v>
      </c>
      <c r="O234" s="162">
        <f t="shared" si="55"/>
        <v>0</v>
      </c>
      <c r="P234" s="163">
        <f>+'Prog 05'!P55</f>
        <v>0</v>
      </c>
      <c r="Q234" s="109">
        <f ca="1">+'Prog 05'!Q55</f>
        <v>0</v>
      </c>
      <c r="R234" s="162" t="str">
        <f t="shared" ca="1" si="53"/>
        <v>0.00%</v>
      </c>
      <c r="T234" s="537"/>
      <c r="U234" s="537"/>
      <c r="X234" s="627"/>
      <c r="Y234" s="627"/>
      <c r="Z234" s="627"/>
      <c r="AA234" s="632"/>
    </row>
    <row r="235" spans="2:27" ht="15" hidden="1" customHeight="1" outlineLevel="2" x14ac:dyDescent="0.25">
      <c r="B235" s="165"/>
      <c r="C235" s="106"/>
      <c r="D235" s="274" t="s">
        <v>768</v>
      </c>
      <c r="E235" s="117"/>
      <c r="F235" s="110" t="str">
        <f t="shared" si="56"/>
        <v>33.02.916</v>
      </c>
      <c r="G235" s="1009" t="s">
        <v>316</v>
      </c>
      <c r="H235" s="163">
        <v>0</v>
      </c>
      <c r="I235" s="109">
        <v>0</v>
      </c>
      <c r="J235" s="109">
        <v>0</v>
      </c>
      <c r="K235" s="256" t="str">
        <f t="shared" si="52"/>
        <v>0.00%</v>
      </c>
      <c r="L235" s="109">
        <v>0</v>
      </c>
      <c r="M235" s="256">
        <f t="shared" si="54"/>
        <v>0</v>
      </c>
      <c r="N235" s="109">
        <v>0</v>
      </c>
      <c r="O235" s="162">
        <f t="shared" si="55"/>
        <v>0</v>
      </c>
      <c r="P235" s="163">
        <f>+'Prog 05'!P56</f>
        <v>0</v>
      </c>
      <c r="Q235" s="109">
        <f ca="1">+'Prog 05'!Q56</f>
        <v>0</v>
      </c>
      <c r="R235" s="162" t="str">
        <f t="shared" ca="1" si="53"/>
        <v>0.00%</v>
      </c>
      <c r="T235" s="537"/>
      <c r="U235" s="537"/>
      <c r="X235" s="627"/>
      <c r="Y235" s="627"/>
      <c r="Z235" s="627"/>
      <c r="AA235" s="632"/>
    </row>
    <row r="236" spans="2:27" ht="15" hidden="1" customHeight="1" outlineLevel="2" x14ac:dyDescent="0.25">
      <c r="B236" s="165"/>
      <c r="C236" s="106"/>
      <c r="D236" s="120" t="s">
        <v>691</v>
      </c>
      <c r="E236" s="117"/>
      <c r="F236" s="110" t="str">
        <f t="shared" si="56"/>
        <v>33.02.020</v>
      </c>
      <c r="G236" s="1009" t="s">
        <v>781</v>
      </c>
      <c r="H236" s="163">
        <v>0</v>
      </c>
      <c r="I236" s="109">
        <f>'Prog 05'!I57</f>
        <v>0</v>
      </c>
      <c r="J236" s="109">
        <f ca="1">+'Prog 05'!J57</f>
        <v>0</v>
      </c>
      <c r="K236" s="256" t="str">
        <f t="shared" ca="1" si="52"/>
        <v>0.00%</v>
      </c>
      <c r="L236" s="109">
        <f>+'Prog 05'!L57</f>
        <v>0</v>
      </c>
      <c r="M236" s="256">
        <f t="shared" si="54"/>
        <v>0</v>
      </c>
      <c r="N236" s="109">
        <f>+'Prog 05'!N57</f>
        <v>0</v>
      </c>
      <c r="O236" s="162">
        <f t="shared" si="55"/>
        <v>0</v>
      </c>
      <c r="P236" s="163">
        <f>+'Prog 03'!P36+'Prog 05'!P57</f>
        <v>26729363.544999998</v>
      </c>
      <c r="Q236" s="109">
        <f>+'Prog 03'!Q36</f>
        <v>0</v>
      </c>
      <c r="R236" s="162">
        <f t="shared" si="53"/>
        <v>0</v>
      </c>
      <c r="T236" s="537"/>
      <c r="U236" s="537"/>
      <c r="X236" s="627"/>
      <c r="Y236" s="627"/>
      <c r="Z236" s="627"/>
      <c r="AA236" s="632"/>
    </row>
    <row r="237" spans="2:27" s="155" customFormat="1" ht="15" hidden="1" customHeight="1" outlineLevel="1" collapsed="1" x14ac:dyDescent="0.25">
      <c r="B237" s="165"/>
      <c r="C237" s="113" t="s">
        <v>167</v>
      </c>
      <c r="D237" s="107"/>
      <c r="E237" s="108"/>
      <c r="F237" s="108"/>
      <c r="G237" s="1008" t="s">
        <v>87</v>
      </c>
      <c r="H237" s="950">
        <f>+H238+H239+H244+H251+H252+H253+H254+H255+H256+H257+H258+H260+H261+H262+H263+H264+H265+H266+H267+H268+H269+H270+H271+H259</f>
        <v>301825406</v>
      </c>
      <c r="I237" s="950">
        <f>+I238+I239+I244+I251+I252+I253+I254+I255+I256+I257+I258+I260+I261+I262+I263+I264+I265+I266+I267+I268+I269+I270+I271+I259</f>
        <v>292392340</v>
      </c>
      <c r="J237" s="109">
        <f ca="1">+J238+J239+J244+J251+J252+J253+J254+J255+J256+J257+J258+J260+J261+J262+J263+J264+J265+J266+J267+J268+J269+J270+J271+J259</f>
        <v>143412902.17399999</v>
      </c>
      <c r="K237" s="256">
        <f ca="1">IFERROR(J237/I237,"0.00%")</f>
        <v>0.49048105081685789</v>
      </c>
      <c r="L237" s="109">
        <f>+L238+L239+L244+L251+L252+L253+L254+L255+L256+L257+L258+L260+L261+L262+L263+L264+L265+L266+L267+L268+L269+L270+L271+L259</f>
        <v>172033440.37400001</v>
      </c>
      <c r="M237" s="256">
        <f>+IFERROR(L237/I237,0)</f>
        <v>0.58836507267598059</v>
      </c>
      <c r="N237" s="109">
        <f>+N238+N239+N244+N251+N252+N253+N254+N255+N256+N257+N258+N260+N261+N262+N263+N264+N265+N266+N267+N268+N269+N270+N271+N259</f>
        <v>120358899.62599997</v>
      </c>
      <c r="O237" s="162">
        <f t="shared" si="55"/>
        <v>0.41163492732401941</v>
      </c>
      <c r="P237" s="163">
        <f>SUM(P251:P271)+P238+P239+P244</f>
        <v>268761341.87299997</v>
      </c>
      <c r="Q237" s="163">
        <f ca="1">SUM(Q251:Q271)+Q238+Q239+Q244</f>
        <v>124780966.17888999</v>
      </c>
      <c r="R237" s="162">
        <f t="shared" ca="1" si="53"/>
        <v>0.46428167573986062</v>
      </c>
      <c r="S237" s="154"/>
      <c r="T237" s="537"/>
      <c r="U237" s="537"/>
      <c r="V237" s="628"/>
      <c r="W237" s="628"/>
      <c r="X237" s="951"/>
      <c r="Y237" s="951"/>
      <c r="Z237" s="951"/>
      <c r="AA237" s="952"/>
    </row>
    <row r="238" spans="2:27" ht="15" hidden="1" customHeight="1" outlineLevel="2" x14ac:dyDescent="0.25">
      <c r="B238" s="165"/>
      <c r="C238" s="106"/>
      <c r="D238" s="116" t="s">
        <v>169</v>
      </c>
      <c r="E238" s="108"/>
      <c r="F238" s="110" t="str">
        <f>+CONCATENATE($B$212,"",$C$237,"",D238,"",E238)</f>
        <v>33.03.001</v>
      </c>
      <c r="G238" s="1008" t="s">
        <v>246</v>
      </c>
      <c r="H238" s="950">
        <f>+'Prog 05'!H59</f>
        <v>76538652</v>
      </c>
      <c r="I238" s="1017">
        <f>+'Prog 05'!I59</f>
        <v>0</v>
      </c>
      <c r="J238" s="1017">
        <f ca="1">+'Prog 05'!J59</f>
        <v>0</v>
      </c>
      <c r="K238" s="1025" t="str">
        <f t="shared" ca="1" si="52"/>
        <v>0.00%</v>
      </c>
      <c r="L238" s="1017">
        <f>+'Prog 05'!L59</f>
        <v>0</v>
      </c>
      <c r="M238" s="1025">
        <f t="shared" si="54"/>
        <v>0</v>
      </c>
      <c r="N238" s="1017">
        <f>+'Prog 05'!N59</f>
        <v>0</v>
      </c>
      <c r="O238" s="1026">
        <f t="shared" si="55"/>
        <v>0</v>
      </c>
      <c r="P238" s="950">
        <f>+'Prog 05'!P59</f>
        <v>40378316.497999996</v>
      </c>
      <c r="Q238" s="1017">
        <f>+'Prog 05'!Q59</f>
        <v>0</v>
      </c>
      <c r="R238" s="1026">
        <f t="shared" si="53"/>
        <v>0</v>
      </c>
      <c r="T238" s="537"/>
      <c r="U238" s="537"/>
      <c r="X238" s="627"/>
      <c r="Y238" s="627"/>
      <c r="Z238" s="627"/>
      <c r="AA238" s="632"/>
    </row>
    <row r="239" spans="2:27" s="155" customFormat="1" ht="15" hidden="1" customHeight="1" outlineLevel="2" x14ac:dyDescent="0.25">
      <c r="B239" s="165"/>
      <c r="C239" s="106"/>
      <c r="D239" s="116" t="s">
        <v>180</v>
      </c>
      <c r="E239" s="108"/>
      <c r="F239" s="110"/>
      <c r="G239" s="1008" t="s">
        <v>983</v>
      </c>
      <c r="H239" s="950">
        <f>SUM(H240:H243)</f>
        <v>90277278</v>
      </c>
      <c r="I239" s="1017">
        <f t="shared" ref="I239:Q239" si="57">SUM(I240:I243)</f>
        <v>155277278</v>
      </c>
      <c r="J239" s="1017">
        <f ca="1">SUM(J240:J243)</f>
        <v>77304713.041999996</v>
      </c>
      <c r="K239" s="256">
        <f t="shared" ca="1" si="52"/>
        <v>0.49784948601430273</v>
      </c>
      <c r="L239" s="1017">
        <f t="shared" si="57"/>
        <v>85828829.418000013</v>
      </c>
      <c r="M239" s="256">
        <f t="shared" si="54"/>
        <v>0.5527455821192333</v>
      </c>
      <c r="N239" s="1017">
        <f t="shared" si="57"/>
        <v>69448448.581999987</v>
      </c>
      <c r="O239" s="162">
        <f t="shared" si="55"/>
        <v>0.44725441788076675</v>
      </c>
      <c r="P239" s="950">
        <f t="shared" si="57"/>
        <v>96159192.855119988</v>
      </c>
      <c r="Q239" s="1017">
        <f t="shared" si="57"/>
        <v>56190896.248337001</v>
      </c>
      <c r="R239" s="162">
        <f t="shared" si="53"/>
        <v>0.58435282763862262</v>
      </c>
      <c r="S239" s="154"/>
      <c r="T239" s="537"/>
      <c r="U239" s="537"/>
      <c r="V239" s="628"/>
      <c r="W239" s="628"/>
      <c r="X239" s="951"/>
      <c r="Y239" s="951"/>
      <c r="Z239" s="951"/>
      <c r="AA239" s="952"/>
    </row>
    <row r="240" spans="2:27" ht="15" hidden="1" customHeight="1" outlineLevel="2" x14ac:dyDescent="0.25">
      <c r="B240" s="165"/>
      <c r="C240" s="106"/>
      <c r="D240" s="120"/>
      <c r="E240" s="108"/>
      <c r="F240" s="275" t="s">
        <v>729</v>
      </c>
      <c r="G240" s="1009" t="str">
        <f>+'Prog 03'!G39</f>
        <v>Tradicional (PMU)</v>
      </c>
      <c r="H240" s="163">
        <f>+'Prog 03'!H39</f>
        <v>42112712</v>
      </c>
      <c r="I240" s="109">
        <f>+'Prog 03'!I39</f>
        <v>42112712</v>
      </c>
      <c r="J240" s="109">
        <f ca="1">+'Prog 03'!J39</f>
        <v>7996854.629999999</v>
      </c>
      <c r="K240" s="256">
        <f t="shared" ca="1" si="52"/>
        <v>0.18989170372119465</v>
      </c>
      <c r="L240" s="109">
        <f>+'Prog 03'!L39</f>
        <v>9142700.1380000003</v>
      </c>
      <c r="M240" s="256">
        <f t="shared" si="54"/>
        <v>0.21710072098894986</v>
      </c>
      <c r="N240" s="109">
        <f>+'Prog 03'!N39</f>
        <v>32970011.862</v>
      </c>
      <c r="O240" s="162">
        <f t="shared" si="55"/>
        <v>0.78289927901105016</v>
      </c>
      <c r="P240" s="164">
        <f>+'Prog 03'!P39</f>
        <v>13123731.5625</v>
      </c>
      <c r="Q240" s="109">
        <f>+'Prog 03'!Q39</f>
        <v>2877623.2836409998</v>
      </c>
      <c r="R240" s="162">
        <f t="shared" si="53"/>
        <v>0.21926867902903283</v>
      </c>
      <c r="T240" s="537"/>
      <c r="U240" s="537"/>
      <c r="X240" s="627"/>
      <c r="Y240" s="627"/>
      <c r="Z240" s="627"/>
      <c r="AA240" s="632"/>
    </row>
    <row r="241" spans="2:45" ht="15" hidden="1" customHeight="1" outlineLevel="2" x14ac:dyDescent="0.25">
      <c r="B241" s="165"/>
      <c r="C241" s="106"/>
      <c r="D241" s="120"/>
      <c r="E241" s="108"/>
      <c r="F241" s="275" t="s">
        <v>730</v>
      </c>
      <c r="G241" s="1009" t="str">
        <f>+'Prog 03'!G40</f>
        <v>Emergencia (PMU)</v>
      </c>
      <c r="H241" s="163">
        <f>+'Prog 03'!H40</f>
        <v>26521300</v>
      </c>
      <c r="I241" s="109">
        <f>+'Prog 03'!I40</f>
        <v>73944300</v>
      </c>
      <c r="J241" s="109">
        <f ca="1">+'Prog 03'!J40</f>
        <v>47305570.348999999</v>
      </c>
      <c r="K241" s="256">
        <f t="shared" ca="1" si="52"/>
        <v>0.63974600272096704</v>
      </c>
      <c r="L241" s="109">
        <f>+'Prog 03'!L40</f>
        <v>50643181.997000001</v>
      </c>
      <c r="M241" s="256">
        <f t="shared" si="54"/>
        <v>0.68488283744656453</v>
      </c>
      <c r="N241" s="109">
        <f>+'Prog 03'!N40</f>
        <v>23301118.002999999</v>
      </c>
      <c r="O241" s="162">
        <f t="shared" si="55"/>
        <v>0.31511716255343547</v>
      </c>
      <c r="P241" s="164">
        <f>+'Prog 03'!P40</f>
        <v>64023069.194199994</v>
      </c>
      <c r="Q241" s="109">
        <f>+'Prog 03'!Q40</f>
        <v>39078676.984733999</v>
      </c>
      <c r="R241" s="162">
        <f t="shared" si="53"/>
        <v>0.61038431110194624</v>
      </c>
      <c r="T241" s="537"/>
      <c r="U241" s="537"/>
      <c r="X241" s="627"/>
      <c r="Y241" s="627"/>
      <c r="Z241" s="627"/>
      <c r="AA241" s="632"/>
    </row>
    <row r="242" spans="2:45" ht="15" hidden="1" customHeight="1" outlineLevel="2" x14ac:dyDescent="0.25">
      <c r="B242" s="165"/>
      <c r="C242" s="106"/>
      <c r="D242" s="120"/>
      <c r="E242" s="108"/>
      <c r="F242" s="275" t="s">
        <v>731</v>
      </c>
      <c r="G242" s="1009" t="str">
        <f>+'Prog 03'!G41</f>
        <v>Cuenca del Carbón (PMU)</v>
      </c>
      <c r="H242" s="163">
        <f>+'Prog 03'!H41</f>
        <v>16643266</v>
      </c>
      <c r="I242" s="109">
        <f>+'Prog 03'!I41</f>
        <v>17220266</v>
      </c>
      <c r="J242" s="109">
        <f ca="1">+'Prog 03'!J41</f>
        <v>13711589.243000001</v>
      </c>
      <c r="K242" s="256">
        <f t="shared" ca="1" si="52"/>
        <v>0.79624723816693666</v>
      </c>
      <c r="L242" s="109">
        <f>+'Prog 03'!L41</f>
        <v>17207282.894000001</v>
      </c>
      <c r="M242" s="256">
        <f t="shared" si="54"/>
        <v>0.99924605659401555</v>
      </c>
      <c r="N242" s="109">
        <f>+'Prog 03'!N41</f>
        <v>12983.105999998748</v>
      </c>
      <c r="O242" s="162">
        <f t="shared" si="55"/>
        <v>7.539434059844806E-4</v>
      </c>
      <c r="P242" s="164">
        <f>+'Prog 03'!P41</f>
        <v>19012392.098419998</v>
      </c>
      <c r="Q242" s="109">
        <f>+'Prog 03'!Q41</f>
        <v>14234595.979961999</v>
      </c>
      <c r="R242" s="162">
        <f t="shared" si="53"/>
        <v>0.7487009475859141</v>
      </c>
      <c r="T242" s="537"/>
      <c r="U242" s="537"/>
      <c r="X242" s="627"/>
      <c r="Y242" s="627"/>
      <c r="Z242" s="627"/>
      <c r="AA242" s="632"/>
    </row>
    <row r="243" spans="2:45" s="5" customFormat="1" ht="15" hidden="1" customHeight="1" outlineLevel="2" x14ac:dyDescent="0.25">
      <c r="B243" s="324"/>
      <c r="C243" s="325"/>
      <c r="D243" s="710"/>
      <c r="E243" s="327"/>
      <c r="F243" s="711" t="s">
        <v>731</v>
      </c>
      <c r="G243" s="767" t="s">
        <v>902</v>
      </c>
      <c r="H243" s="331">
        <f>+'Prog 03'!H42</f>
        <v>5000000</v>
      </c>
      <c r="I243" s="323">
        <f>+'Prog 03'!I42</f>
        <v>22000000</v>
      </c>
      <c r="J243" s="323">
        <f ca="1">+'Prog 03'!J42</f>
        <v>8290698.8200000003</v>
      </c>
      <c r="K243" s="256">
        <f t="shared" ca="1" si="52"/>
        <v>0.37684994636363639</v>
      </c>
      <c r="L243" s="323">
        <f>+'Prog 03'!L42</f>
        <v>8835664.3890000004</v>
      </c>
      <c r="M243" s="256">
        <f t="shared" si="54"/>
        <v>0.4016211085909091</v>
      </c>
      <c r="N243" s="323">
        <f>+'Prog 03'!N42</f>
        <v>13164335.611</v>
      </c>
      <c r="O243" s="162">
        <f t="shared" si="55"/>
        <v>0.59837889140909084</v>
      </c>
      <c r="P243" s="367">
        <f>+'Prog 03'!P42</f>
        <v>0</v>
      </c>
      <c r="Q243" s="323">
        <f>+'Prog 03'!Q42</f>
        <v>0</v>
      </c>
      <c r="R243" s="162" t="str">
        <f t="shared" si="53"/>
        <v>0.00%</v>
      </c>
      <c r="S243" s="154"/>
      <c r="T243" s="537"/>
      <c r="U243" s="537"/>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row>
    <row r="244" spans="2:45" s="155" customFormat="1" ht="15" hidden="1" customHeight="1" outlineLevel="2" x14ac:dyDescent="0.25">
      <c r="B244" s="165"/>
      <c r="C244" s="106"/>
      <c r="D244" s="116">
        <v>6</v>
      </c>
      <c r="E244" s="108"/>
      <c r="F244" s="110"/>
      <c r="G244" s="1008" t="s">
        <v>984</v>
      </c>
      <c r="H244" s="950">
        <f>SUM(H245:H250)</f>
        <v>56612173</v>
      </c>
      <c r="I244" s="1017">
        <f t="shared" ref="I244:Q244" si="58">SUM(I245:I250)</f>
        <v>91612173</v>
      </c>
      <c r="J244" s="1017">
        <f ca="1">SUM(J245:J250)</f>
        <v>51172728.272</v>
      </c>
      <c r="K244" s="256">
        <f t="shared" ca="1" si="52"/>
        <v>0.55858000739705194</v>
      </c>
      <c r="L244" s="1017">
        <f>SUM(L245:L250)</f>
        <v>59936908.894999996</v>
      </c>
      <c r="M244" s="256">
        <f t="shared" si="54"/>
        <v>0.65424612180086583</v>
      </c>
      <c r="N244" s="1017">
        <f t="shared" si="58"/>
        <v>31675264.104999993</v>
      </c>
      <c r="O244" s="162">
        <f t="shared" si="55"/>
        <v>0.345753878199134</v>
      </c>
      <c r="P244" s="950">
        <f t="shared" si="58"/>
        <v>76186060.144879997</v>
      </c>
      <c r="Q244" s="1017">
        <f t="shared" si="58"/>
        <v>49244855.333137996</v>
      </c>
      <c r="R244" s="162">
        <f t="shared" si="53"/>
        <v>0.64637619059826712</v>
      </c>
      <c r="S244" s="154"/>
      <c r="T244" s="537"/>
      <c r="U244" s="537"/>
      <c r="V244" s="628"/>
      <c r="W244" s="628"/>
      <c r="X244" s="951"/>
      <c r="Y244" s="951"/>
      <c r="Z244" s="951"/>
      <c r="AA244" s="952"/>
    </row>
    <row r="245" spans="2:45" ht="15" hidden="1" customHeight="1" outlineLevel="2" x14ac:dyDescent="0.25">
      <c r="B245" s="165"/>
      <c r="C245" s="106"/>
      <c r="D245" s="120"/>
      <c r="E245" s="108"/>
      <c r="F245" s="275" t="s">
        <v>732</v>
      </c>
      <c r="G245" s="1009" t="str">
        <f>+'Prog 03'!G44</f>
        <v>Asistencia Técnica (PMB)</v>
      </c>
      <c r="H245" s="163">
        <f>+'Prog 03'!H44</f>
        <v>5736407</v>
      </c>
      <c r="I245" s="109">
        <f>+'Prog 03'!I44</f>
        <v>15653724.908</v>
      </c>
      <c r="J245" s="109">
        <f ca="1">+'Prog 03'!J44</f>
        <v>10685876.104</v>
      </c>
      <c r="K245" s="256">
        <f t="shared" ca="1" si="52"/>
        <v>0.68264110726379712</v>
      </c>
      <c r="L245" s="109">
        <f>+'Prog 03'!L44</f>
        <v>12114075.704</v>
      </c>
      <c r="M245" s="256">
        <f t="shared" si="54"/>
        <v>0.77387815201792476</v>
      </c>
      <c r="N245" s="109">
        <f>+'Prog 03'!N44</f>
        <v>3539649.2039999999</v>
      </c>
      <c r="O245" s="162">
        <f t="shared" si="55"/>
        <v>0.22612184798207519</v>
      </c>
      <c r="P245" s="164">
        <f>+'Prog 03'!P44</f>
        <v>10535561.857549999</v>
      </c>
      <c r="Q245" s="109">
        <f>+'Prog 03'!Q44</f>
        <v>5454716.0024059983</v>
      </c>
      <c r="R245" s="162">
        <f t="shared" si="53"/>
        <v>0.51774324674455185</v>
      </c>
      <c r="T245" s="537"/>
      <c r="U245" s="537"/>
      <c r="X245" s="627"/>
      <c r="Y245" s="627"/>
      <c r="Z245" s="627"/>
      <c r="AA245" s="632"/>
    </row>
    <row r="246" spans="2:45" ht="15" hidden="1" customHeight="1" outlineLevel="2" x14ac:dyDescent="0.25">
      <c r="B246" s="165"/>
      <c r="C246" s="106"/>
      <c r="D246" s="120"/>
      <c r="E246" s="108"/>
      <c r="F246" s="275" t="s">
        <v>733</v>
      </c>
      <c r="G246" s="1009" t="str">
        <f>+'Prog 03'!G45</f>
        <v>Terrenos (PMB)</v>
      </c>
      <c r="H246" s="163">
        <f>+'Prog 03'!H45</f>
        <v>7925135</v>
      </c>
      <c r="I246" s="109">
        <f>+'Prog 03'!I45</f>
        <v>8943749.8080000002</v>
      </c>
      <c r="J246" s="109">
        <f ca="1">+'Prog 03'!J45</f>
        <v>3992413.1680000001</v>
      </c>
      <c r="K246" s="256">
        <f t="shared" ca="1" si="52"/>
        <v>0.44639141900289614</v>
      </c>
      <c r="L246" s="109">
        <f>+'Prog 03'!L45</f>
        <v>6943749.8080000002</v>
      </c>
      <c r="M246" s="256">
        <f t="shared" si="54"/>
        <v>0.77638014893808394</v>
      </c>
      <c r="N246" s="109">
        <f>+'Prog 03'!N45</f>
        <v>2000000</v>
      </c>
      <c r="O246" s="162">
        <f t="shared" si="55"/>
        <v>0.22361985106191601</v>
      </c>
      <c r="P246" s="164">
        <f>+'Prog 03'!P45</f>
        <v>3586583.2855119999</v>
      </c>
      <c r="Q246" s="109">
        <f>+'Prog 03'!Q45</f>
        <v>2013210.7198449997</v>
      </c>
      <c r="R246" s="162">
        <f t="shared" si="53"/>
        <v>0.56131715328551346</v>
      </c>
      <c r="T246" s="537"/>
      <c r="U246" s="537"/>
      <c r="X246" s="627"/>
      <c r="Y246" s="627"/>
      <c r="Z246" s="627"/>
      <c r="AA246" s="632"/>
    </row>
    <row r="247" spans="2:45" ht="15" hidden="1" customHeight="1" outlineLevel="2" x14ac:dyDescent="0.25">
      <c r="B247" s="165"/>
      <c r="C247" s="106"/>
      <c r="D247" s="120"/>
      <c r="E247" s="108"/>
      <c r="F247" s="275" t="s">
        <v>734</v>
      </c>
      <c r="G247" s="1009" t="str">
        <f>+'Prog 03'!G46</f>
        <v>Otras Transferencias (PMB)</v>
      </c>
      <c r="H247" s="163">
        <f>+'Prog 03'!H46</f>
        <v>1946254</v>
      </c>
      <c r="I247" s="109">
        <f>+'Prog 03'!I46</f>
        <v>5152457.91</v>
      </c>
      <c r="J247" s="109">
        <f ca="1">+'Prog 03'!J46</f>
        <v>3652476.341</v>
      </c>
      <c r="K247" s="256">
        <f t="shared" ca="1" si="52"/>
        <v>0.7088803838477159</v>
      </c>
      <c r="L247" s="109">
        <f>+'Prog 03'!L46</f>
        <v>3751656.341</v>
      </c>
      <c r="M247" s="256">
        <f t="shared" si="54"/>
        <v>0.72812944938738955</v>
      </c>
      <c r="N247" s="109">
        <f>+'Prog 03'!N46</f>
        <v>1400801.5690000001</v>
      </c>
      <c r="O247" s="162">
        <f t="shared" si="55"/>
        <v>0.27187055061261045</v>
      </c>
      <c r="P247" s="164">
        <f>+'Prog 03'!P46</f>
        <v>3891384.9493089993</v>
      </c>
      <c r="Q247" s="109">
        <f>+'Prog 03'!Q46</f>
        <v>1540903.0276340002</v>
      </c>
      <c r="R247" s="162">
        <f t="shared" si="53"/>
        <v>0.39597805092698968</v>
      </c>
      <c r="T247" s="537"/>
      <c r="U247" s="537"/>
      <c r="X247" s="627"/>
      <c r="Y247" s="627"/>
      <c r="Z247" s="627"/>
      <c r="AA247" s="632"/>
    </row>
    <row r="248" spans="2:45" ht="15" hidden="1" customHeight="1" outlineLevel="2" x14ac:dyDescent="0.25">
      <c r="B248" s="165"/>
      <c r="C248" s="106"/>
      <c r="D248" s="120"/>
      <c r="E248" s="108"/>
      <c r="F248" s="275" t="s">
        <v>735</v>
      </c>
      <c r="G248" s="1009" t="str">
        <f>+'Prog 03'!G47</f>
        <v>Estudios y diseños (PMB)</v>
      </c>
      <c r="H248" s="163">
        <f>+'Prog 03'!H47</f>
        <v>2260410</v>
      </c>
      <c r="I248" s="109">
        <f>+'Prog 03'!I47</f>
        <v>3219610</v>
      </c>
      <c r="J248" s="109">
        <f ca="1">+'Prog 03'!J47</f>
        <v>2236624.8229999999</v>
      </c>
      <c r="K248" s="256">
        <f t="shared" ca="1" si="52"/>
        <v>0.69468812154267123</v>
      </c>
      <c r="L248" s="109">
        <f>+'Prog 03'!L47</f>
        <v>2307092.9279999998</v>
      </c>
      <c r="M248" s="256">
        <f t="shared" si="54"/>
        <v>0.71657527712983871</v>
      </c>
      <c r="N248" s="109">
        <f>+'Prog 03'!N47</f>
        <v>912517.07200000016</v>
      </c>
      <c r="O248" s="162">
        <f t="shared" si="55"/>
        <v>0.28342472287016135</v>
      </c>
      <c r="P248" s="164">
        <f>+'Prog 03'!P47</f>
        <v>3432051.2571379999</v>
      </c>
      <c r="Q248" s="109">
        <f>+'Prog 03'!Q47</f>
        <v>688947.31544100004</v>
      </c>
      <c r="R248" s="162">
        <f t="shared" si="53"/>
        <v>0.2007392267257441</v>
      </c>
      <c r="T248" s="537"/>
      <c r="U248" s="537"/>
      <c r="X248" s="627"/>
      <c r="Y248" s="627"/>
      <c r="Z248" s="627"/>
      <c r="AA248" s="632"/>
    </row>
    <row r="249" spans="2:45" ht="15" hidden="1" customHeight="1" outlineLevel="2" x14ac:dyDescent="0.25">
      <c r="B249" s="165"/>
      <c r="C249" s="106"/>
      <c r="D249" s="120"/>
      <c r="E249" s="108"/>
      <c r="F249" s="275" t="s">
        <v>736</v>
      </c>
      <c r="G249" s="1009" t="str">
        <f>+'Prog 03'!G48</f>
        <v>IRAL Inversión Regional de Asignación Local (PMB)</v>
      </c>
      <c r="H249" s="163">
        <f>+'Prog 03'!H48</f>
        <v>21256852</v>
      </c>
      <c r="I249" s="109">
        <f>+'Prog 03'!I48</f>
        <v>21256852</v>
      </c>
      <c r="J249" s="109">
        <f ca="1">+'Prog 03'!J48</f>
        <v>2196936.6260000002</v>
      </c>
      <c r="K249" s="256">
        <f t="shared" ca="1" si="52"/>
        <v>0.10335192746320104</v>
      </c>
      <c r="L249" s="109">
        <f>+'Prog 03'!L48</f>
        <v>2196936.6260000002</v>
      </c>
      <c r="M249" s="256">
        <f t="shared" si="54"/>
        <v>0.10335192746320104</v>
      </c>
      <c r="N249" s="109">
        <f>+'Prog 03'!N48</f>
        <v>19059915.373999998</v>
      </c>
      <c r="O249" s="162">
        <f t="shared" si="55"/>
        <v>0.8966480725367989</v>
      </c>
      <c r="P249" s="164">
        <f>+'Prog 03'!P48</f>
        <v>9627494.2669999991</v>
      </c>
      <c r="Q249" s="109">
        <f>+'Prog 03'!Q48</f>
        <v>3490372.5342229996</v>
      </c>
      <c r="R249" s="162">
        <f t="shared" si="53"/>
        <v>0.36254215660110972</v>
      </c>
      <c r="T249" s="537"/>
      <c r="U249" s="537"/>
      <c r="X249" s="627"/>
      <c r="Y249" s="627"/>
      <c r="Z249" s="627"/>
      <c r="AA249" s="632"/>
    </row>
    <row r="250" spans="2:45" ht="15" hidden="1" customHeight="1" outlineLevel="2" x14ac:dyDescent="0.25">
      <c r="B250" s="165"/>
      <c r="C250" s="106"/>
      <c r="D250" s="120"/>
      <c r="E250" s="108"/>
      <c r="F250" s="275" t="s">
        <v>737</v>
      </c>
      <c r="G250" s="1009" t="str">
        <f>+'Prog 03'!G49</f>
        <v>Obras (PMB)</v>
      </c>
      <c r="H250" s="163">
        <f>+'Prog 03'!H49</f>
        <v>17487115</v>
      </c>
      <c r="I250" s="109">
        <f>+'Prog 03'!I49</f>
        <v>37385778.373999998</v>
      </c>
      <c r="J250" s="109">
        <f ca="1">+'Prog 03'!J49</f>
        <v>28408401.209999997</v>
      </c>
      <c r="K250" s="256">
        <f t="shared" ca="1" si="52"/>
        <v>0.75987186693848985</v>
      </c>
      <c r="L250" s="109">
        <f>+'Prog 03'!L49</f>
        <v>32623397.488000002</v>
      </c>
      <c r="M250" s="256">
        <f t="shared" si="54"/>
        <v>0.87261517365351948</v>
      </c>
      <c r="N250" s="109">
        <f>+'Prog 03'!N49</f>
        <v>4762380.8859999962</v>
      </c>
      <c r="O250" s="162">
        <f t="shared" si="55"/>
        <v>0.12738482634648052</v>
      </c>
      <c r="P250" s="164">
        <f>+'Prog 03'!P49</f>
        <v>45112984.528370999</v>
      </c>
      <c r="Q250" s="109">
        <f>+'Prog 03'!Q49</f>
        <v>36056705.733589001</v>
      </c>
      <c r="R250" s="162">
        <f t="shared" si="53"/>
        <v>0.79925338814401392</v>
      </c>
      <c r="T250" s="537"/>
      <c r="U250" s="537"/>
      <c r="X250" s="627"/>
      <c r="Y250" s="627"/>
      <c r="Z250" s="627"/>
      <c r="AA250" s="632"/>
    </row>
    <row r="251" spans="2:45" ht="15" hidden="1" customHeight="1" outlineLevel="2" x14ac:dyDescent="0.25">
      <c r="B251" s="165"/>
      <c r="C251" s="106"/>
      <c r="D251" s="116" t="s">
        <v>173</v>
      </c>
      <c r="E251" s="108"/>
      <c r="F251" s="110" t="str">
        <f>+CONCATENATE($B$212,"",$C$237,"",D251,"",E251)</f>
        <v>33.03.010</v>
      </c>
      <c r="G251" s="1009" t="s">
        <v>769</v>
      </c>
      <c r="H251" s="163">
        <v>0</v>
      </c>
      <c r="I251" s="109">
        <v>0</v>
      </c>
      <c r="J251" s="109">
        <v>0</v>
      </c>
      <c r="K251" s="256" t="str">
        <f t="shared" si="52"/>
        <v>0.00%</v>
      </c>
      <c r="L251" s="109">
        <v>0</v>
      </c>
      <c r="M251" s="256">
        <f t="shared" si="54"/>
        <v>0</v>
      </c>
      <c r="N251" s="109">
        <v>0</v>
      </c>
      <c r="O251" s="162">
        <f t="shared" si="55"/>
        <v>0</v>
      </c>
      <c r="P251" s="163">
        <v>0</v>
      </c>
      <c r="Q251" s="109">
        <v>0</v>
      </c>
      <c r="R251" s="162" t="str">
        <f t="shared" si="53"/>
        <v>0.00%</v>
      </c>
      <c r="T251" s="537"/>
      <c r="U251" s="537"/>
      <c r="X251" s="627"/>
      <c r="Y251" s="627"/>
      <c r="Z251" s="627"/>
      <c r="AA251" s="632"/>
    </row>
    <row r="252" spans="2:45" ht="15" hidden="1" customHeight="1" outlineLevel="2" x14ac:dyDescent="0.25">
      <c r="B252" s="165"/>
      <c r="C252" s="106"/>
      <c r="D252" s="116" t="s">
        <v>193</v>
      </c>
      <c r="E252" s="108"/>
      <c r="F252" s="110" t="str">
        <f>+CONCATENATE($B$212,"",$C$237,"",D252,"",E252)</f>
        <v>33.03.017</v>
      </c>
      <c r="G252" s="1009" t="s">
        <v>551</v>
      </c>
      <c r="H252" s="163">
        <f>+'Prog 05'!H61</f>
        <v>0</v>
      </c>
      <c r="I252" s="109">
        <f>+'Prog 05'!I61</f>
        <v>0</v>
      </c>
      <c r="J252" s="109">
        <f>+'Prog 05'!J61</f>
        <v>0</v>
      </c>
      <c r="K252" s="256" t="str">
        <f t="shared" si="52"/>
        <v>0.00%</v>
      </c>
      <c r="L252" s="109">
        <f>+'Prog 05'!L61</f>
        <v>0</v>
      </c>
      <c r="M252" s="256">
        <f t="shared" si="54"/>
        <v>0</v>
      </c>
      <c r="N252" s="109">
        <f>+'Prog 05'!N61</f>
        <v>0</v>
      </c>
      <c r="O252" s="162">
        <f t="shared" si="55"/>
        <v>0</v>
      </c>
      <c r="P252" s="163">
        <f>+'Prog 05'!P61</f>
        <v>0</v>
      </c>
      <c r="Q252" s="109">
        <f ca="1">+'Prog 05'!Q61</f>
        <v>0</v>
      </c>
      <c r="R252" s="162" t="str">
        <f t="shared" ca="1" si="53"/>
        <v>0.00%</v>
      </c>
      <c r="T252" s="537"/>
      <c r="U252" s="537"/>
      <c r="X252" s="627"/>
      <c r="Y252" s="627"/>
      <c r="Z252" s="627"/>
      <c r="AA252" s="632"/>
    </row>
    <row r="253" spans="2:45" ht="15" hidden="1" customHeight="1" outlineLevel="2" x14ac:dyDescent="0.25">
      <c r="B253" s="165"/>
      <c r="C253" s="106"/>
      <c r="D253" s="116" t="s">
        <v>691</v>
      </c>
      <c r="E253" s="108"/>
      <c r="F253" s="110" t="str">
        <f>+CONCATENATE($B$212,"",$C$237,"",D253,"",E253)</f>
        <v>33.03.020</v>
      </c>
      <c r="G253" s="1009" t="s">
        <v>770</v>
      </c>
      <c r="H253" s="163">
        <v>0</v>
      </c>
      <c r="I253" s="109">
        <v>0</v>
      </c>
      <c r="J253" s="109">
        <v>0</v>
      </c>
      <c r="K253" s="256" t="str">
        <f t="shared" si="52"/>
        <v>0.00%</v>
      </c>
      <c r="L253" s="109">
        <v>0</v>
      </c>
      <c r="M253" s="256">
        <f t="shared" si="54"/>
        <v>0</v>
      </c>
      <c r="N253" s="109">
        <v>0</v>
      </c>
      <c r="O253" s="162">
        <f t="shared" si="55"/>
        <v>0</v>
      </c>
      <c r="P253" s="163">
        <v>0</v>
      </c>
      <c r="Q253" s="109">
        <v>0</v>
      </c>
      <c r="R253" s="162" t="str">
        <f t="shared" si="53"/>
        <v>0.00%</v>
      </c>
      <c r="T253" s="537"/>
      <c r="U253" s="537"/>
      <c r="X253" s="627"/>
      <c r="Y253" s="627"/>
      <c r="Z253" s="627"/>
      <c r="AA253" s="632"/>
    </row>
    <row r="254" spans="2:45" ht="15" hidden="1" customHeight="1" outlineLevel="2" x14ac:dyDescent="0.25">
      <c r="B254" s="165"/>
      <c r="C254" s="106"/>
      <c r="D254" s="116" t="s">
        <v>194</v>
      </c>
      <c r="E254" s="108"/>
      <c r="F254" s="110" t="str">
        <f>+CONCATENATE($B$212,"",$C$237,"",D254,"",E254)</f>
        <v>33.03.021</v>
      </c>
      <c r="G254" s="1009" t="s">
        <v>549</v>
      </c>
      <c r="H254" s="163">
        <f>+'Prog 05'!H62</f>
        <v>0</v>
      </c>
      <c r="I254" s="109">
        <f>+'Prog 05'!I62</f>
        <v>0</v>
      </c>
      <c r="J254" s="109">
        <f>+'Prog 05'!J62</f>
        <v>0</v>
      </c>
      <c r="K254" s="256" t="str">
        <f t="shared" si="52"/>
        <v>0.00%</v>
      </c>
      <c r="L254" s="109">
        <f>+'Prog 05'!L62</f>
        <v>0</v>
      </c>
      <c r="M254" s="256">
        <f t="shared" si="54"/>
        <v>0</v>
      </c>
      <c r="N254" s="109">
        <f>+'Prog 05'!N62</f>
        <v>0</v>
      </c>
      <c r="O254" s="162">
        <f t="shared" si="55"/>
        <v>0</v>
      </c>
      <c r="P254" s="163">
        <f>+'Prog 05'!P62</f>
        <v>0</v>
      </c>
      <c r="Q254" s="109">
        <f ca="1">+'Prog 05'!Q62</f>
        <v>0</v>
      </c>
      <c r="R254" s="162" t="str">
        <f t="shared" ca="1" si="53"/>
        <v>0.00%</v>
      </c>
      <c r="T254" s="537"/>
      <c r="U254" s="537"/>
      <c r="X254" s="627"/>
      <c r="Y254" s="627"/>
      <c r="Z254" s="627"/>
      <c r="AA254" s="632"/>
    </row>
    <row r="255" spans="2:45" ht="15" hidden="1" customHeight="1" outlineLevel="2" x14ac:dyDescent="0.25">
      <c r="B255" s="165"/>
      <c r="C255" s="106"/>
      <c r="D255" s="116" t="s">
        <v>196</v>
      </c>
      <c r="E255" s="108"/>
      <c r="F255" s="110" t="str">
        <f>+CONCATENATE($B$212,"",$C$237,"",D255,"",E255)</f>
        <v>33.03.025</v>
      </c>
      <c r="G255" s="767" t="s">
        <v>550</v>
      </c>
      <c r="H255" s="331">
        <f>+'Prog 05'!H63</f>
        <v>0</v>
      </c>
      <c r="I255" s="323">
        <f>+'Prog 05'!I63</f>
        <v>0</v>
      </c>
      <c r="J255" s="323">
        <f>+'Prog 05'!J63</f>
        <v>0</v>
      </c>
      <c r="K255" s="256" t="str">
        <f t="shared" si="52"/>
        <v>0.00%</v>
      </c>
      <c r="L255" s="323">
        <f>+'Prog 05'!L63</f>
        <v>0</v>
      </c>
      <c r="M255" s="256">
        <f t="shared" si="54"/>
        <v>0</v>
      </c>
      <c r="N255" s="323">
        <f>+'Prog 05'!N63</f>
        <v>0</v>
      </c>
      <c r="O255" s="162">
        <f t="shared" si="55"/>
        <v>0</v>
      </c>
      <c r="P255" s="331">
        <f>+'Prog 05'!P63</f>
        <v>0</v>
      </c>
      <c r="Q255" s="323">
        <f ca="1">+'Prog 05'!Q63</f>
        <v>0</v>
      </c>
      <c r="R255" s="162" t="str">
        <f t="shared" ca="1" si="53"/>
        <v>0.00%</v>
      </c>
      <c r="T255" s="537"/>
      <c r="U255" s="537"/>
      <c r="X255" s="627"/>
      <c r="Y255" s="627"/>
      <c r="Z255" s="627"/>
      <c r="AA255" s="632"/>
    </row>
    <row r="256" spans="2:45" ht="15" hidden="1" customHeight="1" outlineLevel="2" x14ac:dyDescent="0.25">
      <c r="B256" s="165"/>
      <c r="C256" s="106"/>
      <c r="D256" s="120" t="s">
        <v>985</v>
      </c>
      <c r="E256" s="108"/>
      <c r="F256" s="275" t="s">
        <v>686</v>
      </c>
      <c r="G256" s="1009" t="str">
        <f>+'Prog 03'!G50</f>
        <v>Fondo Recuperación de  (FRC)</v>
      </c>
      <c r="H256" s="163">
        <f>+'Prog 03'!H50</f>
        <v>14656065</v>
      </c>
      <c r="I256" s="109">
        <f>+'Prog 03'!I50</f>
        <v>13367065</v>
      </c>
      <c r="J256" s="109">
        <f ca="1">+'Prog 03'!J50</f>
        <v>0</v>
      </c>
      <c r="K256" s="256">
        <f t="shared" ca="1" si="52"/>
        <v>0</v>
      </c>
      <c r="L256" s="109">
        <f>+'Prog 03'!L50</f>
        <v>5309309.24</v>
      </c>
      <c r="M256" s="256">
        <f t="shared" si="54"/>
        <v>0.39719334349013791</v>
      </c>
      <c r="N256" s="109">
        <f>+'Prog 03'!N50</f>
        <v>8057755.7599999998</v>
      </c>
      <c r="O256" s="162">
        <f t="shared" si="55"/>
        <v>0.60280665650986209</v>
      </c>
      <c r="P256" s="164">
        <f>+'Prog 03'!P50</f>
        <v>14656064.664999999</v>
      </c>
      <c r="Q256" s="109">
        <f>+'Prog 03'!Q50</f>
        <v>734519.52222299995</v>
      </c>
      <c r="R256" s="162">
        <f t="shared" si="53"/>
        <v>5.011710435319644E-2</v>
      </c>
      <c r="T256" s="537"/>
      <c r="U256" s="537"/>
      <c r="X256" s="627"/>
      <c r="Y256" s="627"/>
      <c r="Z256" s="627"/>
      <c r="AA256" s="632"/>
    </row>
    <row r="257" spans="2:27" ht="15" hidden="1" customHeight="1" outlineLevel="2" x14ac:dyDescent="0.25">
      <c r="B257" s="165"/>
      <c r="C257" s="106"/>
      <c r="D257" s="116" t="s">
        <v>189</v>
      </c>
      <c r="E257" s="108"/>
      <c r="F257" s="110" t="str">
        <f t="shared" ref="F257:F276" si="59">+CONCATENATE($B$212,"",$C$237,"",D257,"",E257)</f>
        <v>33.03.110</v>
      </c>
      <c r="G257" s="1009" t="s">
        <v>641</v>
      </c>
      <c r="H257" s="163">
        <f>+'Prog 03'!H51</f>
        <v>16934493</v>
      </c>
      <c r="I257" s="109">
        <f>+'Prog 03'!I51</f>
        <v>16934493</v>
      </c>
      <c r="J257" s="109">
        <f ca="1">+'Prog 03'!J51</f>
        <v>12090974.628</v>
      </c>
      <c r="K257" s="256">
        <f t="shared" ca="1" si="52"/>
        <v>0.71398503799316582</v>
      </c>
      <c r="L257" s="109">
        <f>+'Prog 03'!L51</f>
        <v>16934493</v>
      </c>
      <c r="M257" s="256">
        <f t="shared" si="54"/>
        <v>1</v>
      </c>
      <c r="N257" s="109">
        <f>+'Prog 03'!N51</f>
        <v>0</v>
      </c>
      <c r="O257" s="162">
        <f t="shared" si="55"/>
        <v>0</v>
      </c>
      <c r="P257" s="163">
        <f>+'Prog 03'!P51</f>
        <v>16934492.487</v>
      </c>
      <c r="Q257" s="109">
        <f>+'Prog 03'!Q51</f>
        <v>12171483.751975</v>
      </c>
      <c r="R257" s="162">
        <f t="shared" si="53"/>
        <v>0.7187392100069494</v>
      </c>
      <c r="T257" s="537"/>
      <c r="U257" s="537"/>
      <c r="X257" s="627"/>
      <c r="Y257" s="627"/>
      <c r="Z257" s="627"/>
      <c r="AA257" s="632"/>
    </row>
    <row r="258" spans="2:27" ht="15" hidden="1" customHeight="1" outlineLevel="2" x14ac:dyDescent="0.25">
      <c r="B258" s="165"/>
      <c r="C258" s="106"/>
      <c r="D258" s="120" t="s">
        <v>190</v>
      </c>
      <c r="E258" s="108"/>
      <c r="F258" s="110" t="str">
        <f t="shared" si="59"/>
        <v>33.03.111</v>
      </c>
      <c r="G258" s="1009" t="s">
        <v>642</v>
      </c>
      <c r="H258" s="163">
        <f>+'Prog 03'!H52</f>
        <v>8635311</v>
      </c>
      <c r="I258" s="109">
        <f>+'Prog 03'!I52</f>
        <v>8635311</v>
      </c>
      <c r="J258" s="109">
        <f ca="1">+'Prog 03'!J52</f>
        <v>2649707.4369999999</v>
      </c>
      <c r="K258" s="256">
        <f t="shared" ca="1" si="52"/>
        <v>0.30684562918463504</v>
      </c>
      <c r="L258" s="109">
        <f>+'Prog 03'!L52</f>
        <v>3666663.216</v>
      </c>
      <c r="M258" s="256">
        <f t="shared" si="54"/>
        <v>0.42461275754862793</v>
      </c>
      <c r="N258" s="109">
        <f>+'Prog 03'!N52</f>
        <v>4968647.784</v>
      </c>
      <c r="O258" s="162">
        <f t="shared" si="55"/>
        <v>0.57538724245137207</v>
      </c>
      <c r="P258" s="163">
        <f>+'Prog 03'!P52</f>
        <v>17542835.693999998</v>
      </c>
      <c r="Q258" s="109">
        <f>+'Prog 03'!Q52</f>
        <v>6059217.1043319991</v>
      </c>
      <c r="R258" s="162">
        <f t="shared" si="53"/>
        <v>0.34539553410993712</v>
      </c>
      <c r="T258" s="537"/>
      <c r="U258" s="537"/>
      <c r="X258" s="627"/>
      <c r="Y258" s="627"/>
      <c r="Z258" s="627"/>
      <c r="AA258" s="632"/>
    </row>
    <row r="259" spans="2:27" ht="15" hidden="1" customHeight="1" outlineLevel="2" x14ac:dyDescent="0.25">
      <c r="B259" s="165"/>
      <c r="C259" s="106"/>
      <c r="D259" s="120" t="s">
        <v>1038</v>
      </c>
      <c r="E259" s="108"/>
      <c r="F259" s="110" t="s">
        <v>1037</v>
      </c>
      <c r="G259" s="1009" t="s">
        <v>1033</v>
      </c>
      <c r="H259" s="163">
        <f>+'Prog 03'!H53</f>
        <v>0</v>
      </c>
      <c r="I259" s="109">
        <f>+'Prog 03'!I53</f>
        <v>1249000</v>
      </c>
      <c r="J259" s="109">
        <f ca="1">+'Prog 03'!J53</f>
        <v>0</v>
      </c>
      <c r="K259" s="256">
        <f ca="1">+'Prog 03'!K53</f>
        <v>0</v>
      </c>
      <c r="L259" s="109">
        <f>+'Prog 03'!L53</f>
        <v>0</v>
      </c>
      <c r="M259" s="256">
        <f t="shared" si="54"/>
        <v>0</v>
      </c>
      <c r="N259" s="109">
        <f>+'Prog 03'!N53</f>
        <v>1249000</v>
      </c>
      <c r="O259" s="162">
        <f t="shared" si="55"/>
        <v>1</v>
      </c>
      <c r="P259" s="163">
        <v>0</v>
      </c>
      <c r="Q259" s="109">
        <v>0</v>
      </c>
      <c r="R259" s="162">
        <v>0</v>
      </c>
      <c r="T259" s="537"/>
      <c r="U259" s="537"/>
      <c r="X259" s="627"/>
      <c r="Y259" s="627"/>
      <c r="Z259" s="627"/>
      <c r="AA259" s="632"/>
    </row>
    <row r="260" spans="2:27" ht="15" hidden="1" customHeight="1" outlineLevel="2" x14ac:dyDescent="0.25">
      <c r="B260" s="165"/>
      <c r="C260" s="106"/>
      <c r="D260" s="120" t="s">
        <v>197</v>
      </c>
      <c r="E260" s="108"/>
      <c r="F260" s="110" t="str">
        <f t="shared" si="59"/>
        <v>33.03.130</v>
      </c>
      <c r="G260" s="1009" t="s">
        <v>250</v>
      </c>
      <c r="H260" s="163">
        <f>+'Prog 05'!H64</f>
        <v>0</v>
      </c>
      <c r="I260" s="109">
        <f>+'Prog 05'!I64</f>
        <v>0</v>
      </c>
      <c r="J260" s="109">
        <f>+'Prog 05'!J64</f>
        <v>0</v>
      </c>
      <c r="K260" s="256" t="str">
        <f t="shared" si="52"/>
        <v>0.00%</v>
      </c>
      <c r="L260" s="109">
        <f>+'Prog 05'!L64</f>
        <v>0</v>
      </c>
      <c r="M260" s="256">
        <f t="shared" si="54"/>
        <v>0</v>
      </c>
      <c r="N260" s="109">
        <f>+'Prog 05'!N64</f>
        <v>0</v>
      </c>
      <c r="O260" s="162">
        <f t="shared" si="55"/>
        <v>0</v>
      </c>
      <c r="P260" s="163">
        <f>+'Prog 05'!P64</f>
        <v>0</v>
      </c>
      <c r="Q260" s="109">
        <f ca="1">+'Prog 05'!Q64</f>
        <v>0</v>
      </c>
      <c r="R260" s="162" t="str">
        <f t="shared" ca="1" si="53"/>
        <v>0.00%</v>
      </c>
      <c r="T260" s="537"/>
      <c r="U260" s="537"/>
      <c r="X260" s="627"/>
      <c r="Y260" s="627"/>
      <c r="Z260" s="627"/>
      <c r="AA260" s="632"/>
    </row>
    <row r="261" spans="2:27" ht="15" hidden="1" customHeight="1" outlineLevel="2" x14ac:dyDescent="0.25">
      <c r="B261" s="165"/>
      <c r="C261" s="106"/>
      <c r="D261" s="120" t="s">
        <v>198</v>
      </c>
      <c r="E261" s="108"/>
      <c r="F261" s="110" t="str">
        <f t="shared" si="59"/>
        <v>33.03.190</v>
      </c>
      <c r="G261" s="1009" t="s">
        <v>251</v>
      </c>
      <c r="H261" s="163">
        <f>+'Prog 05'!H65</f>
        <v>0</v>
      </c>
      <c r="I261" s="109">
        <f>+'Prog 05'!I65</f>
        <v>0</v>
      </c>
      <c r="J261" s="109">
        <f>+'Prog 05'!J65</f>
        <v>0</v>
      </c>
      <c r="K261" s="256" t="str">
        <f t="shared" si="52"/>
        <v>0.00%</v>
      </c>
      <c r="L261" s="109">
        <f>+'Prog 05'!L65</f>
        <v>0</v>
      </c>
      <c r="M261" s="256">
        <f t="shared" si="54"/>
        <v>0</v>
      </c>
      <c r="N261" s="109">
        <f>+'Prog 05'!N65</f>
        <v>0</v>
      </c>
      <c r="O261" s="162">
        <f t="shared" si="55"/>
        <v>0</v>
      </c>
      <c r="P261" s="163">
        <f>+'Prog 05'!P65</f>
        <v>0</v>
      </c>
      <c r="Q261" s="109">
        <f ca="1">+'Prog 05'!Q65</f>
        <v>0</v>
      </c>
      <c r="R261" s="162" t="str">
        <f t="shared" ca="1" si="53"/>
        <v>0.00%</v>
      </c>
      <c r="T261" s="537"/>
      <c r="U261" s="537"/>
      <c r="X261" s="627"/>
      <c r="Y261" s="627"/>
      <c r="Z261" s="627"/>
      <c r="AA261" s="632"/>
    </row>
    <row r="262" spans="2:27" ht="15" hidden="1" customHeight="1" outlineLevel="2" x14ac:dyDescent="0.25">
      <c r="B262" s="165"/>
      <c r="C262" s="106"/>
      <c r="D262" s="116" t="s">
        <v>199</v>
      </c>
      <c r="E262" s="108"/>
      <c r="F262" s="110" t="str">
        <f t="shared" si="59"/>
        <v>33.03.418</v>
      </c>
      <c r="G262" s="1009" t="s">
        <v>648</v>
      </c>
      <c r="H262" s="163">
        <f>+'Prog 05'!H66</f>
        <v>0</v>
      </c>
      <c r="I262" s="109">
        <f>+'Prog 05'!I66</f>
        <v>0</v>
      </c>
      <c r="J262" s="109">
        <f>+'Prog 05'!J66</f>
        <v>0</v>
      </c>
      <c r="K262" s="256" t="str">
        <f t="shared" si="52"/>
        <v>0.00%</v>
      </c>
      <c r="L262" s="109">
        <f>+'Prog 05'!L66</f>
        <v>0</v>
      </c>
      <c r="M262" s="256">
        <f t="shared" si="54"/>
        <v>0</v>
      </c>
      <c r="N262" s="109">
        <f>+'Prog 05'!N66</f>
        <v>0</v>
      </c>
      <c r="O262" s="162">
        <f t="shared" si="55"/>
        <v>0</v>
      </c>
      <c r="P262" s="163">
        <f>+'Prog 05'!P66</f>
        <v>0</v>
      </c>
      <c r="Q262" s="109">
        <f ca="1">+'Prog 05'!Q66</f>
        <v>0</v>
      </c>
      <c r="R262" s="162" t="str">
        <f t="shared" ca="1" si="53"/>
        <v>0.00%</v>
      </c>
      <c r="T262" s="537"/>
      <c r="U262" s="537"/>
      <c r="X262" s="627"/>
      <c r="Y262" s="627"/>
      <c r="Z262" s="627"/>
      <c r="AA262" s="632"/>
    </row>
    <row r="263" spans="2:27" ht="15" hidden="1" customHeight="1" outlineLevel="2" x14ac:dyDescent="0.25">
      <c r="B263" s="165"/>
      <c r="C263" s="106"/>
      <c r="D263" s="116" t="s">
        <v>200</v>
      </c>
      <c r="E263" s="108"/>
      <c r="F263" s="110" t="str">
        <f t="shared" si="59"/>
        <v>33.03.421</v>
      </c>
      <c r="G263" s="1009" t="s">
        <v>122</v>
      </c>
      <c r="H263" s="163">
        <f>+'Prog 05'!H67</f>
        <v>0</v>
      </c>
      <c r="I263" s="109">
        <f>+'Prog 05'!I67</f>
        <v>0</v>
      </c>
      <c r="J263" s="109">
        <f>+'Prog 05'!J67</f>
        <v>0</v>
      </c>
      <c r="K263" s="256" t="str">
        <f t="shared" si="52"/>
        <v>0.00%</v>
      </c>
      <c r="L263" s="109">
        <f>+'Prog 05'!L67</f>
        <v>0</v>
      </c>
      <c r="M263" s="256">
        <f t="shared" si="54"/>
        <v>0</v>
      </c>
      <c r="N263" s="109">
        <f>+'Prog 05'!N67</f>
        <v>0</v>
      </c>
      <c r="O263" s="162">
        <f t="shared" si="55"/>
        <v>0</v>
      </c>
      <c r="P263" s="163">
        <f>+'Prog 05'!P67</f>
        <v>0</v>
      </c>
      <c r="Q263" s="109">
        <f ca="1">+'Prog 05'!Q67</f>
        <v>0</v>
      </c>
      <c r="R263" s="162" t="str">
        <f t="shared" ca="1" si="53"/>
        <v>0.00%</v>
      </c>
      <c r="T263" s="537"/>
      <c r="U263" s="537"/>
      <c r="X263" s="627"/>
      <c r="Y263" s="627"/>
      <c r="Z263" s="627"/>
      <c r="AA263" s="632"/>
    </row>
    <row r="264" spans="2:27" ht="15" hidden="1" customHeight="1" outlineLevel="2" x14ac:dyDescent="0.25">
      <c r="B264" s="165"/>
      <c r="C264" s="106"/>
      <c r="D264" s="116" t="s">
        <v>201</v>
      </c>
      <c r="E264" s="108"/>
      <c r="F264" s="110" t="str">
        <f t="shared" si="59"/>
        <v>33.03.426</v>
      </c>
      <c r="G264" s="1009" t="s">
        <v>123</v>
      </c>
      <c r="H264" s="163">
        <f>+'Prog 05'!H68</f>
        <v>0</v>
      </c>
      <c r="I264" s="109">
        <f>+'Prog 05'!I68</f>
        <v>0</v>
      </c>
      <c r="J264" s="109">
        <f>+'Prog 05'!J68</f>
        <v>0</v>
      </c>
      <c r="K264" s="256" t="str">
        <f t="shared" si="52"/>
        <v>0.00%</v>
      </c>
      <c r="L264" s="109">
        <f>+'Prog 05'!L68</f>
        <v>0</v>
      </c>
      <c r="M264" s="256">
        <f t="shared" si="54"/>
        <v>0</v>
      </c>
      <c r="N264" s="109">
        <f>+'Prog 05'!N68</f>
        <v>0</v>
      </c>
      <c r="O264" s="162">
        <f t="shared" si="55"/>
        <v>0</v>
      </c>
      <c r="P264" s="163">
        <f>+'Prog 05'!P68</f>
        <v>0</v>
      </c>
      <c r="Q264" s="109">
        <f ca="1">+'Prog 05'!Q68</f>
        <v>0</v>
      </c>
      <c r="R264" s="162" t="str">
        <f t="shared" ca="1" si="53"/>
        <v>0.00%</v>
      </c>
      <c r="T264" s="537"/>
      <c r="U264" s="537"/>
      <c r="X264" s="627"/>
      <c r="Y264" s="627"/>
      <c r="Z264" s="627"/>
      <c r="AA264" s="632"/>
    </row>
    <row r="265" spans="2:27" s="156" customFormat="1" ht="15" hidden="1" customHeight="1" outlineLevel="2" x14ac:dyDescent="0.25">
      <c r="B265" s="165"/>
      <c r="C265" s="106"/>
      <c r="D265" s="116" t="s">
        <v>259</v>
      </c>
      <c r="E265" s="108"/>
      <c r="F265" s="110" t="str">
        <f t="shared" si="59"/>
        <v>33.03.427</v>
      </c>
      <c r="G265" s="1009" t="s">
        <v>270</v>
      </c>
      <c r="H265" s="163">
        <v>0</v>
      </c>
      <c r="I265" s="109">
        <v>0</v>
      </c>
      <c r="J265" s="109">
        <v>0</v>
      </c>
      <c r="K265" s="256" t="str">
        <f t="shared" si="52"/>
        <v>0.00%</v>
      </c>
      <c r="L265" s="109">
        <v>0</v>
      </c>
      <c r="M265" s="256">
        <f t="shared" si="54"/>
        <v>0</v>
      </c>
      <c r="N265" s="109">
        <v>0</v>
      </c>
      <c r="O265" s="162">
        <f t="shared" si="55"/>
        <v>0</v>
      </c>
      <c r="P265" s="163">
        <v>0</v>
      </c>
      <c r="Q265" s="109">
        <v>0</v>
      </c>
      <c r="R265" s="162" t="str">
        <f t="shared" si="53"/>
        <v>0.00%</v>
      </c>
      <c r="S265" s="154"/>
      <c r="T265" s="537"/>
      <c r="U265" s="537"/>
      <c r="V265" s="629"/>
      <c r="W265" s="629"/>
      <c r="X265" s="627"/>
      <c r="Y265" s="627"/>
      <c r="Z265" s="627"/>
      <c r="AA265" s="632"/>
    </row>
    <row r="266" spans="2:27" ht="15" hidden="1" customHeight="1" outlineLevel="2" x14ac:dyDescent="0.25">
      <c r="B266" s="165"/>
      <c r="C266" s="106"/>
      <c r="D266" s="116" t="s">
        <v>260</v>
      </c>
      <c r="E266" s="108"/>
      <c r="F266" s="110" t="str">
        <f t="shared" si="59"/>
        <v>33.03.428</v>
      </c>
      <c r="G266" s="1009" t="s">
        <v>271</v>
      </c>
      <c r="H266" s="163">
        <v>0</v>
      </c>
      <c r="I266" s="109">
        <v>0</v>
      </c>
      <c r="J266" s="109">
        <v>0</v>
      </c>
      <c r="K266" s="256" t="str">
        <f t="shared" si="52"/>
        <v>0.00%</v>
      </c>
      <c r="L266" s="109">
        <v>0</v>
      </c>
      <c r="M266" s="256">
        <f t="shared" si="54"/>
        <v>0</v>
      </c>
      <c r="N266" s="109">
        <v>0</v>
      </c>
      <c r="O266" s="162">
        <f t="shared" si="55"/>
        <v>0</v>
      </c>
      <c r="P266" s="163">
        <v>0</v>
      </c>
      <c r="Q266" s="109">
        <v>0</v>
      </c>
      <c r="R266" s="162" t="str">
        <f t="shared" si="53"/>
        <v>0.00%</v>
      </c>
      <c r="T266" s="537"/>
      <c r="U266" s="537"/>
      <c r="X266" s="627"/>
      <c r="Y266" s="627"/>
      <c r="Z266" s="627"/>
      <c r="AA266" s="632"/>
    </row>
    <row r="267" spans="2:27" ht="15" hidden="1" customHeight="1" outlineLevel="2" x14ac:dyDescent="0.25">
      <c r="B267" s="165"/>
      <c r="C267" s="106"/>
      <c r="D267" s="116" t="s">
        <v>202</v>
      </c>
      <c r="E267" s="108"/>
      <c r="F267" s="110" t="str">
        <f t="shared" si="59"/>
        <v>33.03.429</v>
      </c>
      <c r="G267" s="1009" t="s">
        <v>637</v>
      </c>
      <c r="H267" s="163">
        <v>0</v>
      </c>
      <c r="I267" s="109">
        <v>0</v>
      </c>
      <c r="J267" s="109">
        <v>0</v>
      </c>
      <c r="K267" s="256" t="str">
        <f t="shared" si="52"/>
        <v>0.00%</v>
      </c>
      <c r="L267" s="109">
        <v>0</v>
      </c>
      <c r="M267" s="256">
        <f t="shared" si="54"/>
        <v>0</v>
      </c>
      <c r="N267" s="109">
        <v>0</v>
      </c>
      <c r="O267" s="162">
        <f t="shared" si="55"/>
        <v>0</v>
      </c>
      <c r="P267" s="163">
        <v>0</v>
      </c>
      <c r="Q267" s="109">
        <v>0</v>
      </c>
      <c r="R267" s="162" t="str">
        <f t="shared" si="53"/>
        <v>0.00%</v>
      </c>
      <c r="T267" s="537"/>
      <c r="U267" s="537"/>
      <c r="X267" s="627"/>
      <c r="Y267" s="627"/>
      <c r="Z267" s="627"/>
      <c r="AA267" s="632"/>
    </row>
    <row r="268" spans="2:27" ht="15" hidden="1" customHeight="1" outlineLevel="2" x14ac:dyDescent="0.25">
      <c r="B268" s="165"/>
      <c r="C268" s="106"/>
      <c r="D268" s="116" t="s">
        <v>626</v>
      </c>
      <c r="E268" s="108"/>
      <c r="F268" s="110" t="str">
        <f t="shared" si="59"/>
        <v>33.03.431</v>
      </c>
      <c r="G268" s="1009" t="s">
        <v>649</v>
      </c>
      <c r="H268" s="163">
        <v>0</v>
      </c>
      <c r="I268" s="109">
        <v>0</v>
      </c>
      <c r="J268" s="109">
        <v>0</v>
      </c>
      <c r="K268" s="256" t="str">
        <f t="shared" si="52"/>
        <v>0.00%</v>
      </c>
      <c r="L268" s="109">
        <v>0</v>
      </c>
      <c r="M268" s="256">
        <f t="shared" si="54"/>
        <v>0</v>
      </c>
      <c r="N268" s="109">
        <v>0</v>
      </c>
      <c r="O268" s="162">
        <f t="shared" si="55"/>
        <v>0</v>
      </c>
      <c r="P268" s="163">
        <v>0</v>
      </c>
      <c r="Q268" s="109">
        <v>0</v>
      </c>
      <c r="R268" s="162" t="str">
        <f t="shared" si="53"/>
        <v>0.00%</v>
      </c>
      <c r="T268" s="537"/>
      <c r="U268" s="537"/>
      <c r="X268" s="627"/>
      <c r="Y268" s="627"/>
      <c r="Z268" s="627"/>
      <c r="AA268" s="632"/>
    </row>
    <row r="269" spans="2:27" ht="15" hidden="1" customHeight="1" outlineLevel="2" x14ac:dyDescent="0.25">
      <c r="B269" s="165"/>
      <c r="C269" s="106"/>
      <c r="D269" s="116" t="s">
        <v>714</v>
      </c>
      <c r="E269" s="108"/>
      <c r="F269" s="110" t="str">
        <f t="shared" si="59"/>
        <v>33.03.432</v>
      </c>
      <c r="G269" s="1009" t="s">
        <v>713</v>
      </c>
      <c r="H269" s="163">
        <f>+'Prog 05'!H60</f>
        <v>36987209</v>
      </c>
      <c r="I269" s="109">
        <f>+'Prog 05'!I60</f>
        <v>4352795</v>
      </c>
      <c r="J269" s="109">
        <f ca="1">+'Prog 05'!J60</f>
        <v>0</v>
      </c>
      <c r="K269" s="256">
        <f t="shared" ca="1" si="52"/>
        <v>0</v>
      </c>
      <c r="L269" s="109">
        <f>+'Prog 05'!L60</f>
        <v>0</v>
      </c>
      <c r="M269" s="256">
        <f t="shared" si="54"/>
        <v>0</v>
      </c>
      <c r="N269" s="109">
        <f>+'Prog 05'!N60</f>
        <v>4352795</v>
      </c>
      <c r="O269" s="162">
        <f t="shared" si="55"/>
        <v>1</v>
      </c>
      <c r="P269" s="163">
        <f>+'Prog 05'!P60</f>
        <v>5667118.75</v>
      </c>
      <c r="Q269" s="109">
        <v>0</v>
      </c>
      <c r="R269" s="162">
        <f t="shared" si="53"/>
        <v>0</v>
      </c>
      <c r="T269" s="537"/>
      <c r="U269" s="537"/>
      <c r="X269" s="627"/>
      <c r="Y269" s="627"/>
      <c r="Z269" s="627"/>
      <c r="AA269" s="632"/>
    </row>
    <row r="270" spans="2:27" ht="15" hidden="1" customHeight="1" outlineLevel="2" x14ac:dyDescent="0.25">
      <c r="B270" s="165"/>
      <c r="C270" s="106"/>
      <c r="D270" s="116" t="s">
        <v>711</v>
      </c>
      <c r="E270" s="108"/>
      <c r="F270" s="110" t="str">
        <f t="shared" si="59"/>
        <v>33.03.433</v>
      </c>
      <c r="G270" s="767" t="s">
        <v>710</v>
      </c>
      <c r="H270" s="331">
        <v>0</v>
      </c>
      <c r="I270" s="323">
        <v>0</v>
      </c>
      <c r="J270" s="109">
        <v>0</v>
      </c>
      <c r="K270" s="256" t="str">
        <f t="shared" si="52"/>
        <v>0.00%</v>
      </c>
      <c r="L270" s="109">
        <v>0</v>
      </c>
      <c r="M270" s="256">
        <f t="shared" si="54"/>
        <v>0</v>
      </c>
      <c r="N270" s="109">
        <v>0</v>
      </c>
      <c r="O270" s="162">
        <f t="shared" si="55"/>
        <v>0</v>
      </c>
      <c r="P270" s="163">
        <v>0</v>
      </c>
      <c r="Q270" s="109">
        <v>0</v>
      </c>
      <c r="R270" s="162" t="str">
        <f t="shared" si="53"/>
        <v>0.00%</v>
      </c>
      <c r="T270" s="537"/>
      <c r="U270" s="537"/>
      <c r="X270" s="627"/>
      <c r="Y270" s="627"/>
      <c r="Z270" s="627"/>
      <c r="AA270" s="632"/>
    </row>
    <row r="271" spans="2:27" ht="15" hidden="1" customHeight="1" outlineLevel="2" x14ac:dyDescent="0.25">
      <c r="B271" s="165"/>
      <c r="C271" s="106"/>
      <c r="D271" s="116" t="s">
        <v>325</v>
      </c>
      <c r="E271" s="108"/>
      <c r="F271" s="110" t="str">
        <f t="shared" si="59"/>
        <v>33.03.602</v>
      </c>
      <c r="G271" s="1009" t="s">
        <v>335</v>
      </c>
      <c r="H271" s="163">
        <f>+SUM(H272:H276)</f>
        <v>1184225</v>
      </c>
      <c r="I271" s="109">
        <f t="shared" ref="I271:N271" si="60">+SUM(I272:I276)</f>
        <v>964225</v>
      </c>
      <c r="J271" s="109">
        <f ca="1">+SUM(J272:J276)</f>
        <v>194778.79499999998</v>
      </c>
      <c r="K271" s="256">
        <f t="shared" ca="1" si="52"/>
        <v>0.20200554331198628</v>
      </c>
      <c r="L271" s="109">
        <f>+SUM(L272:L276)</f>
        <v>357236.60500000004</v>
      </c>
      <c r="M271" s="256">
        <f t="shared" si="54"/>
        <v>0.37049091757629188</v>
      </c>
      <c r="N271" s="109">
        <f t="shared" si="60"/>
        <v>606988.39500000002</v>
      </c>
      <c r="O271" s="162">
        <f t="shared" si="55"/>
        <v>0.62950908242370818</v>
      </c>
      <c r="P271" s="163">
        <f>+SUM(P272:P276)</f>
        <v>1237260.7790000001</v>
      </c>
      <c r="Q271" s="109">
        <f>+SUM(Q272:Q276)</f>
        <v>379994.21888499998</v>
      </c>
      <c r="R271" s="162">
        <f t="shared" si="53"/>
        <v>0.3071254058438071</v>
      </c>
      <c r="T271" s="537"/>
      <c r="U271" s="537"/>
      <c r="X271" s="627"/>
      <c r="Y271" s="627"/>
      <c r="Z271" s="627"/>
      <c r="AA271" s="632"/>
    </row>
    <row r="272" spans="2:27" ht="15" hidden="1" customHeight="1" outlineLevel="2" x14ac:dyDescent="0.25">
      <c r="B272" s="165"/>
      <c r="C272" s="106"/>
      <c r="D272" s="116" t="s">
        <v>169</v>
      </c>
      <c r="E272" s="108"/>
      <c r="F272" s="110" t="str">
        <f t="shared" si="59"/>
        <v>33.03.001</v>
      </c>
      <c r="G272" s="1009" t="s">
        <v>771</v>
      </c>
      <c r="H272" s="163">
        <f>+'Prog 02'!H43</f>
        <v>520000</v>
      </c>
      <c r="I272" s="109">
        <f>+'Prog 02'!I43</f>
        <v>300000</v>
      </c>
      <c r="J272" s="109">
        <f ca="1">+'Prog 02'!J43</f>
        <v>7298.8450000000003</v>
      </c>
      <c r="K272" s="256">
        <f t="shared" ca="1" si="52"/>
        <v>2.4329483333333336E-2</v>
      </c>
      <c r="L272" s="109">
        <f>+'Prog 02'!L43</f>
        <v>33226.521000000001</v>
      </c>
      <c r="M272" s="256">
        <f t="shared" si="54"/>
        <v>0.11075507</v>
      </c>
      <c r="N272" s="109">
        <f>+'Prog 02'!N43</f>
        <v>266773.47899999999</v>
      </c>
      <c r="O272" s="162">
        <f t="shared" si="55"/>
        <v>0.88924492999999993</v>
      </c>
      <c r="P272" s="163">
        <f>+'Prog 02'!P43</f>
        <v>552760</v>
      </c>
      <c r="Q272" s="109">
        <f>+'Prog 02'!Q43</f>
        <v>138149.410408</v>
      </c>
      <c r="R272" s="162">
        <f t="shared" si="53"/>
        <v>0.24992656923076922</v>
      </c>
      <c r="T272" s="537"/>
      <c r="U272" s="537"/>
      <c r="X272" s="627"/>
      <c r="Y272" s="627"/>
      <c r="Z272" s="627"/>
      <c r="AA272" s="632"/>
    </row>
    <row r="273" spans="2:27" ht="15" hidden="1" customHeight="1" outlineLevel="2" x14ac:dyDescent="0.25">
      <c r="B273" s="165"/>
      <c r="C273" s="106"/>
      <c r="D273" s="116" t="s">
        <v>165</v>
      </c>
      <c r="E273" s="108"/>
      <c r="F273" s="110" t="str">
        <f t="shared" si="59"/>
        <v>33.03.002</v>
      </c>
      <c r="G273" s="1009" t="s">
        <v>772</v>
      </c>
      <c r="H273" s="163">
        <f>+'Prog 02'!H44</f>
        <v>300292</v>
      </c>
      <c r="I273" s="109">
        <f>+'Prog 02'!I44</f>
        <v>300292</v>
      </c>
      <c r="J273" s="109">
        <f ca="1">+'Prog 02'!J44</f>
        <v>144468.73799999998</v>
      </c>
      <c r="K273" s="256">
        <f t="shared" ca="1" si="52"/>
        <v>0.48109419498354927</v>
      </c>
      <c r="L273" s="109">
        <f>+'Prog 02'!L44</f>
        <v>210609.46100000001</v>
      </c>
      <c r="M273" s="256">
        <f t="shared" si="54"/>
        <v>0.70134889041333104</v>
      </c>
      <c r="N273" s="109">
        <f>+'Prog 02'!N44</f>
        <v>89682.53899999999</v>
      </c>
      <c r="O273" s="162">
        <f t="shared" si="55"/>
        <v>0.29865110958666896</v>
      </c>
      <c r="P273" s="163">
        <f>+'Prog 02'!P44</f>
        <v>297640</v>
      </c>
      <c r="Q273" s="109">
        <f>+'Prog 02'!Q44</f>
        <v>147560.96047699999</v>
      </c>
      <c r="R273" s="162">
        <f t="shared" si="53"/>
        <v>0.49576992499999994</v>
      </c>
      <c r="T273" s="537"/>
      <c r="U273" s="537"/>
      <c r="X273" s="627"/>
      <c r="Y273" s="627"/>
      <c r="Z273" s="627"/>
      <c r="AA273" s="632"/>
    </row>
    <row r="274" spans="2:27" ht="15" hidden="1" customHeight="1" outlineLevel="2" x14ac:dyDescent="0.25">
      <c r="B274" s="165"/>
      <c r="C274" s="106"/>
      <c r="D274" s="116" t="s">
        <v>166</v>
      </c>
      <c r="E274" s="108"/>
      <c r="F274" s="110" t="str">
        <f t="shared" si="59"/>
        <v>33.03.003</v>
      </c>
      <c r="G274" s="1009" t="s">
        <v>773</v>
      </c>
      <c r="H274" s="163">
        <f>+'Prog 02'!H45</f>
        <v>278933</v>
      </c>
      <c r="I274" s="109">
        <f>+'Prog 02'!I45</f>
        <v>278933</v>
      </c>
      <c r="J274" s="109">
        <f ca="1">+'Prog 02'!J45</f>
        <v>43011.212</v>
      </c>
      <c r="K274" s="256">
        <f t="shared" ref="K274:K282" ca="1" si="61">IFERROR(J274/I274,"0.00%")</f>
        <v>0.15419908006582225</v>
      </c>
      <c r="L274" s="109">
        <f>+'Prog 02'!L45</f>
        <v>113400.62300000001</v>
      </c>
      <c r="M274" s="256">
        <f t="shared" si="54"/>
        <v>0.40655147651945095</v>
      </c>
      <c r="N274" s="109">
        <f>+'Prog 02'!N45</f>
        <v>165532.37699999998</v>
      </c>
      <c r="O274" s="162">
        <f t="shared" si="55"/>
        <v>0.593448523480549</v>
      </c>
      <c r="P274" s="163">
        <f>+'Prog 02'!P45</f>
        <v>296505.77899999998</v>
      </c>
      <c r="Q274" s="109">
        <f>+'Prog 02'!Q45</f>
        <v>83339.199999999997</v>
      </c>
      <c r="R274" s="162">
        <f t="shared" ref="R274:R282" si="62">IFERROR(Q274/P274,"0.00%")</f>
        <v>0.28107108158590055</v>
      </c>
      <c r="T274" s="537"/>
      <c r="U274" s="537"/>
      <c r="X274" s="627"/>
      <c r="Y274" s="627"/>
      <c r="Z274" s="627"/>
      <c r="AA274" s="632"/>
    </row>
    <row r="275" spans="2:27" ht="15" hidden="1" customHeight="1" outlineLevel="2" x14ac:dyDescent="0.25">
      <c r="B275" s="165"/>
      <c r="C275" s="106"/>
      <c r="D275" s="116" t="s">
        <v>179</v>
      </c>
      <c r="E275" s="108"/>
      <c r="F275" s="110" t="str">
        <f t="shared" si="59"/>
        <v>33.03.004</v>
      </c>
      <c r="G275" s="1009" t="s">
        <v>673</v>
      </c>
      <c r="H275" s="163">
        <f>+'Prog 02'!H46</f>
        <v>35000</v>
      </c>
      <c r="I275" s="109">
        <f>+'Prog 02'!I46</f>
        <v>35000</v>
      </c>
      <c r="J275" s="109">
        <f ca="1">+'Prog 02'!J46</f>
        <v>0</v>
      </c>
      <c r="K275" s="256">
        <f t="shared" ca="1" si="61"/>
        <v>0</v>
      </c>
      <c r="L275" s="109">
        <f>+'Prog 02'!L46</f>
        <v>0</v>
      </c>
      <c r="M275" s="256">
        <f t="shared" ref="M275:M282" si="63">+IFERROR(L275/I275,0)</f>
        <v>0</v>
      </c>
      <c r="N275" s="109">
        <f>+'Prog 02'!N46</f>
        <v>35000</v>
      </c>
      <c r="O275" s="162">
        <f t="shared" ref="O275:O282" si="64">+IFERROR(N275/I275,0)</f>
        <v>1</v>
      </c>
      <c r="P275" s="163">
        <f>+'Prog 02'!P46</f>
        <v>37205</v>
      </c>
      <c r="Q275" s="109">
        <f>+'Prog 02'!Q46</f>
        <v>10944.647999999999</v>
      </c>
      <c r="R275" s="162">
        <f t="shared" si="62"/>
        <v>0.29417142857142853</v>
      </c>
      <c r="T275" s="537"/>
      <c r="U275" s="537"/>
      <c r="X275" s="627"/>
      <c r="Y275" s="627"/>
      <c r="Z275" s="627"/>
      <c r="AA275" s="632"/>
    </row>
    <row r="276" spans="2:27" ht="15" hidden="1" customHeight="1" outlineLevel="2" x14ac:dyDescent="0.25">
      <c r="B276" s="165"/>
      <c r="C276" s="106"/>
      <c r="D276" s="116" t="s">
        <v>180</v>
      </c>
      <c r="E276" s="108"/>
      <c r="F276" s="110" t="str">
        <f t="shared" si="59"/>
        <v>33.03.005</v>
      </c>
      <c r="G276" s="1009" t="s">
        <v>675</v>
      </c>
      <c r="H276" s="163">
        <f>+'Prog 02'!H47</f>
        <v>50000</v>
      </c>
      <c r="I276" s="109">
        <f>+'Prog 02'!I47</f>
        <v>50000</v>
      </c>
      <c r="J276" s="109">
        <f ca="1">+'Prog 02'!J47</f>
        <v>0</v>
      </c>
      <c r="K276" s="256">
        <f t="shared" ca="1" si="61"/>
        <v>0</v>
      </c>
      <c r="L276" s="109">
        <f>+'Prog 02'!L47</f>
        <v>0</v>
      </c>
      <c r="M276" s="256">
        <f t="shared" si="63"/>
        <v>0</v>
      </c>
      <c r="N276" s="109">
        <f>+'Prog 02'!N47</f>
        <v>50000</v>
      </c>
      <c r="O276" s="162">
        <f t="shared" si="64"/>
        <v>1</v>
      </c>
      <c r="P276" s="163">
        <f>+'Prog 02'!P47</f>
        <v>53150</v>
      </c>
      <c r="Q276" s="109">
        <f>+'Prog 02'!Q47</f>
        <v>0</v>
      </c>
      <c r="R276" s="162">
        <f t="shared" si="62"/>
        <v>0</v>
      </c>
      <c r="T276" s="537"/>
      <c r="U276" s="537"/>
      <c r="X276" s="627"/>
      <c r="Y276" s="627"/>
      <c r="Z276" s="627"/>
      <c r="AA276" s="632"/>
    </row>
    <row r="277" spans="2:27" ht="15" customHeight="1" collapsed="1" x14ac:dyDescent="0.25">
      <c r="B277" s="324">
        <v>34</v>
      </c>
      <c r="C277" s="325"/>
      <c r="D277" s="326"/>
      <c r="E277" s="327"/>
      <c r="F277" s="327"/>
      <c r="G277" s="1012" t="s">
        <v>83</v>
      </c>
      <c r="H277" s="331">
        <f>+'Prog 01'!I182+'Prog 02'!H48+'Prog 03'!H54</f>
        <v>17962498</v>
      </c>
      <c r="I277" s="323">
        <f>+'Prog 01'!J182+'Prog 02'!I48+'Prog 03'!I54</f>
        <v>19134769</v>
      </c>
      <c r="J277" s="111">
        <f ca="1">+'Prog 01'!K182+'Prog 02'!J48+'Prog 03'!J54</f>
        <v>17836695.336000003</v>
      </c>
      <c r="K277" s="256">
        <f t="shared" ca="1" si="61"/>
        <v>0.93216151896058963</v>
      </c>
      <c r="L277" s="109">
        <f>+'Prog 01'!M182+'Prog 02'!L48+'Prog 03'!L54</f>
        <v>17836695.336000003</v>
      </c>
      <c r="M277" s="256">
        <f t="shared" si="63"/>
        <v>0.93216151896058963</v>
      </c>
      <c r="N277" s="109">
        <f>+'Prog 01'!O182+'Prog 02'!N48+'Prog 03'!N54</f>
        <v>1298073.6639999999</v>
      </c>
      <c r="O277" s="162">
        <f t="shared" si="64"/>
        <v>6.7838481039410509E-2</v>
      </c>
      <c r="P277" s="330">
        <f>SUM(P278:P281)</f>
        <v>18533934.373999998</v>
      </c>
      <c r="Q277" s="328">
        <f ca="1">SUM(Q278:Q281)</f>
        <v>11796788.880415</v>
      </c>
      <c r="R277" s="162">
        <f t="shared" ca="1" si="62"/>
        <v>0.63649674388422983</v>
      </c>
      <c r="T277" s="537"/>
      <c r="U277" s="537"/>
      <c r="X277" s="627"/>
      <c r="Y277" s="627"/>
      <c r="Z277" s="627"/>
      <c r="AA277" s="632"/>
    </row>
    <row r="278" spans="2:27" ht="15" hidden="1" customHeight="1" outlineLevel="1" x14ac:dyDescent="0.25">
      <c r="B278" s="324"/>
      <c r="C278" s="484" t="s">
        <v>89</v>
      </c>
      <c r="D278" s="326"/>
      <c r="E278" s="327"/>
      <c r="F278" s="327" t="s">
        <v>203</v>
      </c>
      <c r="G278" s="767" t="s">
        <v>84</v>
      </c>
      <c r="H278" s="331">
        <f>+VLOOKUP(F278,matriz01,3,FALSE)</f>
        <v>15463357</v>
      </c>
      <c r="I278" s="109">
        <f>+'Prog 01'!J183</f>
        <v>15463357</v>
      </c>
      <c r="J278" s="109">
        <f ca="1">+VLOOKUP(F278,matriz01,5,FALSE)</f>
        <v>14165285.787</v>
      </c>
      <c r="K278" s="256">
        <f t="shared" ca="1" si="61"/>
        <v>0.9160550187776173</v>
      </c>
      <c r="L278" s="109">
        <f>+'Prog 01'!M183</f>
        <v>14165285.787</v>
      </c>
      <c r="M278" s="256">
        <f t="shared" si="63"/>
        <v>0.9160550187776173</v>
      </c>
      <c r="N278" s="109">
        <f>+I278-L278</f>
        <v>1298071.2129999995</v>
      </c>
      <c r="O278" s="162">
        <f t="shared" si="64"/>
        <v>8.394498122238267E-2</v>
      </c>
      <c r="P278" s="331">
        <f>+'Prog 01'!Q183</f>
        <v>14023529.704</v>
      </c>
      <c r="Q278" s="323">
        <f ca="1">+'Prog 01'!R183</f>
        <v>8016883.6622299999</v>
      </c>
      <c r="R278" s="162">
        <f t="shared" ca="1" si="62"/>
        <v>0.5716737391687704</v>
      </c>
      <c r="T278" s="537"/>
      <c r="U278" s="537"/>
      <c r="AA278" s="632"/>
    </row>
    <row r="279" spans="2:27" ht="15" hidden="1" customHeight="1" outlineLevel="1" x14ac:dyDescent="0.25">
      <c r="B279" s="324"/>
      <c r="C279" s="484" t="s">
        <v>90</v>
      </c>
      <c r="D279" s="326"/>
      <c r="E279" s="327"/>
      <c r="F279" s="327" t="s">
        <v>204</v>
      </c>
      <c r="G279" s="767" t="s">
        <v>85</v>
      </c>
      <c r="H279" s="331">
        <f>+VLOOKUP(F279,matriz01,3,FALSE)</f>
        <v>2499111</v>
      </c>
      <c r="I279" s="109">
        <f>+'Prog 01'!J184</f>
        <v>2499111</v>
      </c>
      <c r="J279" s="109">
        <f ca="1">+VLOOKUP(F279,matriz01,5,FALSE)</f>
        <v>2499111</v>
      </c>
      <c r="K279" s="256">
        <f t="shared" ca="1" si="61"/>
        <v>1</v>
      </c>
      <c r="L279" s="109">
        <f>+'Prog 01'!M184</f>
        <v>2499111</v>
      </c>
      <c r="M279" s="256">
        <f t="shared" si="63"/>
        <v>1</v>
      </c>
      <c r="N279" s="109">
        <f>+I279-L279</f>
        <v>0</v>
      </c>
      <c r="O279" s="162">
        <f t="shared" si="64"/>
        <v>0</v>
      </c>
      <c r="P279" s="331">
        <f>+'Prog 01'!Q184</f>
        <v>2406447.0379999997</v>
      </c>
      <c r="Q279" s="323">
        <f ca="1">+'Prog 01'!R184</f>
        <v>1805616.7865329995</v>
      </c>
      <c r="R279" s="162">
        <f t="shared" ca="1" si="62"/>
        <v>0.75032475596622694</v>
      </c>
      <c r="T279" s="537"/>
      <c r="U279" s="537"/>
      <c r="AA279" s="632"/>
    </row>
    <row r="280" spans="2:27" ht="15" hidden="1" customHeight="1" outlineLevel="1" x14ac:dyDescent="0.25">
      <c r="B280" s="324"/>
      <c r="C280" s="484">
        <v>6</v>
      </c>
      <c r="D280" s="326"/>
      <c r="E280" s="327"/>
      <c r="F280" s="485">
        <v>34.06</v>
      </c>
      <c r="G280" s="767" t="s">
        <v>295</v>
      </c>
      <c r="H280" s="331">
        <f>+'Prog 01'!I185</f>
        <v>0</v>
      </c>
      <c r="I280" s="109">
        <f>+'Prog 01'!J185</f>
        <v>0</v>
      </c>
      <c r="J280" s="109">
        <f ca="1">+'Prog 01'!K185</f>
        <v>0</v>
      </c>
      <c r="K280" s="256" t="str">
        <f t="shared" ca="1" si="61"/>
        <v>0.00%</v>
      </c>
      <c r="L280" s="109">
        <f>+'Prog 01'!M185</f>
        <v>0</v>
      </c>
      <c r="M280" s="256">
        <f t="shared" si="63"/>
        <v>0</v>
      </c>
      <c r="N280" s="109">
        <f>+I280-L280</f>
        <v>0</v>
      </c>
      <c r="O280" s="162">
        <f t="shared" si="64"/>
        <v>0</v>
      </c>
      <c r="P280" s="331">
        <f>+'Prog 01'!Q185</f>
        <v>231102.57799999998</v>
      </c>
      <c r="Q280" s="323">
        <f ca="1">+'Prog 01'!R185</f>
        <v>101467.177863</v>
      </c>
      <c r="R280" s="162">
        <f t="shared" ca="1" si="62"/>
        <v>0.4390568843546177</v>
      </c>
      <c r="T280" s="537"/>
      <c r="U280" s="537"/>
      <c r="AA280" s="632"/>
    </row>
    <row r="281" spans="2:27" ht="15" hidden="1" customHeight="1" outlineLevel="1" x14ac:dyDescent="0.25">
      <c r="B281" s="324"/>
      <c r="C281" s="484">
        <v>7</v>
      </c>
      <c r="D281" s="326"/>
      <c r="E281" s="327"/>
      <c r="F281" s="327" t="s">
        <v>205</v>
      </c>
      <c r="G281" s="767" t="s">
        <v>128</v>
      </c>
      <c r="H281" s="331" t="e">
        <f>+VLOOKUP(F281,matriz03,3,FALSE)+VLOOKUP(F281,matriz01,3,FALSE)+VLOOKUP(F281,matriz02,3,FALSE)</f>
        <v>#N/A</v>
      </c>
      <c r="I281" s="109">
        <f>+'Prog 01'!J186+'Prog 02'!I49+'Prog 03'!I55</f>
        <v>1172301</v>
      </c>
      <c r="J281" s="109" t="e">
        <f ca="1">+VLOOKUP(F281,matriz03,5,FALSE)+VLOOKUP(F281,matriz01,5,FALSE)+VLOOKUP(F281,matriz02,5,FALSE)</f>
        <v>#N/A</v>
      </c>
      <c r="K281" s="256" t="str">
        <f t="shared" ca="1" si="61"/>
        <v>0.00%</v>
      </c>
      <c r="L281" s="109">
        <f>+'Prog 01'!M186+'Prog 02'!L48+'Prog 03'!L55</f>
        <v>1172298.5490000001</v>
      </c>
      <c r="M281" s="256">
        <f t="shared" si="63"/>
        <v>0.99999790924003318</v>
      </c>
      <c r="N281" s="109">
        <f>+I281-L281</f>
        <v>2.450999999884516</v>
      </c>
      <c r="O281" s="162">
        <f t="shared" si="64"/>
        <v>2.0907599668383087E-6</v>
      </c>
      <c r="P281" s="331">
        <f>+'Prog 03'!P55+'Prog 01'!Q186+'Prog 02'!P49</f>
        <v>1872855.054</v>
      </c>
      <c r="Q281" s="323">
        <f ca="1">+'Prog 01'!R186+'Prog 02'!Q49+'Prog 03'!Q55</f>
        <v>1872821.2537889997</v>
      </c>
      <c r="R281" s="162">
        <f t="shared" ca="1" si="62"/>
        <v>0.9999819525750655</v>
      </c>
      <c r="T281" s="537"/>
      <c r="U281" s="537"/>
      <c r="AA281" s="632"/>
    </row>
    <row r="282" spans="2:27" ht="15" hidden="1" customHeight="1" collapsed="1" thickBot="1" x14ac:dyDescent="0.3">
      <c r="B282" s="486">
        <v>35</v>
      </c>
      <c r="C282" s="487"/>
      <c r="D282" s="488"/>
      <c r="E282" s="489"/>
      <c r="F282" s="489"/>
      <c r="G282" s="1016" t="s">
        <v>125</v>
      </c>
      <c r="H282" s="1023">
        <f>+'Prog 01'!I187+'Prog 02'!H50+'Prog 03'!H56+'Prog 05'!H70</f>
        <v>0</v>
      </c>
      <c r="I282" s="490">
        <f>+'Prog 01'!J187+'Prog 02'!I50+'Prog 03'!I56+'Prog 05'!I70</f>
        <v>0</v>
      </c>
      <c r="J282" s="490">
        <v>0</v>
      </c>
      <c r="K282" s="1007" t="str">
        <f t="shared" si="61"/>
        <v>0.00%</v>
      </c>
      <c r="L282" s="254">
        <f>+'Prog 01'!M192+'Prog 02'!L50+'Prog 03'!L56+'Prog 05'!L70</f>
        <v>0</v>
      </c>
      <c r="M282" s="1007">
        <f t="shared" si="63"/>
        <v>0</v>
      </c>
      <c r="N282" s="254">
        <f>+'Prog 01'!O187</f>
        <v>0</v>
      </c>
      <c r="O282" s="1001">
        <f t="shared" si="64"/>
        <v>0</v>
      </c>
      <c r="P282" s="574">
        <f>+'Prog 01'!Q187+'Prog 02'!P50+'Prog 03'!P56+'Prog 05'!P70</f>
        <v>0</v>
      </c>
      <c r="Q282" s="491">
        <v>0</v>
      </c>
      <c r="R282" s="1001" t="str">
        <f t="shared" si="62"/>
        <v>0.00%</v>
      </c>
      <c r="T282" s="537"/>
      <c r="U282" s="537"/>
    </row>
    <row r="283" spans="2:27" s="82" customFormat="1" ht="13.5" thickBot="1" x14ac:dyDescent="0.25">
      <c r="B283" s="62"/>
      <c r="C283" s="58"/>
      <c r="D283" s="59"/>
      <c r="E283" s="60"/>
      <c r="F283" s="60"/>
      <c r="G283" s="738"/>
      <c r="H283" s="61"/>
      <c r="I283" s="57"/>
      <c r="J283" s="57"/>
      <c r="K283" s="57"/>
      <c r="L283" s="215"/>
      <c r="M283" s="213"/>
      <c r="N283" s="215"/>
      <c r="O283" s="57"/>
      <c r="P283" s="57"/>
      <c r="Q283" s="57"/>
      <c r="R283" s="202"/>
      <c r="S283" s="255"/>
      <c r="T283" s="211"/>
      <c r="U283" s="211"/>
      <c r="V283" s="211"/>
      <c r="W283" s="211"/>
    </row>
    <row r="284" spans="2:27" s="82" customFormat="1" ht="21" thickBot="1" x14ac:dyDescent="0.35">
      <c r="B284" s="1794" t="s">
        <v>151</v>
      </c>
      <c r="C284" s="1795"/>
      <c r="D284" s="1795"/>
      <c r="E284" s="1795"/>
      <c r="F284" s="1795"/>
      <c r="G284" s="1795"/>
      <c r="H284" s="1795"/>
      <c r="I284" s="1795"/>
      <c r="J284" s="1795"/>
      <c r="K284" s="1795"/>
      <c r="L284" s="1795"/>
      <c r="M284" s="1795"/>
      <c r="N284" s="1795"/>
      <c r="O284" s="1795"/>
      <c r="P284" s="1822"/>
      <c r="Q284" s="1822"/>
      <c r="R284" s="1823"/>
      <c r="S284" s="280"/>
      <c r="T284" s="211"/>
      <c r="U284" s="211"/>
      <c r="V284" s="211"/>
      <c r="W284" s="211"/>
    </row>
    <row r="285" spans="2:27" s="82" customFormat="1" ht="18.75" customHeight="1" thickBot="1" x14ac:dyDescent="0.25">
      <c r="B285" s="1810" t="s">
        <v>286</v>
      </c>
      <c r="C285" s="1811"/>
      <c r="D285" s="1811"/>
      <c r="E285" s="1811"/>
      <c r="F285" s="1811"/>
      <c r="G285" s="1812"/>
      <c r="H285" s="1824" t="s">
        <v>942</v>
      </c>
      <c r="I285" s="1825"/>
      <c r="J285" s="1825"/>
      <c r="K285" s="1825"/>
      <c r="L285" s="1825"/>
      <c r="M285" s="1825"/>
      <c r="N285" s="1825"/>
      <c r="O285" s="1826"/>
      <c r="P285" s="1797" t="s">
        <v>707</v>
      </c>
      <c r="Q285" s="1798"/>
      <c r="R285" s="1799"/>
      <c r="S285" s="277"/>
      <c r="T285" s="211"/>
      <c r="U285" s="211"/>
      <c r="V285" s="211"/>
      <c r="W285" s="211"/>
    </row>
    <row r="286" spans="2:27" s="82" customFormat="1" ht="15.75" customHeight="1" thickBot="1" x14ac:dyDescent="0.3">
      <c r="B286" s="1813"/>
      <c r="C286" s="1814"/>
      <c r="D286" s="1814"/>
      <c r="E286" s="1814"/>
      <c r="F286" s="1814"/>
      <c r="G286" s="1815"/>
      <c r="H286" s="520" t="s">
        <v>130</v>
      </c>
      <c r="I286" s="511" t="s">
        <v>131</v>
      </c>
      <c r="J286" s="1174" t="s">
        <v>132</v>
      </c>
      <c r="K286" s="511" t="s">
        <v>133</v>
      </c>
      <c r="L286" s="521" t="s">
        <v>789</v>
      </c>
      <c r="M286" s="522" t="s">
        <v>791</v>
      </c>
      <c r="N286" s="521" t="s">
        <v>790</v>
      </c>
      <c r="O286" s="523" t="s">
        <v>792</v>
      </c>
      <c r="P286" s="514" t="s">
        <v>130</v>
      </c>
      <c r="Q286" s="514" t="s">
        <v>131</v>
      </c>
      <c r="R286" s="514" t="s">
        <v>134</v>
      </c>
      <c r="S286" s="278" t="s">
        <v>810</v>
      </c>
      <c r="T286" s="211"/>
      <c r="U286" s="211"/>
      <c r="V286" s="211"/>
      <c r="W286" s="211"/>
    </row>
    <row r="287" spans="2:27" s="82" customFormat="1" ht="61.5" customHeight="1" thickBot="1" x14ac:dyDescent="0.25">
      <c r="B287" s="199">
        <v>1</v>
      </c>
      <c r="C287" s="200" t="s">
        <v>291</v>
      </c>
      <c r="D287" s="200" t="s">
        <v>291</v>
      </c>
      <c r="E287" s="200" t="s">
        <v>291</v>
      </c>
      <c r="F287" s="200" t="s">
        <v>291</v>
      </c>
      <c r="G287" s="766" t="s">
        <v>291</v>
      </c>
      <c r="H287" s="524" t="s">
        <v>944</v>
      </c>
      <c r="I287" s="515" t="s">
        <v>943</v>
      </c>
      <c r="J287" s="515" t="s">
        <v>1059</v>
      </c>
      <c r="K287" s="515" t="s">
        <v>1060</v>
      </c>
      <c r="L287" s="515" t="s">
        <v>814</v>
      </c>
      <c r="M287" s="515" t="s">
        <v>813</v>
      </c>
      <c r="N287" s="515" t="s">
        <v>811</v>
      </c>
      <c r="O287" s="953" t="s">
        <v>812</v>
      </c>
      <c r="P287" s="517" t="s">
        <v>1061</v>
      </c>
      <c r="Q287" s="518" t="s">
        <v>1062</v>
      </c>
      <c r="R287" s="519" t="s">
        <v>1063</v>
      </c>
      <c r="S287" s="492" t="s">
        <v>809</v>
      </c>
      <c r="T287" s="211"/>
      <c r="U287" s="211"/>
      <c r="V287" s="211"/>
      <c r="W287" s="211"/>
    </row>
    <row r="288" spans="2:27" s="82" customFormat="1" ht="15" hidden="1" customHeight="1" thickBot="1" x14ac:dyDescent="0.25">
      <c r="B288" s="703">
        <v>1</v>
      </c>
      <c r="C288" s="704" t="s">
        <v>291</v>
      </c>
      <c r="D288" s="704" t="s">
        <v>291</v>
      </c>
      <c r="E288" s="704" t="s">
        <v>291</v>
      </c>
      <c r="F288" s="704" t="s">
        <v>291</v>
      </c>
      <c r="G288" s="705" t="s">
        <v>291</v>
      </c>
      <c r="H288" s="524" t="s">
        <v>774</v>
      </c>
      <c r="I288" s="515" t="s">
        <v>775</v>
      </c>
      <c r="J288" s="515" t="s">
        <v>888</v>
      </c>
      <c r="K288" s="515" t="s">
        <v>893</v>
      </c>
      <c r="L288" s="1109" t="s">
        <v>814</v>
      </c>
      <c r="M288" s="515" t="s">
        <v>813</v>
      </c>
      <c r="N288" s="515" t="s">
        <v>811</v>
      </c>
      <c r="O288" s="516" t="s">
        <v>812</v>
      </c>
      <c r="P288" s="517" t="s">
        <v>890</v>
      </c>
      <c r="Q288" s="518" t="s">
        <v>886</v>
      </c>
      <c r="R288" s="519" t="s">
        <v>892</v>
      </c>
      <c r="S288" s="492" t="s">
        <v>809</v>
      </c>
      <c r="T288" s="211"/>
      <c r="U288" s="211"/>
      <c r="V288" s="211"/>
      <c r="W288" s="211"/>
    </row>
    <row r="289" spans="2:23" s="82" customFormat="1" ht="15" customHeight="1" x14ac:dyDescent="0.2">
      <c r="B289" s="203" t="s">
        <v>720</v>
      </c>
      <c r="C289" s="204"/>
      <c r="D289" s="204"/>
      <c r="E289" s="204"/>
      <c r="F289" s="205"/>
      <c r="G289" s="348"/>
      <c r="H289" s="261">
        <f>+'Prog 01'!I9</f>
        <v>38338247.997999996</v>
      </c>
      <c r="I289" s="262">
        <f>+'Prog 01'!J9</f>
        <v>41632947</v>
      </c>
      <c r="J289" s="262">
        <f ca="1">+'Prog 01'!K9</f>
        <v>34120172.134000003</v>
      </c>
      <c r="K289" s="264">
        <f t="shared" ref="K289:K292" ca="1" si="65">+J289/I289</f>
        <v>0.81954736795355865</v>
      </c>
      <c r="L289" s="1113">
        <f>+'Prog 01'!M9</f>
        <v>35450264.714000002</v>
      </c>
      <c r="M289" s="264">
        <f t="shared" ref="M289:M292" si="66">+L289/I289</f>
        <v>0.85149544455740789</v>
      </c>
      <c r="N289" s="263">
        <f>+'Prog 01'!O9</f>
        <v>6182682.2859999994</v>
      </c>
      <c r="O289" s="284">
        <f t="shared" ref="O289:O292" si="67">+N289/I289</f>
        <v>0.14850455544259211</v>
      </c>
      <c r="P289" s="261">
        <f>+'Prog 01'!Q9</f>
        <v>36432664.593999997</v>
      </c>
      <c r="Q289" s="262">
        <f ca="1">+'Prog 01'!R9</f>
        <v>25503627.748219997</v>
      </c>
      <c r="R289" s="284">
        <f t="shared" ref="R289:R292" ca="1" si="68">Q289/P289</f>
        <v>0.70002092991079556</v>
      </c>
      <c r="S289" s="279">
        <f t="shared" ref="S289:S292" ca="1" si="69">+L289-J289</f>
        <v>1330092.5799999982</v>
      </c>
      <c r="T289" s="211"/>
      <c r="U289" s="211"/>
      <c r="V289" s="211"/>
      <c r="W289" s="211"/>
    </row>
    <row r="290" spans="2:23" s="82" customFormat="1" ht="15" customHeight="1" x14ac:dyDescent="0.2">
      <c r="B290" s="206" t="s">
        <v>252</v>
      </c>
      <c r="C290" s="207"/>
      <c r="D290" s="207"/>
      <c r="E290" s="207"/>
      <c r="F290" s="208"/>
      <c r="G290" s="349"/>
      <c r="H290" s="259">
        <f>+'Prog 02'!H9</f>
        <v>7798353</v>
      </c>
      <c r="I290" s="84">
        <f>+'Prog 02'!I9</f>
        <v>8243810</v>
      </c>
      <c r="J290" s="84">
        <f ca="1">+'Prog 02'!J9</f>
        <v>3398639.63</v>
      </c>
      <c r="K290" s="100">
        <f t="shared" ca="1" si="65"/>
        <v>0.41226564294907331</v>
      </c>
      <c r="L290" s="1113">
        <f>+'Prog 02'!L9</f>
        <v>5342523.6840000004</v>
      </c>
      <c r="M290" s="264">
        <f t="shared" si="66"/>
        <v>0.64806487340198282</v>
      </c>
      <c r="N290" s="253">
        <f>+'Prog 02'!N9</f>
        <v>2901286.3159999996</v>
      </c>
      <c r="O290" s="284">
        <f t="shared" si="67"/>
        <v>0.35193512659801712</v>
      </c>
      <c r="P290" s="259">
        <f>+'Prog 02'!P9</f>
        <v>9893319.7399999984</v>
      </c>
      <c r="Q290" s="84">
        <f>+'Prog 02'!Q9</f>
        <v>3809358.3682840001</v>
      </c>
      <c r="R290" s="284">
        <f t="shared" si="68"/>
        <v>0.38504349079937861</v>
      </c>
      <c r="S290" s="279">
        <f t="shared" ca="1" si="69"/>
        <v>1943884.0540000005</v>
      </c>
      <c r="T290" s="211"/>
      <c r="U290" s="211"/>
      <c r="V290" s="211"/>
      <c r="W290" s="211"/>
    </row>
    <row r="291" spans="2:23" s="82" customFormat="1" ht="15" customHeight="1" x14ac:dyDescent="0.2">
      <c r="B291" s="748" t="s">
        <v>253</v>
      </c>
      <c r="C291" s="741"/>
      <c r="D291" s="741"/>
      <c r="E291" s="741"/>
      <c r="F291" s="742"/>
      <c r="G291" s="743"/>
      <c r="H291" s="164">
        <f>+'Prog 03'!H11</f>
        <v>271469048</v>
      </c>
      <c r="I291" s="111">
        <f>+'Prog 03'!I11</f>
        <v>371478226</v>
      </c>
      <c r="J291" s="111">
        <f ca="1">+'Prog 03'!J11</f>
        <v>225251512.493</v>
      </c>
      <c r="K291" s="100">
        <f t="shared" ca="1" si="65"/>
        <v>0.60636531760814427</v>
      </c>
      <c r="L291" s="1113">
        <f ca="1">+'Prog 03'!L11</f>
        <v>253919674.15099999</v>
      </c>
      <c r="M291" s="264">
        <f t="shared" ca="1" si="66"/>
        <v>0.68353851283601208</v>
      </c>
      <c r="N291" s="253">
        <f ca="1">+'Prog 03'!N11</f>
        <v>117558551.84900001</v>
      </c>
      <c r="O291" s="284">
        <f t="shared" ca="1" si="67"/>
        <v>0.31646148716398792</v>
      </c>
      <c r="P291" s="259">
        <f>+'Prog 03'!P11</f>
        <v>311956056.67399997</v>
      </c>
      <c r="Q291" s="84">
        <f ca="1">+'Prog 03'!Q11</f>
        <v>202008714.49826798</v>
      </c>
      <c r="R291" s="284">
        <f t="shared" ca="1" si="68"/>
        <v>0.64755503275697235</v>
      </c>
      <c r="S291" s="279">
        <f t="shared" ca="1" si="69"/>
        <v>28668161.657999992</v>
      </c>
      <c r="T291" s="211"/>
      <c r="U291" s="211"/>
      <c r="V291" s="211"/>
      <c r="W291" s="211"/>
    </row>
    <row r="292" spans="2:23" s="82" customFormat="1" ht="15" customHeight="1" x14ac:dyDescent="0.2">
      <c r="B292" s="748" t="s">
        <v>705</v>
      </c>
      <c r="C292" s="741"/>
      <c r="D292" s="741"/>
      <c r="E292" s="741"/>
      <c r="F292" s="742"/>
      <c r="G292" s="743"/>
      <c r="H292" s="164">
        <f>+'Prog 05'!H9</f>
        <v>113525861</v>
      </c>
      <c r="I292" s="111">
        <f>+'Prog 05'!I9</f>
        <v>34923399</v>
      </c>
      <c r="J292" s="111">
        <f ca="1">+'Prog 05'!J9</f>
        <v>11523725</v>
      </c>
      <c r="K292" s="744">
        <f t="shared" ca="1" si="65"/>
        <v>0.32997146125438709</v>
      </c>
      <c r="L292" s="114">
        <f>+'Prog 05'!L9</f>
        <v>11523725</v>
      </c>
      <c r="M292" s="745">
        <f t="shared" si="66"/>
        <v>0.32997146125438709</v>
      </c>
      <c r="N292" s="746">
        <f>+'Prog 05'!N9</f>
        <v>23399674</v>
      </c>
      <c r="O292" s="747">
        <f t="shared" si="67"/>
        <v>0.67002853874561297</v>
      </c>
      <c r="P292" s="164">
        <f>+'Prog 05'!P9</f>
        <v>72898247.119629994</v>
      </c>
      <c r="Q292" s="111">
        <f ca="1">+'Prog 05'!Q9</f>
        <v>1587151.4810000001</v>
      </c>
      <c r="R292" s="747">
        <f t="shared" ca="1" si="68"/>
        <v>2.1772148765050525E-2</v>
      </c>
      <c r="S292" s="279">
        <f t="shared" ca="1" si="69"/>
        <v>0</v>
      </c>
      <c r="T292" s="211"/>
      <c r="U292" s="211"/>
      <c r="V292" s="211"/>
      <c r="W292" s="211"/>
    </row>
    <row r="293" spans="2:23" s="82" customFormat="1" ht="12.75" customHeight="1" thickBot="1" x14ac:dyDescent="0.25">
      <c r="B293" s="1816"/>
      <c r="C293" s="1817"/>
      <c r="D293" s="1817"/>
      <c r="E293" s="1817"/>
      <c r="F293" s="1817"/>
      <c r="G293" s="1817"/>
      <c r="H293" s="1817"/>
      <c r="I293" s="1817"/>
      <c r="J293" s="1817"/>
      <c r="K293" s="1817"/>
      <c r="L293" s="1817"/>
      <c r="M293" s="1817"/>
      <c r="N293" s="1817"/>
      <c r="O293" s="1817"/>
      <c r="P293" s="1817"/>
      <c r="Q293" s="1817"/>
      <c r="R293" s="1818"/>
      <c r="S293" s="154"/>
      <c r="T293" s="211"/>
      <c r="U293" s="211"/>
      <c r="V293" s="211"/>
      <c r="W293" s="211"/>
    </row>
    <row r="294" spans="2:23" s="82" customFormat="1" ht="16.5" thickBot="1" x14ac:dyDescent="0.3">
      <c r="B294" s="1819" t="s">
        <v>141</v>
      </c>
      <c r="C294" s="1820"/>
      <c r="D294" s="1820"/>
      <c r="E294" s="1820"/>
      <c r="F294" s="1820"/>
      <c r="G294" s="1821"/>
      <c r="H294" s="503">
        <f>SUM(H289:H292)</f>
        <v>431131509.99800003</v>
      </c>
      <c r="I294" s="504">
        <f>SUM(I289:I292)</f>
        <v>456278382</v>
      </c>
      <c r="J294" s="504">
        <f ca="1">SUM(J289:J292)</f>
        <v>274294049.25699997</v>
      </c>
      <c r="K294" s="505">
        <f ca="1">+J294/I294</f>
        <v>0.60115504060194547</v>
      </c>
      <c r="L294" s="507">
        <f ca="1">SUM(L289:L292)</f>
        <v>306236187.54900002</v>
      </c>
      <c r="M294" s="506">
        <f ca="1">+L294/I294</f>
        <v>0.67116085186126573</v>
      </c>
      <c r="N294" s="507">
        <f ca="1">SUM(N289:N292)</f>
        <v>150042194.45100001</v>
      </c>
      <c r="O294" s="508">
        <f ca="1">+N294/I294</f>
        <v>0.32883914813873433</v>
      </c>
      <c r="P294" s="509">
        <f>SUM(P289:P293)</f>
        <v>431180288.12762994</v>
      </c>
      <c r="Q294" s="509">
        <f ca="1">SUM(Q289:Q293)</f>
        <v>232908852.09577197</v>
      </c>
      <c r="R294" s="510">
        <f ca="1">Q294/P294</f>
        <v>0.5401658158056396</v>
      </c>
      <c r="S294" s="281"/>
      <c r="T294" s="211"/>
      <c r="U294" s="211"/>
      <c r="V294" s="211"/>
      <c r="W294" s="211"/>
    </row>
    <row r="295" spans="2:23" s="82" customFormat="1" ht="15" hidden="1" customHeight="1" x14ac:dyDescent="0.2">
      <c r="B295" s="157"/>
      <c r="C295" s="158"/>
      <c r="D295" s="159"/>
      <c r="E295" s="160"/>
      <c r="F295" s="160"/>
      <c r="G295" s="739"/>
      <c r="H295" s="154">
        <f t="shared" ref="H295:R295" si="70">+H9-H294</f>
        <v>0</v>
      </c>
      <c r="I295" s="154">
        <f t="shared" si="70"/>
        <v>0</v>
      </c>
      <c r="J295" s="154">
        <f t="shared" ca="1" si="70"/>
        <v>0</v>
      </c>
      <c r="K295" s="154">
        <f t="shared" ca="1" si="70"/>
        <v>0</v>
      </c>
      <c r="L295" s="1114">
        <f t="shared" ca="1" si="70"/>
        <v>0</v>
      </c>
      <c r="M295" s="1002">
        <f t="shared" ca="1" si="70"/>
        <v>0</v>
      </c>
      <c r="N295" s="154">
        <f t="shared" ca="1" si="70"/>
        <v>0</v>
      </c>
      <c r="O295" s="154">
        <f t="shared" ca="1" si="70"/>
        <v>0</v>
      </c>
      <c r="P295" s="575">
        <f t="shared" si="70"/>
        <v>0</v>
      </c>
      <c r="Q295" s="154">
        <f t="shared" ca="1" si="70"/>
        <v>0</v>
      </c>
      <c r="R295" s="154">
        <f t="shared" ca="1" si="70"/>
        <v>0</v>
      </c>
      <c r="S295" s="154"/>
      <c r="T295" s="211"/>
      <c r="U295" s="211"/>
      <c r="V295" s="211"/>
      <c r="W295" s="211"/>
    </row>
    <row r="296" spans="2:23" ht="12.75" customHeight="1" x14ac:dyDescent="0.2">
      <c r="H296" s="1003">
        <f>+H9-H294</f>
        <v>0</v>
      </c>
      <c r="I296" s="1003">
        <f t="shared" ref="I296:R296" si="71">+I9-I294</f>
        <v>0</v>
      </c>
      <c r="J296" s="1003">
        <f ca="1">+J9-J294</f>
        <v>0</v>
      </c>
      <c r="K296" s="1003">
        <f t="shared" ca="1" si="71"/>
        <v>0</v>
      </c>
      <c r="L296" s="1003">
        <f t="shared" ca="1" si="71"/>
        <v>0</v>
      </c>
      <c r="M296" s="1003">
        <f t="shared" ca="1" si="71"/>
        <v>0</v>
      </c>
      <c r="N296" s="1003">
        <f ca="1">+N9-N294</f>
        <v>0</v>
      </c>
      <c r="O296" s="1003">
        <f t="shared" ca="1" si="71"/>
        <v>0</v>
      </c>
      <c r="P296" s="1003">
        <f t="shared" si="71"/>
        <v>0</v>
      </c>
      <c r="Q296" s="1003">
        <f t="shared" ca="1" si="71"/>
        <v>0</v>
      </c>
      <c r="R296" s="1003">
        <f t="shared" ca="1" si="71"/>
        <v>0</v>
      </c>
      <c r="S296" s="580">
        <f>+S294-S9</f>
        <v>0</v>
      </c>
    </row>
    <row r="297" spans="2:23" ht="12.75" customHeight="1" x14ac:dyDescent="0.2">
      <c r="G297" s="740"/>
      <c r="H297" s="82"/>
    </row>
    <row r="298" spans="2:23" ht="12.75" customHeight="1" x14ac:dyDescent="0.2">
      <c r="G298" s="740"/>
      <c r="H298" s="82"/>
    </row>
    <row r="299" spans="2:23" ht="12.75" customHeight="1" x14ac:dyDescent="0.2">
      <c r="G299" s="740"/>
      <c r="H299" s="82"/>
    </row>
    <row r="300" spans="2:23" ht="12.75" customHeight="1" x14ac:dyDescent="0.2">
      <c r="G300" s="740"/>
      <c r="H300" s="82"/>
      <c r="O300" s="499"/>
    </row>
    <row r="301" spans="2:23" ht="12.75" customHeight="1" x14ac:dyDescent="0.2">
      <c r="G301" s="740"/>
      <c r="H301" s="82"/>
      <c r="K301" s="499"/>
      <c r="O301" s="499"/>
    </row>
    <row r="302" spans="2:23" ht="12.75" customHeight="1" x14ac:dyDescent="0.2">
      <c r="G302" s="740"/>
      <c r="H302" s="82"/>
      <c r="K302" s="499"/>
      <c r="O302" s="499"/>
    </row>
    <row r="303" spans="2:23" ht="12.75" customHeight="1" x14ac:dyDescent="0.2">
      <c r="G303" s="740"/>
      <c r="H303" s="82"/>
      <c r="K303" s="499"/>
      <c r="O303" s="499"/>
    </row>
    <row r="304" spans="2:23" ht="12.75" customHeight="1" x14ac:dyDescent="0.2">
      <c r="G304" s="740"/>
      <c r="H304" s="82"/>
      <c r="K304" s="499"/>
      <c r="O304" s="499"/>
    </row>
    <row r="305" spans="7:15" ht="12.75" customHeight="1" x14ac:dyDescent="0.2">
      <c r="G305" s="740"/>
      <c r="H305" s="82"/>
      <c r="K305" s="499"/>
      <c r="O305" s="499"/>
    </row>
    <row r="306" spans="7:15" ht="12.75" customHeight="1" x14ac:dyDescent="0.2">
      <c r="G306" s="740"/>
      <c r="H306" s="82"/>
      <c r="K306" s="499"/>
      <c r="O306" s="499"/>
    </row>
    <row r="307" spans="7:15" ht="12.75" customHeight="1" x14ac:dyDescent="0.2">
      <c r="G307" s="740"/>
      <c r="H307" s="82"/>
      <c r="K307" s="499"/>
      <c r="O307" s="499"/>
    </row>
    <row r="308" spans="7:15" ht="12.75" customHeight="1" x14ac:dyDescent="0.2">
      <c r="G308" s="740"/>
      <c r="H308" s="82"/>
      <c r="K308" s="499"/>
      <c r="O308" s="499"/>
    </row>
    <row r="309" spans="7:15" ht="12.75" customHeight="1" x14ac:dyDescent="0.2">
      <c r="G309" s="740"/>
      <c r="H309" s="82"/>
    </row>
    <row r="310" spans="7:15" ht="12.75" customHeight="1" x14ac:dyDescent="0.2">
      <c r="G310" s="740"/>
      <c r="H310" s="82"/>
    </row>
  </sheetData>
  <mergeCells count="12">
    <mergeCell ref="B293:R293"/>
    <mergeCell ref="B294:G294"/>
    <mergeCell ref="B284:R284"/>
    <mergeCell ref="H5:O5"/>
    <mergeCell ref="H285:O285"/>
    <mergeCell ref="B2:R2"/>
    <mergeCell ref="B4:R4"/>
    <mergeCell ref="P285:R285"/>
    <mergeCell ref="P5:R5"/>
    <mergeCell ref="B3:R3"/>
    <mergeCell ref="B5:G6"/>
    <mergeCell ref="B285:G286"/>
  </mergeCells>
  <phoneticPr fontId="29" type="noConversion"/>
  <printOptions horizontalCentered="1"/>
  <pageMargins left="1" right="1" top="1" bottom="1" header="0.5" footer="0.5"/>
  <pageSetup paperSize="5" scale="80" orientation="landscape" r:id="rId1"/>
  <ignoredErrors>
    <ignoredError sqref="H98 H115:H117 H107 I84:J84 H108:J108 H122:H126 J122:J124 I111:I117 H127:J129 I121:I126 H133 J116:J117 H118:I120 H64:J66 P37 P41 H37:J37 I98:I107 I141 H76:I76 H69:J69 H68:I68 H83:I83 H85:I85 J119:J120 J126 H130:H131 Q38:Q40 P47:Q47 Q48:Q50 Q57:Q58 Q60 P69:Q71 Q64:Q66 Q74 H142:J142 M283 P56 I134:I139 H33:J35 N9 L68:L71 M294 L73:L76 O10 I109 K9:M10 N11 L13:L22 H26:J27 H28 P28 L32:L41 P51:Q53 L43:L53 P61:Q61 H56:J56 H60:J61 H59 J131 N68:N71 N73:N76 L11 N13:N22 N25:N27 N29:N30 N32:N41 N43:N53 N56:N58 N60:N61 H29:J30 L25:L27 L29:L30 L56:L58 L60:L61 P43:P46 N64:N66 L63:L66 J63 H58:J58 H57 J57 H25:I25 P189:Q190 Q188 P149:R151 K152:R182 K111:M130 K145:R145 K186:R186 P184:R185 K190:O190 K191:Q191 K270:Q281 Q187:R187 K199:R200 R188:R191 K88:O88 M78 K78:L87 M85:R87 K187:N189 K150:O151 K148:N149 K183:L184 M184:O184 M183:R183 K282:R282 K131:L144 M131:M141 M142:R144 K261:N269 O260:R267 O268:Q269 M79:N84 O81:R84 O189 O187:P188 O149 O148:R148 K185:O185 N111:R117 R268:R281 P146:R146 O79:O80 Q79:R80 K260:L260 N260 K238:R244 O237 Q237:R237 K192:R197 K90:R110 K89:O89 Q89:R89 K294 O78:R78 K251:R258 K245:M245 O245:R245 K246:M246 O246:R246 K247:M247 O247:R247 K248:M248 O248:R248 K249:M249 O249:R249 K250:M250 O250:R250 K232:R236 K231:M231 O231:R231 K202:R203 K201:P201 R201 K205:R230 K204:P204 R204 N119:R141 N118:O118 Q118:R118 R88" formula="1"/>
    <ignoredError sqref="B10 C213 C183:D183 C237:D237 F281 F205 C154:D154 D214:D229 C189:D190 F278:F279 C146 D187 D180 C176:D178 D184 D185 D188" numberStoredAsText="1"/>
    <ignoredError sqref="I177:I178 Q294" emptyCellReferenc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9A46"/>
    <pageSetUpPr fitToPage="1"/>
  </sheetPr>
  <dimension ref="A1:BG211"/>
  <sheetViews>
    <sheetView zoomScale="80" zoomScaleNormal="80" workbookViewId="0">
      <pane xSplit="2" ySplit="9" topLeftCell="C10" activePane="bottomRight" state="frozen"/>
      <selection activeCell="H72" sqref="H72"/>
      <selection pane="topRight" activeCell="H72" sqref="H72"/>
      <selection pane="bottomLeft" activeCell="H72" sqref="H72"/>
      <selection pane="bottomRight" activeCell="L9" sqref="L9"/>
    </sheetView>
  </sheetViews>
  <sheetFormatPr baseColWidth="10" defaultColWidth="11.42578125" defaultRowHeight="12.75" x14ac:dyDescent="0.25"/>
  <cols>
    <col min="1" max="1" width="11.42578125" style="175"/>
    <col min="2" max="2" width="37.7109375" style="1413" hidden="1" customWidth="1"/>
    <col min="3" max="3" width="6.85546875" style="168" customWidth="1"/>
    <col min="4" max="4" width="5.7109375" style="169" customWidth="1"/>
    <col min="5" max="5" width="5.7109375" style="170" customWidth="1"/>
    <col min="6" max="6" width="5.7109375" style="170" hidden="1" customWidth="1"/>
    <col min="7" max="7" width="13.5703125" style="170" hidden="1" customWidth="1"/>
    <col min="8" max="8" width="56.7109375" style="171" customWidth="1"/>
    <col min="9" max="11" width="19.7109375" style="173" customWidth="1"/>
    <col min="12" max="12" width="19.7109375" style="786" customWidth="1"/>
    <col min="13" max="13" width="19.7109375" style="173" hidden="1" customWidth="1"/>
    <col min="14" max="14" width="19.7109375" style="786" hidden="1" customWidth="1"/>
    <col min="15" max="15" width="19.7109375" style="173" hidden="1" customWidth="1"/>
    <col min="16" max="16" width="19.7109375" style="786" hidden="1" customWidth="1"/>
    <col min="17" max="17" width="19.7109375" style="1000" customWidth="1"/>
    <col min="18" max="18" width="19.7109375" style="173" customWidth="1"/>
    <col min="19" max="19" width="19.7109375" style="786" customWidth="1"/>
    <col min="20" max="20" width="17" style="1000" hidden="1" customWidth="1"/>
    <col min="21" max="24" width="17" style="173" hidden="1" customWidth="1"/>
    <col min="25" max="25" width="17" style="172" hidden="1" customWidth="1"/>
    <col min="26" max="26" width="19" style="172" hidden="1" customWidth="1"/>
    <col min="27" max="28" width="19" style="174" hidden="1" customWidth="1"/>
    <col min="29" max="40" width="19.7109375" style="172" hidden="1" customWidth="1"/>
    <col min="41" max="41" width="17.28515625" style="1601" customWidth="1"/>
    <col min="42" max="50" width="17.28515625" style="1401" customWidth="1"/>
    <col min="51" max="51" width="17.28515625" style="176" customWidth="1"/>
    <col min="52" max="52" width="17.28515625" style="1601" customWidth="1"/>
    <col min="53" max="56" width="17.28515625" style="175" customWidth="1"/>
    <col min="57" max="16384" width="11.42578125" style="175"/>
  </cols>
  <sheetData>
    <row r="1" spans="1:59" s="74" customFormat="1" ht="15.75" thickBot="1" x14ac:dyDescent="0.3">
      <c r="AO1" s="70"/>
      <c r="AP1" s="70"/>
      <c r="AQ1" s="70"/>
      <c r="AR1" s="70"/>
      <c r="AS1" s="70"/>
      <c r="AT1" s="70"/>
      <c r="AU1" s="70"/>
      <c r="AV1" s="70"/>
      <c r="AW1" s="70"/>
      <c r="AX1" s="70"/>
      <c r="AY1" s="70"/>
      <c r="AZ1" s="70"/>
      <c r="BA1" s="70"/>
      <c r="BB1" s="70"/>
      <c r="BC1" s="70"/>
      <c r="BD1" s="70"/>
      <c r="BE1" s="70"/>
      <c r="BF1" s="70"/>
      <c r="BG1" s="70"/>
    </row>
    <row r="2" spans="1:59" s="294" customFormat="1" ht="26.25" customHeight="1" thickBot="1" x14ac:dyDescent="0.3">
      <c r="B2" s="1413"/>
      <c r="C2" s="1837" t="s">
        <v>807</v>
      </c>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1839"/>
      <c r="AO2" s="1599"/>
      <c r="AP2" s="1399"/>
      <c r="AQ2" s="1399"/>
      <c r="AR2" s="1399"/>
      <c r="AS2" s="1399"/>
      <c r="AT2" s="1399"/>
      <c r="AU2" s="1399"/>
      <c r="AV2" s="1399"/>
      <c r="AW2" s="1399"/>
      <c r="AX2" s="1399"/>
      <c r="AY2" s="1396"/>
      <c r="AZ2" s="1599"/>
    </row>
    <row r="3" spans="1:59" s="317" customFormat="1" ht="12.75" hidden="1" customHeight="1" x14ac:dyDescent="0.25">
      <c r="B3" s="1413"/>
      <c r="C3" s="789"/>
      <c r="D3" s="790"/>
      <c r="E3" s="791"/>
      <c r="F3" s="791"/>
      <c r="G3" s="791"/>
      <c r="H3" s="792"/>
      <c r="I3" s="794"/>
      <c r="J3" s="794"/>
      <c r="K3" s="794"/>
      <c r="L3" s="793"/>
      <c r="M3" s="794"/>
      <c r="N3" s="793"/>
      <c r="O3" s="794"/>
      <c r="P3" s="793"/>
      <c r="Q3" s="995"/>
      <c r="R3" s="794"/>
      <c r="S3" s="793"/>
      <c r="T3" s="1220" t="s">
        <v>273</v>
      </c>
      <c r="U3" s="1221" t="s">
        <v>127</v>
      </c>
      <c r="V3" s="1220" t="s">
        <v>273</v>
      </c>
      <c r="W3" s="1221" t="s">
        <v>127</v>
      </c>
      <c r="X3" s="1220" t="s">
        <v>273</v>
      </c>
      <c r="Y3" s="1221" t="s">
        <v>127</v>
      </c>
      <c r="Z3" s="1220" t="s">
        <v>273</v>
      </c>
      <c r="AA3" s="1221" t="s">
        <v>127</v>
      </c>
      <c r="AB3" s="1220" t="s">
        <v>273</v>
      </c>
      <c r="AC3" s="1221" t="s">
        <v>127</v>
      </c>
      <c r="AD3" s="1220" t="s">
        <v>273</v>
      </c>
      <c r="AE3" s="1221" t="s">
        <v>127</v>
      </c>
      <c r="AF3" s="1220" t="s">
        <v>273</v>
      </c>
      <c r="AG3" s="1221" t="s">
        <v>127</v>
      </c>
      <c r="AH3" s="1220" t="s">
        <v>273</v>
      </c>
      <c r="AI3" s="1221" t="s">
        <v>127</v>
      </c>
      <c r="AJ3" s="1220" t="s">
        <v>273</v>
      </c>
      <c r="AK3" s="1221" t="s">
        <v>127</v>
      </c>
      <c r="AL3" s="795"/>
      <c r="AM3" s="795"/>
      <c r="AN3" s="992"/>
      <c r="AO3" s="1600"/>
      <c r="AP3" s="1400"/>
      <c r="AQ3" s="1400"/>
      <c r="AR3" s="1400"/>
      <c r="AS3" s="1400"/>
      <c r="AT3" s="1400"/>
      <c r="AU3" s="1400"/>
      <c r="AV3" s="1400"/>
      <c r="AW3" s="1400"/>
      <c r="AX3" s="1400"/>
      <c r="AY3" s="1397"/>
      <c r="AZ3" s="1600"/>
    </row>
    <row r="4" spans="1:59" s="317" customFormat="1" hidden="1" x14ac:dyDescent="0.25">
      <c r="B4" s="1413"/>
      <c r="C4" s="789"/>
      <c r="D4" s="790"/>
      <c r="E4" s="791"/>
      <c r="F4" s="791"/>
      <c r="G4" s="791"/>
      <c r="H4" s="792"/>
      <c r="I4" s="794"/>
      <c r="J4" s="794"/>
      <c r="K4" s="794"/>
      <c r="L4" s="793"/>
      <c r="M4" s="794"/>
      <c r="N4" s="793"/>
      <c r="O4" s="794"/>
      <c r="P4" s="793"/>
      <c r="Q4" s="995"/>
      <c r="R4" s="794"/>
      <c r="S4" s="793"/>
      <c r="T4" s="995"/>
      <c r="U4" s="796"/>
      <c r="V4" s="796"/>
      <c r="W4" s="796"/>
      <c r="X4" s="796"/>
      <c r="Y4" s="795"/>
      <c r="Z4" s="795"/>
      <c r="AA4" s="795"/>
      <c r="AB4" s="795"/>
      <c r="AC4" s="795"/>
      <c r="AD4" s="795"/>
      <c r="AE4" s="795"/>
      <c r="AF4" s="795"/>
      <c r="AG4" s="795"/>
      <c r="AH4" s="795"/>
      <c r="AI4" s="795"/>
      <c r="AJ4" s="795"/>
      <c r="AK4" s="795"/>
      <c r="AL4" s="795"/>
      <c r="AM4" s="797"/>
      <c r="AN4" s="1053"/>
      <c r="AO4" s="1600"/>
      <c r="AP4" s="1400"/>
      <c r="AQ4" s="1400"/>
      <c r="AR4" s="1400"/>
      <c r="AS4" s="1400"/>
      <c r="AT4" s="1400"/>
      <c r="AU4" s="1400"/>
      <c r="AV4" s="1400"/>
      <c r="AW4" s="1400"/>
      <c r="AX4" s="1400"/>
      <c r="AY4" s="1397"/>
      <c r="AZ4" s="1600"/>
    </row>
    <row r="5" spans="1:59" s="294" customFormat="1" ht="21" thickBot="1" x14ac:dyDescent="0.3">
      <c r="B5" s="1413"/>
      <c r="C5" s="1834" t="s">
        <v>652</v>
      </c>
      <c r="D5" s="1835"/>
      <c r="E5" s="1835"/>
      <c r="F5" s="1835"/>
      <c r="G5" s="1835"/>
      <c r="H5" s="1835"/>
      <c r="I5" s="1835"/>
      <c r="J5" s="1835"/>
      <c r="K5" s="1835"/>
      <c r="L5" s="1835"/>
      <c r="M5" s="1835"/>
      <c r="N5" s="1835"/>
      <c r="O5" s="1835"/>
      <c r="P5" s="1835"/>
      <c r="Q5" s="1835"/>
      <c r="R5" s="1835"/>
      <c r="S5" s="1835"/>
      <c r="T5" s="1835"/>
      <c r="U5" s="1835"/>
      <c r="V5" s="1835"/>
      <c r="W5" s="1835"/>
      <c r="X5" s="1835"/>
      <c r="Y5" s="1835"/>
      <c r="Z5" s="1835"/>
      <c r="AA5" s="1835"/>
      <c r="AB5" s="1835"/>
      <c r="AC5" s="1835"/>
      <c r="AD5" s="1835"/>
      <c r="AE5" s="1835"/>
      <c r="AF5" s="1835"/>
      <c r="AG5" s="1835"/>
      <c r="AH5" s="1835"/>
      <c r="AI5" s="1835"/>
      <c r="AJ5" s="1835"/>
      <c r="AK5" s="1835"/>
      <c r="AL5" s="1835"/>
      <c r="AM5" s="1835"/>
      <c r="AN5" s="1836"/>
      <c r="AO5" s="1599"/>
      <c r="AP5" s="1399"/>
      <c r="AQ5" s="1399"/>
      <c r="AR5" s="1399"/>
      <c r="AS5" s="1399"/>
      <c r="AT5" s="1399"/>
      <c r="AU5" s="1399"/>
      <c r="AV5" s="1399"/>
      <c r="AW5" s="1399"/>
      <c r="AX5" s="1399"/>
      <c r="AY5" s="1396"/>
      <c r="AZ5" s="1599"/>
    </row>
    <row r="6" spans="1:59" ht="18.75" thickBot="1" x14ac:dyDescent="0.3">
      <c r="C6" s="1842" t="s">
        <v>283</v>
      </c>
      <c r="D6" s="1843"/>
      <c r="E6" s="1843"/>
      <c r="F6" s="1843"/>
      <c r="G6" s="1843"/>
      <c r="H6" s="1844"/>
      <c r="I6" s="1851" t="s">
        <v>942</v>
      </c>
      <c r="J6" s="1852"/>
      <c r="K6" s="1852"/>
      <c r="L6" s="1852"/>
      <c r="M6" s="1852"/>
      <c r="N6" s="1852"/>
      <c r="O6" s="1852"/>
      <c r="P6" s="1852"/>
      <c r="Q6" s="1853" t="s">
        <v>707</v>
      </c>
      <c r="R6" s="1854"/>
      <c r="S6" s="1855"/>
      <c r="T6" s="1858"/>
      <c r="U6" s="1859"/>
      <c r="V6" s="1864"/>
      <c r="W6" s="1865"/>
      <c r="X6" s="1832"/>
      <c r="Y6" s="1841"/>
      <c r="Z6" s="1829"/>
      <c r="AA6" s="1831"/>
      <c r="AB6" s="1829"/>
      <c r="AC6" s="1830"/>
      <c r="AD6" s="1829"/>
      <c r="AE6" s="1831"/>
      <c r="AF6" s="1832"/>
      <c r="AG6" s="1833"/>
      <c r="AH6" s="1829"/>
      <c r="AI6" s="1830"/>
      <c r="AJ6" s="1829"/>
      <c r="AK6" s="1830"/>
      <c r="AL6" s="1764"/>
      <c r="AM6" s="990"/>
      <c r="AN6" s="1054"/>
    </row>
    <row r="7" spans="1:59" ht="16.5" thickBot="1" x14ac:dyDescent="0.3">
      <c r="C7" s="1845"/>
      <c r="D7" s="1846"/>
      <c r="E7" s="1846"/>
      <c r="F7" s="1846"/>
      <c r="G7" s="1846"/>
      <c r="H7" s="1847"/>
      <c r="I7" s="178" t="s">
        <v>130</v>
      </c>
      <c r="J7" s="179" t="s">
        <v>131</v>
      </c>
      <c r="K7" s="180" t="s">
        <v>132</v>
      </c>
      <c r="L7" s="784" t="s">
        <v>133</v>
      </c>
      <c r="M7" s="179" t="s">
        <v>789</v>
      </c>
      <c r="N7" s="784" t="s">
        <v>791</v>
      </c>
      <c r="O7" s="179" t="s">
        <v>790</v>
      </c>
      <c r="P7" s="1710" t="s">
        <v>792</v>
      </c>
      <c r="Q7" s="1348" t="s">
        <v>130</v>
      </c>
      <c r="R7" s="1349" t="s">
        <v>131</v>
      </c>
      <c r="S7" s="1350" t="s">
        <v>134</v>
      </c>
      <c r="T7" s="1856" t="s">
        <v>0</v>
      </c>
      <c r="U7" s="1857"/>
      <c r="V7" s="1862" t="s">
        <v>137</v>
      </c>
      <c r="W7" s="1863"/>
      <c r="X7" s="1827" t="s">
        <v>6</v>
      </c>
      <c r="Y7" s="1840"/>
      <c r="Z7" s="1860" t="s">
        <v>7</v>
      </c>
      <c r="AA7" s="1861"/>
      <c r="AB7" s="1860" t="s">
        <v>8</v>
      </c>
      <c r="AC7" s="1857" t="s">
        <v>8</v>
      </c>
      <c r="AD7" s="1866" t="s">
        <v>9</v>
      </c>
      <c r="AE7" s="1867"/>
      <c r="AF7" s="1827" t="s">
        <v>79</v>
      </c>
      <c r="AG7" s="1828"/>
      <c r="AH7" s="1827" t="s">
        <v>10</v>
      </c>
      <c r="AI7" s="1828"/>
      <c r="AJ7" s="1827" t="s">
        <v>11</v>
      </c>
      <c r="AK7" s="1828"/>
      <c r="AL7" s="1765" t="s">
        <v>12</v>
      </c>
      <c r="AM7" s="991" t="s">
        <v>13</v>
      </c>
      <c r="AN7" s="993" t="s">
        <v>14</v>
      </c>
    </row>
    <row r="8" spans="1:59" s="53" customFormat="1" ht="57" customHeight="1" thickBot="1" x14ac:dyDescent="0.3">
      <c r="A8" s="1278"/>
      <c r="B8" s="1414"/>
      <c r="C8" s="1848"/>
      <c r="D8" s="1849"/>
      <c r="E8" s="1849"/>
      <c r="F8" s="1849"/>
      <c r="G8" s="1849"/>
      <c r="H8" s="1850"/>
      <c r="I8" s="1087" t="s">
        <v>944</v>
      </c>
      <c r="J8" s="265" t="s">
        <v>990</v>
      </c>
      <c r="K8" s="346" t="s">
        <v>1059</v>
      </c>
      <c r="L8" s="689" t="s">
        <v>1060</v>
      </c>
      <c r="M8" s="265" t="s">
        <v>897</v>
      </c>
      <c r="N8" s="1088" t="s">
        <v>813</v>
      </c>
      <c r="O8" s="265" t="s">
        <v>875</v>
      </c>
      <c r="P8" s="1711" t="s">
        <v>812</v>
      </c>
      <c r="Q8" s="1731" t="s">
        <v>1064</v>
      </c>
      <c r="R8" s="577" t="s">
        <v>1065</v>
      </c>
      <c r="S8" s="674" t="s">
        <v>1063</v>
      </c>
      <c r="T8" s="1714" t="s">
        <v>989</v>
      </c>
      <c r="U8" s="1131" t="s">
        <v>718</v>
      </c>
      <c r="V8" s="1198" t="s">
        <v>989</v>
      </c>
      <c r="W8" s="1207" t="s">
        <v>718</v>
      </c>
      <c r="X8" s="1192" t="s">
        <v>989</v>
      </c>
      <c r="Y8" s="366" t="s">
        <v>718</v>
      </c>
      <c r="Z8" s="978" t="s">
        <v>989</v>
      </c>
      <c r="AA8" s="1343" t="s">
        <v>718</v>
      </c>
      <c r="AB8" s="978" t="s">
        <v>989</v>
      </c>
      <c r="AC8" s="1343" t="s">
        <v>718</v>
      </c>
      <c r="AD8" s="978" t="s">
        <v>989</v>
      </c>
      <c r="AE8" s="1343" t="s">
        <v>718</v>
      </c>
      <c r="AF8" s="978" t="s">
        <v>989</v>
      </c>
      <c r="AG8" s="126" t="s">
        <v>718</v>
      </c>
      <c r="AH8" s="1192" t="s">
        <v>989</v>
      </c>
      <c r="AI8" s="1597" t="s">
        <v>718</v>
      </c>
      <c r="AJ8" s="1192" t="s">
        <v>989</v>
      </c>
      <c r="AK8" s="1763" t="s">
        <v>718</v>
      </c>
      <c r="AL8" s="1199" t="s">
        <v>718</v>
      </c>
      <c r="AM8" s="1199" t="s">
        <v>718</v>
      </c>
      <c r="AN8" s="1200" t="s">
        <v>718</v>
      </c>
      <c r="AO8" s="1602"/>
      <c r="AP8" s="1398"/>
      <c r="AQ8" s="1398"/>
      <c r="AR8" s="1398"/>
      <c r="AS8" s="1398"/>
      <c r="AT8" s="1398"/>
      <c r="AU8" s="753"/>
      <c r="AV8" s="753"/>
      <c r="AW8" s="753"/>
      <c r="AX8" s="753"/>
      <c r="AY8" s="1398"/>
      <c r="AZ8" s="1602"/>
      <c r="BA8" s="1278"/>
      <c r="BB8" s="1278"/>
      <c r="BC8" s="1278"/>
      <c r="BD8" s="1278"/>
      <c r="BE8" s="1278"/>
      <c r="BF8" s="1278"/>
      <c r="BG8" s="1278"/>
    </row>
    <row r="9" spans="1:59" s="398" customFormat="1" ht="21" customHeight="1" x14ac:dyDescent="0.25">
      <c r="B9" s="1414" t="s">
        <v>806</v>
      </c>
      <c r="C9" s="1081" t="s">
        <v>91</v>
      </c>
      <c r="D9" s="1082" t="s">
        <v>92</v>
      </c>
      <c r="E9" s="1083" t="s">
        <v>93</v>
      </c>
      <c r="F9" s="1083" t="s">
        <v>94</v>
      </c>
      <c r="G9" s="1083"/>
      <c r="H9" s="1292" t="s">
        <v>82</v>
      </c>
      <c r="I9" s="1144">
        <f>+I10+I78+I146+I168+I174+I182+I142</f>
        <v>38338247.997999996</v>
      </c>
      <c r="J9" s="1084">
        <f>+J10+J78+J142+J146+J168+J174+J182+J187</f>
        <v>41632947</v>
      </c>
      <c r="K9" s="1084">
        <f ca="1">+K10+K78+K142+K146+K168+K174+K182</f>
        <v>34120172.134000003</v>
      </c>
      <c r="L9" s="1085">
        <f ca="1">IFERROR(K9/J9,"0.00"%)</f>
        <v>0.81954736795355865</v>
      </c>
      <c r="M9" s="1084">
        <f>+M10+M78+M142+M146+M168+M174+M182</f>
        <v>35450264.714000002</v>
      </c>
      <c r="N9" s="1085">
        <f>+IFERROR(M9/J9,0)</f>
        <v>0.85149544455740789</v>
      </c>
      <c r="O9" s="1084">
        <f>+O10+O78+O142+O146+O168+O174+O182+O187</f>
        <v>6182682.2859999994</v>
      </c>
      <c r="P9" s="1153">
        <f t="shared" ref="P9:P43" si="0">+IFERROR(O9/J9,0)</f>
        <v>0.14850455544259211</v>
      </c>
      <c r="Q9" s="1158">
        <f>+Q10+Q78+Q142+Q146+Q168+Q174+Q182</f>
        <v>36432664.593999997</v>
      </c>
      <c r="R9" s="1086">
        <f ca="1">+R10+R78+R142+R146+R168+R174+R182</f>
        <v>25503627.748219997</v>
      </c>
      <c r="S9" s="1289">
        <f ca="1">IFERROR(R9/Q9,"0.00"%)</f>
        <v>0.70002092991079556</v>
      </c>
      <c r="T9" s="1715">
        <f>+T10+T78+T146+T182</f>
        <v>2361399.1349999998</v>
      </c>
      <c r="U9" s="1205">
        <f>+U10+U78+U146+U182</f>
        <v>1530978.9701859998</v>
      </c>
      <c r="V9" s="1205">
        <f>+V10+V78+V142+V146+V168+V174+V182+V187</f>
        <v>1323902.3220000002</v>
      </c>
      <c r="W9" s="1208">
        <f>+W10+W78+W146+W174+W182+W187</f>
        <v>1453664.1823700001</v>
      </c>
      <c r="X9" s="1158">
        <f t="shared" ref="X9:AM9" si="1">+X10+X78+X146+X168+X174+X182</f>
        <v>9413525.2860000003</v>
      </c>
      <c r="Y9" s="1279">
        <f t="shared" si="1"/>
        <v>9950833.4900010005</v>
      </c>
      <c r="Z9" s="1158">
        <f t="shared" si="1"/>
        <v>2743223.8539999998</v>
      </c>
      <c r="AA9" s="1279">
        <f t="shared" si="1"/>
        <v>2750775.7753359997</v>
      </c>
      <c r="AB9" s="1158">
        <f t="shared" si="1"/>
        <v>1511743.3109999998</v>
      </c>
      <c r="AC9" s="1395">
        <f t="shared" si="1"/>
        <v>1849993.0460310001</v>
      </c>
      <c r="AD9" s="1158">
        <f t="shared" si="1"/>
        <v>2613147.0860000001</v>
      </c>
      <c r="AE9" s="1279">
        <f t="shared" si="1"/>
        <v>2296400.8091480001</v>
      </c>
      <c r="AF9" s="1567">
        <f t="shared" si="1"/>
        <v>2498923.611</v>
      </c>
      <c r="AG9" s="1568">
        <f t="shared" si="1"/>
        <v>1874994.1905539995</v>
      </c>
      <c r="AH9" s="1567">
        <f t="shared" si="1"/>
        <v>1925872.6540000001</v>
      </c>
      <c r="AI9" s="1609">
        <f t="shared" si="1"/>
        <v>1374520.3850609998</v>
      </c>
      <c r="AJ9" s="1766">
        <f>+AJ10+AJ78+AJ146+AJ168+AJ174+AJ182</f>
        <v>9536302.2280000001</v>
      </c>
      <c r="AK9" s="1766">
        <f t="shared" si="1"/>
        <v>2416832.2195329997</v>
      </c>
      <c r="AL9" s="1080">
        <f t="shared" si="1"/>
        <v>2858258.3629999999</v>
      </c>
      <c r="AM9" s="1080">
        <f t="shared" si="1"/>
        <v>1417351.4970000002</v>
      </c>
      <c r="AN9" s="1222">
        <f>+AN10+AN78+AN146+AN168+AN174+AN182+AN142</f>
        <v>11635573.835999999</v>
      </c>
      <c r="AO9" s="1602"/>
      <c r="AP9" s="1398"/>
      <c r="AQ9" s="1398"/>
      <c r="AR9" s="1398"/>
      <c r="AS9" s="1398"/>
      <c r="AT9" s="1398"/>
      <c r="AU9" s="1398"/>
      <c r="AV9" s="1398"/>
      <c r="AW9" s="1398"/>
      <c r="AX9" s="1398"/>
      <c r="AY9" s="753"/>
      <c r="AZ9" s="1602"/>
      <c r="BA9" s="1398"/>
      <c r="BB9" s="753"/>
      <c r="BC9" s="753"/>
      <c r="BD9" s="753"/>
    </row>
    <row r="10" spans="1:59" ht="15" customHeight="1" x14ac:dyDescent="0.25">
      <c r="B10" s="1413" t="s">
        <v>480</v>
      </c>
      <c r="C10" s="798" t="s">
        <v>155</v>
      </c>
      <c r="D10" s="128"/>
      <c r="E10" s="133"/>
      <c r="F10" s="133"/>
      <c r="G10" s="133"/>
      <c r="H10" s="1293" t="s">
        <v>16</v>
      </c>
      <c r="I10" s="1145">
        <f>+I11+I41+I72</f>
        <v>17419021</v>
      </c>
      <c r="J10" s="127">
        <f>+'P01 2023'!EF3</f>
        <v>17374205</v>
      </c>
      <c r="K10" s="127">
        <f ca="1">+K11+K41+K72</f>
        <v>13594888.455</v>
      </c>
      <c r="L10" s="783">
        <f ca="1">IFERROR(K10/J10,"0.00"%)</f>
        <v>0.78247542578207174</v>
      </c>
      <c r="M10" s="127">
        <f>+'P01 2023'!EH3</f>
        <v>13594888.455</v>
      </c>
      <c r="N10" s="783">
        <f t="shared" ref="N10:N43" si="2">+IFERROR(M10/J10,0)</f>
        <v>0.78247542578207174</v>
      </c>
      <c r="O10" s="127">
        <f>+'P01 2023'!EI3</f>
        <v>3779316.5449999999</v>
      </c>
      <c r="P10" s="1155">
        <f t="shared" si="0"/>
        <v>0.21752457421792823</v>
      </c>
      <c r="Q10" s="1166">
        <f>+Q11+Q41+Q72</f>
        <v>16432199.475</v>
      </c>
      <c r="R10" s="996">
        <f ca="1">+R11+R41+R72</f>
        <v>12571039.013038998</v>
      </c>
      <c r="S10" s="1732">
        <f ca="1">IFERROR(R10/Q10,"0.00"%)</f>
        <v>0.76502473282195826</v>
      </c>
      <c r="T10" s="1716">
        <f t="shared" ref="T10:AL10" si="3">+T11+T41+T72</f>
        <v>1190968.8689999999</v>
      </c>
      <c r="U10" s="1202">
        <f t="shared" si="3"/>
        <v>1152362.637413</v>
      </c>
      <c r="V10" s="1201">
        <f>+'P01 2023'!N3</f>
        <v>1226273.58</v>
      </c>
      <c r="W10" s="1204">
        <f t="shared" si="3"/>
        <v>1127454.7658249999</v>
      </c>
      <c r="X10" s="1219">
        <f t="shared" si="3"/>
        <v>2069775.2720000001</v>
      </c>
      <c r="Y10" s="1175">
        <f t="shared" si="3"/>
        <v>1875054.014068</v>
      </c>
      <c r="Z10" s="1159">
        <f t="shared" si="3"/>
        <v>1232749.6719999998</v>
      </c>
      <c r="AA10" s="1175">
        <f t="shared" si="3"/>
        <v>1075207.8151519999</v>
      </c>
      <c r="AB10" s="1201">
        <f t="shared" si="3"/>
        <v>1224969.6959999998</v>
      </c>
      <c r="AC10" s="1204">
        <f t="shared" si="3"/>
        <v>1159040.5734930001</v>
      </c>
      <c r="AD10" s="1159">
        <f t="shared" si="3"/>
        <v>2075295.3299999998</v>
      </c>
      <c r="AE10" s="1175">
        <f t="shared" si="3"/>
        <v>1948446.8112969999</v>
      </c>
      <c r="AF10" s="1566">
        <f t="shared" si="3"/>
        <v>1234631.3029999998</v>
      </c>
      <c r="AG10" s="1202">
        <f t="shared" si="3"/>
        <v>1138519.8198349997</v>
      </c>
      <c r="AH10" s="1219">
        <f>+'P01 2023'!DF3</f>
        <v>1233265.0870000001</v>
      </c>
      <c r="AI10" s="1202">
        <f t="shared" si="3"/>
        <v>1138161.1721389999</v>
      </c>
      <c r="AJ10" s="1582">
        <f>+'P01 2023'!DX3</f>
        <v>2104847.6460000002</v>
      </c>
      <c r="AK10" s="1203">
        <f t="shared" si="3"/>
        <v>1956791.4038169994</v>
      </c>
      <c r="AL10" s="1203">
        <f t="shared" si="3"/>
        <v>1089827.7579999999</v>
      </c>
      <c r="AM10" s="1203">
        <f>+'P01 2022'!GA3</f>
        <v>1100465.7050000001</v>
      </c>
      <c r="AN10" s="1202">
        <f>+'P01 2022'!GX3</f>
        <v>2075018.9680000001</v>
      </c>
      <c r="AY10" s="753"/>
      <c r="AZ10" s="1602"/>
      <c r="BA10" s="1398"/>
      <c r="BB10" s="753"/>
      <c r="BC10" s="1610"/>
      <c r="BD10" s="1610"/>
    </row>
    <row r="11" spans="1:59" ht="15" hidden="1" customHeight="1" x14ac:dyDescent="0.25">
      <c r="B11" s="1413" t="s">
        <v>479</v>
      </c>
      <c r="C11" s="798"/>
      <c r="D11" s="128" t="s">
        <v>157</v>
      </c>
      <c r="E11" s="133"/>
      <c r="F11" s="133"/>
      <c r="G11" s="133"/>
      <c r="H11" s="1293" t="s">
        <v>17</v>
      </c>
      <c r="I11" s="1145">
        <f>+I12+I25+I28+I32+I37</f>
        <v>1085491.78</v>
      </c>
      <c r="J11" s="127">
        <f>+'P01 2023'!EF4</f>
        <v>1109233.8419999999</v>
      </c>
      <c r="K11" s="127">
        <f ca="1">+K12+K25+K28+K32+K37</f>
        <v>628913.06400000001</v>
      </c>
      <c r="L11" s="783">
        <f t="shared" ref="L11:L76" ca="1" si="4">IFERROR(K11/J11,"0.00"%)</f>
        <v>0.56697969371908152</v>
      </c>
      <c r="M11" s="127">
        <f>+'P01 2023'!EH4</f>
        <v>628913.06400000001</v>
      </c>
      <c r="N11" s="783">
        <f t="shared" si="2"/>
        <v>0.56697969371908152</v>
      </c>
      <c r="O11" s="127">
        <f>+'P01 2023'!EI4</f>
        <v>480320.77799999999</v>
      </c>
      <c r="P11" s="1155">
        <f t="shared" si="0"/>
        <v>0.43302030628091853</v>
      </c>
      <c r="Q11" s="1166">
        <f>+Q12+Q25+Q28+Q32+Q37</f>
        <v>973920.43417199992</v>
      </c>
      <c r="R11" s="996">
        <f ca="1">+R12+R25+R28+R32+R37</f>
        <v>654756.49871299998</v>
      </c>
      <c r="S11" s="1732">
        <f ca="1">IFERROR(R11/Q11,"0.00"%)</f>
        <v>0.67228951743851206</v>
      </c>
      <c r="T11" s="1717">
        <f t="shared" ref="T11:AL11" si="5">+T12+T25+T28+T32+T37</f>
        <v>56303.805</v>
      </c>
      <c r="U11" s="1055">
        <f t="shared" si="5"/>
        <v>64889.541329</v>
      </c>
      <c r="V11" s="1159">
        <f>+'P01 2023'!N4</f>
        <v>60387.555999999997</v>
      </c>
      <c r="W11" s="1175">
        <f t="shared" si="5"/>
        <v>63839.29626599999</v>
      </c>
      <c r="X11" s="1209">
        <f t="shared" si="5"/>
        <v>90579.183000000005</v>
      </c>
      <c r="Y11" s="1175">
        <f t="shared" si="5"/>
        <v>89852.494388000006</v>
      </c>
      <c r="Z11" s="1159">
        <f t="shared" si="5"/>
        <v>58591.031999999992</v>
      </c>
      <c r="AA11" s="1175">
        <f t="shared" si="5"/>
        <v>60816.623875999998</v>
      </c>
      <c r="AB11" s="1159">
        <f t="shared" si="5"/>
        <v>58814.663</v>
      </c>
      <c r="AC11" s="1175">
        <f t="shared" si="5"/>
        <v>56997.970707999993</v>
      </c>
      <c r="AD11" s="1159">
        <f t="shared" si="5"/>
        <v>90578.236999999994</v>
      </c>
      <c r="AE11" s="1175">
        <f t="shared" si="5"/>
        <v>94200.144191000014</v>
      </c>
      <c r="AF11" s="1219">
        <f>+'P01 2023'!CP4</f>
        <v>58379.644999999997</v>
      </c>
      <c r="AG11" s="1055">
        <f t="shared" si="5"/>
        <v>65656.015352999995</v>
      </c>
      <c r="AH11" s="1219">
        <f>+'P01 2023'!DF4</f>
        <v>54925.338000000003</v>
      </c>
      <c r="AI11" s="1055">
        <f t="shared" si="5"/>
        <v>62632.085434000001</v>
      </c>
      <c r="AJ11" s="1582">
        <f>+'P01 2023'!DX4</f>
        <v>98241.604999999996</v>
      </c>
      <c r="AK11" s="132">
        <f t="shared" si="5"/>
        <v>95872.327168000003</v>
      </c>
      <c r="AL11" s="132">
        <f t="shared" si="5"/>
        <v>59321.395000000004</v>
      </c>
      <c r="AM11" s="132">
        <f>+'P01 2022'!GA4</f>
        <v>59811.974999999999</v>
      </c>
      <c r="AN11" s="1055">
        <f>+'P01 2022'!GX4</f>
        <v>97775.826000000001</v>
      </c>
      <c r="AY11" s="753"/>
      <c r="AZ11" s="1602"/>
      <c r="BA11" s="1398"/>
      <c r="BB11" s="753"/>
      <c r="BC11" s="1610"/>
      <c r="BD11" s="1610"/>
    </row>
    <row r="12" spans="1:59" s="181" customFormat="1" ht="15" hidden="1" customHeight="1" x14ac:dyDescent="0.25">
      <c r="A12" s="175"/>
      <c r="B12" s="1413" t="s">
        <v>478</v>
      </c>
      <c r="C12" s="798"/>
      <c r="D12" s="128"/>
      <c r="E12" s="133" t="s">
        <v>156</v>
      </c>
      <c r="F12" s="133"/>
      <c r="G12" s="133"/>
      <c r="H12" s="1293" t="s">
        <v>18</v>
      </c>
      <c r="I12" s="1145">
        <f>SUM(I13:I24)</f>
        <v>769096.17999999993</v>
      </c>
      <c r="J12" s="127">
        <f>SUM(J13:J24)</f>
        <v>792328.17999999993</v>
      </c>
      <c r="K12" s="127">
        <f ca="1">SUM(K13:K24)</f>
        <v>473757.12199999992</v>
      </c>
      <c r="L12" s="783">
        <f t="shared" ca="1" si="4"/>
        <v>0.59793042070016988</v>
      </c>
      <c r="M12" s="127">
        <f>+'P01 2023'!EH5</f>
        <v>473757.12199999997</v>
      </c>
      <c r="N12" s="783">
        <f t="shared" si="2"/>
        <v>0.59793042070017</v>
      </c>
      <c r="O12" s="127">
        <f>+'P01 2023'!EI5</f>
        <v>318571.05800000002</v>
      </c>
      <c r="P12" s="1155">
        <f t="shared" si="0"/>
        <v>0.40206957929983006</v>
      </c>
      <c r="Q12" s="1166">
        <f>SUM(Q13:Q24)</f>
        <v>707179.65226599993</v>
      </c>
      <c r="R12" s="996">
        <f>SUM(R13:R24)</f>
        <v>490971.65699699998</v>
      </c>
      <c r="S12" s="1732">
        <f>IFERROR(R12/Q12,"0.00"%)</f>
        <v>0.69426722817008446</v>
      </c>
      <c r="T12" s="1717">
        <f t="shared" ref="T12:AK12" si="6">SUM(T13:T22)</f>
        <v>44388.353999999999</v>
      </c>
      <c r="U12" s="1055">
        <f t="shared" si="6"/>
        <v>49550.916922999997</v>
      </c>
      <c r="V12" s="1159">
        <f>+'P01 2023'!N5</f>
        <v>46500.353999999999</v>
      </c>
      <c r="W12" s="1175">
        <f t="shared" si="6"/>
        <v>49550.916922999997</v>
      </c>
      <c r="X12" s="1209">
        <f>SUM(X13:X24)</f>
        <v>63652.01</v>
      </c>
      <c r="Y12" s="1175">
        <f t="shared" si="6"/>
        <v>65396.391422000001</v>
      </c>
      <c r="Z12" s="1159">
        <f t="shared" ref="Z12:AE12" si="7">SUM(Z13:Z24)</f>
        <v>46516.704999999994</v>
      </c>
      <c r="AA12" s="1175">
        <f t="shared" si="7"/>
        <v>46255.143887999999</v>
      </c>
      <c r="AB12" s="1159">
        <f t="shared" si="7"/>
        <v>46563.434000000001</v>
      </c>
      <c r="AC12" s="1175">
        <f t="shared" si="7"/>
        <v>46255.143887999999</v>
      </c>
      <c r="AD12" s="1159">
        <f t="shared" si="7"/>
        <v>63741.659</v>
      </c>
      <c r="AE12" s="1175">
        <f t="shared" si="7"/>
        <v>68760.457955000005</v>
      </c>
      <c r="AF12" s="1219">
        <f>+'P01 2023'!CP5</f>
        <v>46563.434000000001</v>
      </c>
      <c r="AG12" s="1055">
        <f t="shared" si="6"/>
        <v>48808.816425999998</v>
      </c>
      <c r="AH12" s="1219">
        <f>+'P01 2023'!DF5</f>
        <v>45836.364000000001</v>
      </c>
      <c r="AI12" s="1055">
        <f t="shared" si="6"/>
        <v>48862.243868999998</v>
      </c>
      <c r="AJ12" s="1582">
        <f>+'P01 2023'!DX5</f>
        <v>67882.808000000005</v>
      </c>
      <c r="AK12" s="132">
        <f t="shared" si="6"/>
        <v>67531.625703000012</v>
      </c>
      <c r="AL12" s="132">
        <f>SUM(AL13:AL22)</f>
        <v>46811.493999999999</v>
      </c>
      <c r="AM12" s="132">
        <f>+'P01 2022'!GA5</f>
        <v>46928.29</v>
      </c>
      <c r="AN12" s="1055">
        <f>+'P01 2022'!GX5</f>
        <v>68550.717000000004</v>
      </c>
      <c r="AO12" s="1601"/>
      <c r="AP12" s="1401"/>
      <c r="AQ12" s="1401"/>
      <c r="AR12" s="1401"/>
      <c r="AS12" s="1401"/>
      <c r="AT12" s="1401"/>
      <c r="AU12" s="1401"/>
      <c r="AV12" s="1401"/>
      <c r="AW12" s="1401"/>
      <c r="AX12" s="1401"/>
      <c r="AY12" s="753"/>
      <c r="AZ12" s="1602"/>
      <c r="BA12" s="1398"/>
      <c r="BB12" s="753"/>
      <c r="BC12" s="1610"/>
      <c r="BD12" s="1610"/>
    </row>
    <row r="13" spans="1:59" ht="15" hidden="1" customHeight="1" x14ac:dyDescent="0.25">
      <c r="B13" s="1413" t="s">
        <v>477</v>
      </c>
      <c r="C13" s="799"/>
      <c r="D13" s="183"/>
      <c r="E13" s="17"/>
      <c r="F13" s="17">
        <v>1</v>
      </c>
      <c r="G13" s="17" t="str">
        <f>+CONCATENATE($C$10,"",$D$11,"",$E$12,"00",F13)</f>
        <v>21.01.001.001</v>
      </c>
      <c r="H13" s="1294" t="s">
        <v>124</v>
      </c>
      <c r="I13" s="1147">
        <f>+'P01 2023'!F6</f>
        <v>144602.905</v>
      </c>
      <c r="J13" s="97">
        <f>+'P01 2023'!EF6</f>
        <v>144602.905</v>
      </c>
      <c r="K13" s="18">
        <f>SUMIF(T3:$AN$3,"ok",T13:AN13)</f>
        <v>83593.831999999995</v>
      </c>
      <c r="L13" s="694">
        <f t="shared" si="4"/>
        <v>0.57809234192079328</v>
      </c>
      <c r="M13" s="18">
        <f>+'P01 2023'!EH6</f>
        <v>83593.831999999995</v>
      </c>
      <c r="N13" s="692">
        <f>+IFERROR(#REF!/J13,0)</f>
        <v>0</v>
      </c>
      <c r="O13" s="18">
        <f>+'P01 2023'!EI6</f>
        <v>61009.072999999997</v>
      </c>
      <c r="P13" s="1154">
        <f>+IFERROR(#REF!/J13,0)</f>
        <v>0</v>
      </c>
      <c r="Q13" s="1147">
        <f>+'P01 2022'!ES6</f>
        <v>132840.44187000001</v>
      </c>
      <c r="R13" s="18">
        <f>SUMIF(T$3:$AN$3,"SI",T13:AN13)</f>
        <v>91472.658396999992</v>
      </c>
      <c r="S13" s="594" t="str">
        <f>IFERROR(R13/#REF!,"0,00%")</f>
        <v>0,00%</v>
      </c>
      <c r="T13" s="1718">
        <f>+'P01 2023'!I6</f>
        <v>9159.9879999999994</v>
      </c>
      <c r="U13" s="1056">
        <f>+'P01 2022'!F6</f>
        <v>10539.769371</v>
      </c>
      <c r="V13" s="1147">
        <f>+'P01 2023'!N6</f>
        <v>9159.9879999999994</v>
      </c>
      <c r="W13" s="1176">
        <f>+'P01 2022'!M6</f>
        <v>10539.769371</v>
      </c>
      <c r="X13" s="546">
        <f>+'P01 2023'!AD6</f>
        <v>9159.9879999999994</v>
      </c>
      <c r="Y13" s="1176">
        <f>+'P01 2022'!AB6</f>
        <v>10035.163270999999</v>
      </c>
      <c r="Z13" s="1147">
        <f>+'P01 2023'!AT6</f>
        <v>9159.9879999999994</v>
      </c>
      <c r="AA13" s="1176">
        <f>+'P01 2022'!AQ6</f>
        <v>9782.860220999999</v>
      </c>
      <c r="AB13" s="1147">
        <f>+'P01 2023'!BJ6</f>
        <v>9159.9879999999994</v>
      </c>
      <c r="AC13" s="1176">
        <f>+'P01 2022'!BI6</f>
        <v>9782.860220999999</v>
      </c>
      <c r="AD13" s="1147">
        <f>+'P01 2023'!BZ6</f>
        <v>9159.9879999999994</v>
      </c>
      <c r="AE13" s="1176">
        <f>+'P01 2022'!CC6</f>
        <v>10523.978505999999</v>
      </c>
      <c r="AF13" s="1468">
        <f>+'P01 2023'!CP6</f>
        <v>9159.9879999999994</v>
      </c>
      <c r="AG13" s="1056">
        <f>+'P01 2022'!CY6</f>
        <v>10066.044484</v>
      </c>
      <c r="AH13" s="546">
        <f>+'P01 2023'!DF6</f>
        <v>9441.1810000000005</v>
      </c>
      <c r="AI13" s="1056">
        <f>+'P01 2022'!DR6</f>
        <v>10101.106475999999</v>
      </c>
      <c r="AJ13" s="1584">
        <f>+'P01 2023'!DX6</f>
        <v>10032.735000000001</v>
      </c>
      <c r="AK13" s="18">
        <f>+'P01 2022'!EJ6</f>
        <v>10101.106475999999</v>
      </c>
      <c r="AL13" s="323">
        <f>+'P01 2022'!FC6</f>
        <v>9915.1170000000002</v>
      </c>
      <c r="AM13" s="18">
        <f>+'P01 2022'!GA6</f>
        <v>9915.1170000000002</v>
      </c>
      <c r="AN13" s="1056">
        <f>+'P01 2022'!GX6</f>
        <v>10256.138999999999</v>
      </c>
      <c r="AY13" s="753"/>
      <c r="AZ13" s="1602"/>
      <c r="BA13" s="1398"/>
      <c r="BB13" s="753"/>
      <c r="BC13" s="1610"/>
      <c r="BD13" s="1610"/>
    </row>
    <row r="14" spans="1:59" ht="15" hidden="1" customHeight="1" x14ac:dyDescent="0.25">
      <c r="B14" s="1413" t="s">
        <v>555</v>
      </c>
      <c r="C14" s="800"/>
      <c r="D14" s="182"/>
      <c r="E14" s="17"/>
      <c r="F14" s="17">
        <v>2</v>
      </c>
      <c r="G14" s="17" t="str">
        <f>+CONCATENATE($C$10,"",$D$11,"",$E$12,"00",F14)</f>
        <v>21.01.001.002</v>
      </c>
      <c r="H14" s="1294" t="s">
        <v>19</v>
      </c>
      <c r="I14" s="1147">
        <f>+'P01 2023'!F7</f>
        <v>18480.027999999998</v>
      </c>
      <c r="J14" s="97">
        <f>+'P01 2023'!EF7</f>
        <v>18480.027999999998</v>
      </c>
      <c r="K14" s="18">
        <f ca="1">SUMIF(T$3:$AN4,"ok",T14:AN14)</f>
        <v>11840.041000000001</v>
      </c>
      <c r="L14" s="694">
        <f t="shared" ca="1" si="4"/>
        <v>0.64069388855904341</v>
      </c>
      <c r="M14" s="18">
        <f>+'P01 2023'!EH7</f>
        <v>11840.040999999999</v>
      </c>
      <c r="N14" s="692">
        <f t="shared" si="2"/>
        <v>0.6406938885590433</v>
      </c>
      <c r="O14" s="18">
        <f>+'P01 2023'!EI7</f>
        <v>6639.9870000000001</v>
      </c>
      <c r="P14" s="1154">
        <f t="shared" si="0"/>
        <v>0.3593061114409567</v>
      </c>
      <c r="Q14" s="1147">
        <f>+'P01 2022'!ES7</f>
        <v>17054.645503</v>
      </c>
      <c r="R14" s="18">
        <f>SUMIF(T$3:$AN$3,"SI",T14:AN14)</f>
        <v>12176.857402999998</v>
      </c>
      <c r="S14" s="594">
        <f t="shared" ref="S14:S46" si="8">IFERROR(R14/Q14,"0%")</f>
        <v>0.71399064852201277</v>
      </c>
      <c r="T14" s="1718">
        <f>+'P01 2023'!I7</f>
        <v>1260.6780000000001</v>
      </c>
      <c r="U14" s="1056">
        <f>+'P01 2022'!F7</f>
        <v>1372.2139439999999</v>
      </c>
      <c r="V14" s="1147">
        <f>+'P01 2023'!N7</f>
        <v>1260.6780000000001</v>
      </c>
      <c r="W14" s="1176">
        <f>+'P01 2022'!M7</f>
        <v>1372.2139439999999</v>
      </c>
      <c r="X14" s="546">
        <f>+'P01 2023'!AD7</f>
        <v>1260.6780000000001</v>
      </c>
      <c r="Y14" s="1176">
        <f>+'P01 2022'!AB7</f>
        <v>1352.0297</v>
      </c>
      <c r="Z14" s="1147">
        <f>+'P01 2023'!AT7</f>
        <v>1275.1420000000001</v>
      </c>
      <c r="AA14" s="1176">
        <f>+'P01 2022'!AQ7</f>
        <v>1353.8740049999999</v>
      </c>
      <c r="AB14" s="1147">
        <f>+'P01 2023'!BJ7</f>
        <v>1316.4760000000001</v>
      </c>
      <c r="AC14" s="1176">
        <f>+'P01 2022'!BI7</f>
        <v>1353.8740049999999</v>
      </c>
      <c r="AD14" s="1147">
        <f>+'P01 2023'!BZ7</f>
        <v>1316.4760000000001</v>
      </c>
      <c r="AE14" s="1176">
        <f>+'P01 2022'!CC7</f>
        <v>1339.5925999999999</v>
      </c>
      <c r="AF14" s="1468">
        <f>+'P01 2023'!CP7</f>
        <v>1316.4760000000001</v>
      </c>
      <c r="AG14" s="1056">
        <f>+'P01 2022'!CY7</f>
        <v>1339.5925999999999</v>
      </c>
      <c r="AH14" s="546">
        <f>+'P01 2023'!DF7</f>
        <v>1396.7529999999999</v>
      </c>
      <c r="AI14" s="1056">
        <f>+'P01 2022'!DR7</f>
        <v>1339.5925999999999</v>
      </c>
      <c r="AJ14" s="1584">
        <f>+'P01 2023'!DX7</f>
        <v>1436.684</v>
      </c>
      <c r="AK14" s="18">
        <f>+'P01 2022'!EJ7</f>
        <v>1353.8740049999999</v>
      </c>
      <c r="AL14" s="323">
        <f>+'P01 2022'!FC7</f>
        <v>1235.413</v>
      </c>
      <c r="AM14" s="18">
        <f>+'P01 2022'!GA7</f>
        <v>1338.7270000000001</v>
      </c>
      <c r="AN14" s="1056">
        <f>+'P01 2022'!GX7</f>
        <v>1337.35</v>
      </c>
      <c r="AY14" s="753"/>
      <c r="AZ14" s="1602"/>
      <c r="BA14" s="1398"/>
      <c r="BB14" s="753"/>
      <c r="BC14" s="1610"/>
      <c r="BD14" s="1610"/>
    </row>
    <row r="15" spans="1:59" ht="15" hidden="1" customHeight="1" x14ac:dyDescent="0.25">
      <c r="B15" s="1413" t="s">
        <v>476</v>
      </c>
      <c r="C15" s="800"/>
      <c r="D15" s="182"/>
      <c r="E15" s="17"/>
      <c r="F15" s="17">
        <v>3</v>
      </c>
      <c r="G15" s="17" t="str">
        <f>+CONCATENATE($C$10,"",$D$11,"",$E$12,"00",F15)</f>
        <v>21.01.001.003</v>
      </c>
      <c r="H15" s="1294" t="s">
        <v>20</v>
      </c>
      <c r="I15" s="1147">
        <f>+'P01 2023'!F8</f>
        <v>100269.412</v>
      </c>
      <c r="J15" s="97">
        <f>+'P01 2023'!EF8</f>
        <v>100269.412</v>
      </c>
      <c r="K15" s="18">
        <f ca="1">SUMIF(T$3:$AN5,"ok",T15:AN15)</f>
        <v>63522.558000000005</v>
      </c>
      <c r="L15" s="694">
        <f t="shared" ca="1" si="4"/>
        <v>0.63351880431890839</v>
      </c>
      <c r="M15" s="18">
        <f>+'P01 2023'!EH8</f>
        <v>63522.557999999997</v>
      </c>
      <c r="N15" s="692">
        <f t="shared" si="2"/>
        <v>0.63351880431890839</v>
      </c>
      <c r="O15" s="18">
        <f>+'P01 2023'!EI8</f>
        <v>36746.853999999999</v>
      </c>
      <c r="P15" s="1154">
        <f t="shared" si="0"/>
        <v>0.36648119568109166</v>
      </c>
      <c r="Q15" s="1147">
        <f>+'P01 2022'!ES8</f>
        <v>92535.537214999989</v>
      </c>
      <c r="R15" s="18">
        <f>SUMIF(T$3:$AN$3,"SI",T15:AN15)</f>
        <v>66518.384732999984</v>
      </c>
      <c r="S15" s="594">
        <f t="shared" si="8"/>
        <v>0.71884150386947088</v>
      </c>
      <c r="T15" s="1718">
        <f>+'P01 2023'!I8</f>
        <v>6955.4889999999996</v>
      </c>
      <c r="U15" s="1056">
        <f>+'P01 2022'!F8</f>
        <v>7121.8055489999997</v>
      </c>
      <c r="V15" s="1147">
        <f>+'P01 2023'!N8</f>
        <v>6955.4889999999996</v>
      </c>
      <c r="W15" s="1176">
        <f>+'P01 2022'!M8</f>
        <v>7121.8055489999997</v>
      </c>
      <c r="X15" s="546">
        <f>+'P01 2023'!AD8</f>
        <v>6955.4889999999996</v>
      </c>
      <c r="Y15" s="1176">
        <f>+'P01 2022'!AB8</f>
        <v>7121.8055489999997</v>
      </c>
      <c r="Z15" s="1147">
        <f>+'P01 2023'!AT8</f>
        <v>6955.4889999999996</v>
      </c>
      <c r="AA15" s="1176">
        <f>+'P01 2022'!AQ8</f>
        <v>7121.8055489999997</v>
      </c>
      <c r="AB15" s="1147">
        <f>+'P01 2023'!BJ8</f>
        <v>6955.4889999999996</v>
      </c>
      <c r="AC15" s="1176">
        <f>+'P01 2022'!BI8</f>
        <v>7121.8055489999997</v>
      </c>
      <c r="AD15" s="1147">
        <f>+'P01 2023'!BZ8</f>
        <v>6955.4889999999996</v>
      </c>
      <c r="AE15" s="1176">
        <f>+'P01 2022'!CC8</f>
        <v>7727.339246999999</v>
      </c>
      <c r="AF15" s="1468">
        <f>+'P01 2023'!CP8</f>
        <v>6955.4889999999996</v>
      </c>
      <c r="AG15" s="1056">
        <f>+'P01 2022'!CY8</f>
        <v>7727.339246999999</v>
      </c>
      <c r="AH15" s="546">
        <f>+'P01 2023'!DF8</f>
        <v>7180.4449999999997</v>
      </c>
      <c r="AI15" s="1056">
        <f>+'P01 2022'!DR8</f>
        <v>7727.339246999999</v>
      </c>
      <c r="AJ15" s="1584">
        <f>+'P01 2023'!DX8</f>
        <v>7653.69</v>
      </c>
      <c r="AK15" s="18">
        <f>+'P01 2022'!EJ8</f>
        <v>7727.339246999999</v>
      </c>
      <c r="AL15" s="323">
        <f>+'P01 2022'!FC8</f>
        <v>7269.3689999999997</v>
      </c>
      <c r="AM15" s="18">
        <f>+'P01 2022'!GA8</f>
        <v>7269.3689999999997</v>
      </c>
      <c r="AN15" s="1056">
        <f>+'P01 2022'!GX8</f>
        <v>7474.9830000000002</v>
      </c>
      <c r="AY15" s="753"/>
      <c r="AZ15" s="1602"/>
      <c r="BA15" s="1398"/>
      <c r="BB15" s="753"/>
      <c r="BC15" s="1610"/>
      <c r="BD15" s="1610"/>
    </row>
    <row r="16" spans="1:59" ht="15" hidden="1" customHeight="1" x14ac:dyDescent="0.25">
      <c r="B16" s="1413" t="s">
        <v>556</v>
      </c>
      <c r="C16" s="800"/>
      <c r="D16" s="182"/>
      <c r="E16" s="17"/>
      <c r="F16" s="17">
        <v>7</v>
      </c>
      <c r="G16" s="17" t="str">
        <f>+CONCATENATE($C$10,"",$D$11,"",$E$12,"00",F16)</f>
        <v>21.01.001.007</v>
      </c>
      <c r="H16" s="1294" t="s">
        <v>129</v>
      </c>
      <c r="I16" s="1147">
        <f>+'P01 2023'!F9</f>
        <v>9704.8359999999993</v>
      </c>
      <c r="J16" s="97">
        <f>+'P01 2023'!EF9</f>
        <v>9704.8359999999993</v>
      </c>
      <c r="K16" s="18">
        <f ca="1">SUMIF(T$3:$AN7,"ok",T16:AN16)</f>
        <v>7005.6989999999996</v>
      </c>
      <c r="L16" s="694">
        <f t="shared" ca="1" si="4"/>
        <v>0.72187711363695384</v>
      </c>
      <c r="M16" s="18">
        <f>+'P01 2023'!EH9</f>
        <v>7005.6989999999996</v>
      </c>
      <c r="N16" s="692">
        <f t="shared" si="2"/>
        <v>0.72187711363695384</v>
      </c>
      <c r="O16" s="18">
        <f>+'P01 2023'!EI9</f>
        <v>2699.1370000000002</v>
      </c>
      <c r="P16" s="1154">
        <f t="shared" si="0"/>
        <v>0.27812288636304627</v>
      </c>
      <c r="Q16" s="1147">
        <f>+'P01 2022'!ES9</f>
        <v>8919.0876809999991</v>
      </c>
      <c r="R16" s="18">
        <f>SUMIF(T$3:$AN$3,"SI",T16:AN16)</f>
        <v>6649.1606699999984</v>
      </c>
      <c r="S16" s="594">
        <f t="shared" si="8"/>
        <v>0.74549784774113814</v>
      </c>
      <c r="T16" s="1718">
        <f>+'P01 2023'!I9</f>
        <v>778.41099999999994</v>
      </c>
      <c r="U16" s="1056">
        <f>+'P01 2022'!F9</f>
        <v>738.79562999999996</v>
      </c>
      <c r="V16" s="1147">
        <f>+'P01 2023'!N9</f>
        <v>778.41099999999994</v>
      </c>
      <c r="W16" s="1176">
        <f>+'P01 2022'!M9</f>
        <v>738.79562999999996</v>
      </c>
      <c r="X16" s="546">
        <f>+'P01 2023'!AD9</f>
        <v>778.41099999999994</v>
      </c>
      <c r="Y16" s="1176">
        <f>+'P01 2022'!AB9</f>
        <v>738.79562999999996</v>
      </c>
      <c r="Z16" s="1147">
        <f>+'P01 2023'!AT9</f>
        <v>778.41099999999994</v>
      </c>
      <c r="AA16" s="1176">
        <f>+'P01 2022'!AQ9</f>
        <v>738.79562999999996</v>
      </c>
      <c r="AB16" s="1147">
        <f>+'P01 2023'!BJ9</f>
        <v>778.41099999999994</v>
      </c>
      <c r="AC16" s="1176">
        <f>+'P01 2022'!BI9</f>
        <v>738.79562999999996</v>
      </c>
      <c r="AD16" s="1147">
        <f>+'P01 2023'!BZ9</f>
        <v>778.41099999999994</v>
      </c>
      <c r="AE16" s="1176">
        <f>+'P01 2022'!CC9</f>
        <v>738.79562999999996</v>
      </c>
      <c r="AF16" s="1468">
        <f>+'P01 2023'!CP9</f>
        <v>778.41099999999994</v>
      </c>
      <c r="AG16" s="1056">
        <f>+'P01 2022'!CY9</f>
        <v>738.79562999999996</v>
      </c>
      <c r="AH16" s="546">
        <f>+'P01 2023'!DF9</f>
        <v>778.41099999999994</v>
      </c>
      <c r="AI16" s="1056">
        <f>+'P01 2022'!DR9</f>
        <v>738.79562999999996</v>
      </c>
      <c r="AJ16" s="1584">
        <f>+'P01 2023'!DX9</f>
        <v>778.41099999999994</v>
      </c>
      <c r="AK16" s="18">
        <f>+'P01 2022'!EJ9</f>
        <v>738.79562999999996</v>
      </c>
      <c r="AL16" s="323">
        <f>+'P01 2022'!FC9</f>
        <v>695.01</v>
      </c>
      <c r="AM16" s="18">
        <f>+'P01 2022'!GA9</f>
        <v>695.01</v>
      </c>
      <c r="AN16" s="1056">
        <f>+'P01 2022'!GX9</f>
        <v>778.41099999999994</v>
      </c>
      <c r="AY16" s="753"/>
      <c r="AZ16" s="1602"/>
      <c r="BA16" s="1398"/>
      <c r="BB16" s="753"/>
      <c r="BC16" s="1610"/>
      <c r="BD16" s="1610"/>
    </row>
    <row r="17" spans="1:56" ht="15" hidden="1" customHeight="1" x14ac:dyDescent="0.25">
      <c r="B17" s="1413" t="s">
        <v>557</v>
      </c>
      <c r="C17" s="800"/>
      <c r="D17" s="182"/>
      <c r="E17" s="17"/>
      <c r="F17" s="17">
        <v>12</v>
      </c>
      <c r="G17" s="17" t="str">
        <f t="shared" ref="G17:G22" si="9">+CONCATENATE($C$10,"",$D$11,"",$E$12,"0",F17)</f>
        <v>21.01.001.012</v>
      </c>
      <c r="H17" s="1294" t="s">
        <v>22</v>
      </c>
      <c r="I17" s="1147">
        <f>+'P01 2023'!F10</f>
        <v>3624.1959999999999</v>
      </c>
      <c r="J17" s="97">
        <f>+'P01 2023'!EF10</f>
        <v>3624.1959999999999</v>
      </c>
      <c r="K17" s="18">
        <f ca="1">SUMIF(T$3:$AN8,"ok",T17:AN17)</f>
        <v>1597.1940000000002</v>
      </c>
      <c r="L17" s="694">
        <f t="shared" ca="1" si="4"/>
        <v>0.44070298626233245</v>
      </c>
      <c r="M17" s="18">
        <f>+'P01 2023'!EH10</f>
        <v>1597.194</v>
      </c>
      <c r="N17" s="692">
        <f t="shared" si="2"/>
        <v>0.4407029862623324</v>
      </c>
      <c r="O17" s="18">
        <f>+'P01 2023'!EI10</f>
        <v>2027.002</v>
      </c>
      <c r="P17" s="1154">
        <f t="shared" si="0"/>
        <v>0.5592970137376676</v>
      </c>
      <c r="Q17" s="1147">
        <f>+'P01 2022'!ES10</f>
        <v>3344.6582789999998</v>
      </c>
      <c r="R17" s="18">
        <f>SUMIF(T$3:$AN$3,"SI",T17:AN17)</f>
        <v>1697.8172219999999</v>
      </c>
      <c r="S17" s="594">
        <f t="shared" si="8"/>
        <v>0.50762053410957741</v>
      </c>
      <c r="T17" s="1719">
        <f>+'P01 2023'!I10</f>
        <v>177.46600000000001</v>
      </c>
      <c r="U17" s="1056">
        <f>+'P01 2022'!F10</f>
        <v>188.64635799999999</v>
      </c>
      <c r="V17" s="1147">
        <f>+'P01 2023'!N10</f>
        <v>177.46600000000001</v>
      </c>
      <c r="W17" s="1176">
        <f>+'P01 2022'!M10</f>
        <v>188.64635799999999</v>
      </c>
      <c r="X17" s="546">
        <f>+'P01 2023'!AD10</f>
        <v>177.46600000000001</v>
      </c>
      <c r="Y17" s="1176">
        <f>+'P01 2022'!AB10</f>
        <v>188.64635799999999</v>
      </c>
      <c r="Z17" s="1147">
        <f>+'P01 2023'!AT10</f>
        <v>177.46600000000001</v>
      </c>
      <c r="AA17" s="1176">
        <f>+'P01 2022'!AQ10</f>
        <v>188.64635799999999</v>
      </c>
      <c r="AB17" s="1147">
        <f>+'P01 2023'!BJ10</f>
        <v>177.46600000000001</v>
      </c>
      <c r="AC17" s="1176">
        <f>+'P01 2022'!BI10</f>
        <v>188.64635799999999</v>
      </c>
      <c r="AD17" s="1147">
        <f>+'P01 2023'!BZ10</f>
        <v>177.46600000000001</v>
      </c>
      <c r="AE17" s="1176">
        <f>+'P01 2022'!CC10</f>
        <v>188.64635799999999</v>
      </c>
      <c r="AF17" s="1468">
        <f>+'P01 2023'!CP10</f>
        <v>177.46600000000001</v>
      </c>
      <c r="AG17" s="1056">
        <f>+'P01 2022'!CY10</f>
        <v>188.64635799999999</v>
      </c>
      <c r="AH17" s="546">
        <f>+'P01 2023'!DF10</f>
        <v>88.733000000000004</v>
      </c>
      <c r="AI17" s="1056">
        <f>+'P01 2022'!DR10</f>
        <v>188.64635799999999</v>
      </c>
      <c r="AJ17" s="1584">
        <f>+'P01 2023'!DX10</f>
        <v>266.19900000000001</v>
      </c>
      <c r="AK17" s="18">
        <f>+'P01 2022'!EJ10</f>
        <v>188.64635799999999</v>
      </c>
      <c r="AL17" s="323">
        <f>+'P01 2022'!FC10</f>
        <v>177.46600000000001</v>
      </c>
      <c r="AM17" s="18">
        <f>+'P01 2022'!GA10</f>
        <v>177.46600000000001</v>
      </c>
      <c r="AN17" s="1056">
        <f>+'P01 2022'!GX10</f>
        <v>177.46600000000001</v>
      </c>
      <c r="AY17" s="753"/>
      <c r="AZ17" s="1602"/>
      <c r="BA17" s="1398"/>
      <c r="BB17" s="753"/>
      <c r="BC17" s="1610"/>
      <c r="BD17" s="1610"/>
    </row>
    <row r="18" spans="1:56" ht="15" hidden="1" customHeight="1" x14ac:dyDescent="0.25">
      <c r="B18" s="1413" t="s">
        <v>558</v>
      </c>
      <c r="C18" s="800"/>
      <c r="D18" s="182"/>
      <c r="E18" s="17"/>
      <c r="F18" s="17">
        <v>13</v>
      </c>
      <c r="G18" s="17" t="str">
        <f t="shared" si="9"/>
        <v>21.01.001.013</v>
      </c>
      <c r="H18" s="1294" t="s">
        <v>23</v>
      </c>
      <c r="I18" s="1147">
        <f>+'P01 2023'!F11</f>
        <v>63244.34</v>
      </c>
      <c r="J18" s="97">
        <f>+'P01 2023'!EF11</f>
        <v>63244.34</v>
      </c>
      <c r="K18" s="18">
        <f ca="1">SUMIF(T$3:$AN9,"ok",T18:AN18)</f>
        <v>37735.716999999997</v>
      </c>
      <c r="L18" s="694">
        <f t="shared" ca="1" si="4"/>
        <v>0.59666551979196869</v>
      </c>
      <c r="M18" s="18">
        <f>+'P01 2023'!EH11</f>
        <v>37735.716999999997</v>
      </c>
      <c r="N18" s="692">
        <f t="shared" si="2"/>
        <v>0.59666551979196869</v>
      </c>
      <c r="O18" s="18">
        <f>+'P01 2023'!EI11</f>
        <v>25508.623</v>
      </c>
      <c r="P18" s="1154">
        <f t="shared" si="0"/>
        <v>0.40333448020803125</v>
      </c>
      <c r="Q18" s="1147">
        <f>+'P01 2022'!ES11</f>
        <v>58366.244111</v>
      </c>
      <c r="R18" s="18">
        <f>SUMIF(T$3:$AN$3,"SI",T18:AN18)</f>
        <v>40054.880676999994</v>
      </c>
      <c r="S18" s="594">
        <f t="shared" si="8"/>
        <v>0.68626791542084253</v>
      </c>
      <c r="T18" s="1718">
        <f>+'P01 2023'!I11</f>
        <v>3675.88</v>
      </c>
      <c r="U18" s="1056">
        <f>+'P01 2022'!F11</f>
        <v>3907.4604399999998</v>
      </c>
      <c r="V18" s="1147">
        <f>+'P01 2023'!N11</f>
        <v>3675.88</v>
      </c>
      <c r="W18" s="1176">
        <f>+'P01 2022'!M11</f>
        <v>3907.4604399999998</v>
      </c>
      <c r="X18" s="546">
        <f>+'P01 2023'!AD11</f>
        <v>5318.0439999999999</v>
      </c>
      <c r="Y18" s="1176">
        <f>+'P01 2022'!AB11</f>
        <v>5459.1236660000004</v>
      </c>
      <c r="Z18" s="1147">
        <f>+'P01 2023'!AT11</f>
        <v>3675.88</v>
      </c>
      <c r="AA18" s="1176">
        <f>+'P01 2022'!AQ11</f>
        <v>3907.4604399999998</v>
      </c>
      <c r="AB18" s="1147">
        <f>+'P01 2023'!BJ11</f>
        <v>3675.88</v>
      </c>
      <c r="AC18" s="1176">
        <f>+'P01 2022'!BI11</f>
        <v>3907.4604399999998</v>
      </c>
      <c r="AD18" s="1147">
        <f>+'P01 2023'!BZ11</f>
        <v>5318.0439999999999</v>
      </c>
      <c r="AE18" s="1176">
        <f>+'P01 2022'!CC11</f>
        <v>5653.0807719999993</v>
      </c>
      <c r="AF18" s="1468">
        <f>+'P01 2023'!CP11</f>
        <v>3675.88</v>
      </c>
      <c r="AG18" s="1056">
        <f>+'P01 2022'!CY11</f>
        <v>3907.4604399999998</v>
      </c>
      <c r="AH18" s="546">
        <f>+'P01 2023'!DF11</f>
        <v>1837.9390000000001</v>
      </c>
      <c r="AI18" s="1056">
        <f>+'P01 2022'!DR11</f>
        <v>3907.4604399999998</v>
      </c>
      <c r="AJ18" s="1584">
        <f>+'P01 2023'!DX11</f>
        <v>6882.29</v>
      </c>
      <c r="AK18" s="18">
        <f>+'P01 2022'!EJ11</f>
        <v>5497.9135990000004</v>
      </c>
      <c r="AL18" s="323">
        <f>+'P01 2022'!FC11</f>
        <v>3675.88</v>
      </c>
      <c r="AM18" s="18">
        <f>+'P01 2022'!GA11</f>
        <v>3675.88</v>
      </c>
      <c r="AN18" s="1056">
        <f>+'P01 2022'!GX11</f>
        <v>5318.0439999999999</v>
      </c>
      <c r="AY18" s="753"/>
      <c r="AZ18" s="1602"/>
      <c r="BA18" s="1398"/>
      <c r="BB18" s="753"/>
      <c r="BC18" s="1610"/>
      <c r="BD18" s="1610"/>
    </row>
    <row r="19" spans="1:56" ht="15" hidden="1" customHeight="1" x14ac:dyDescent="0.25">
      <c r="B19" s="1413" t="s">
        <v>559</v>
      </c>
      <c r="C19" s="800"/>
      <c r="D19" s="182"/>
      <c r="E19" s="17"/>
      <c r="F19" s="17">
        <v>14</v>
      </c>
      <c r="G19" s="17" t="str">
        <f t="shared" si="9"/>
        <v>21.01.001.014</v>
      </c>
      <c r="H19" s="1294" t="s">
        <v>24</v>
      </c>
      <c r="I19" s="1147">
        <f>+'P01 2023'!F12</f>
        <v>94261.555999999997</v>
      </c>
      <c r="J19" s="97">
        <f>+'P01 2023'!EF12</f>
        <v>94261.555999999997</v>
      </c>
      <c r="K19" s="18">
        <f ca="1">SUMIF(T$3:$AN10,"ok",T19:AN19)</f>
        <v>57338.796000000002</v>
      </c>
      <c r="L19" s="694">
        <f t="shared" ca="1" si="4"/>
        <v>0.60829460527895385</v>
      </c>
      <c r="M19" s="18">
        <f>+'P01 2023'!EH12</f>
        <v>57338.796000000002</v>
      </c>
      <c r="N19" s="692">
        <f t="shared" si="2"/>
        <v>0.60829460527895385</v>
      </c>
      <c r="O19" s="18">
        <f>+'P01 2023'!EI12</f>
        <v>36922.76</v>
      </c>
      <c r="P19" s="1154">
        <f t="shared" si="0"/>
        <v>0.39170539472104621</v>
      </c>
      <c r="Q19" s="1147">
        <f>+'P01 2022'!ES12</f>
        <v>86991.072719999996</v>
      </c>
      <c r="R19" s="18">
        <f>SUMIF(T$3:$AN$3,"SI",T19:AN19)</f>
        <v>61932.318911999995</v>
      </c>
      <c r="S19" s="594">
        <f t="shared" si="8"/>
        <v>0.7119387883782381</v>
      </c>
      <c r="T19" s="1718">
        <f>+'P01 2023'!I12</f>
        <v>6082.5510000000004</v>
      </c>
      <c r="U19" s="1056">
        <f>+'P01 2022'!F12</f>
        <v>6747.2745070000001</v>
      </c>
      <c r="V19" s="1147">
        <f>+'P01 2023'!N12</f>
        <v>6082.5510000000004</v>
      </c>
      <c r="W19" s="1176">
        <f>+'P01 2022'!M12</f>
        <v>6747.2745070000001</v>
      </c>
      <c r="X19" s="546">
        <f>+'P01 2023'!AD12</f>
        <v>6655.7449999999999</v>
      </c>
      <c r="Y19" s="1176">
        <f>+'P01 2022'!AB12</f>
        <v>7359.3052609999995</v>
      </c>
      <c r="Z19" s="1147">
        <f>+'P01 2023'!AT12</f>
        <v>6084.4380000000001</v>
      </c>
      <c r="AA19" s="1176">
        <f>+'P01 2022'!AQ12</f>
        <v>6372.8051189999996</v>
      </c>
      <c r="AB19" s="1147">
        <f>+'P01 2023'!BJ12</f>
        <v>6089.8329999999996</v>
      </c>
      <c r="AC19" s="1176">
        <f>+'P01 2022'!BI12</f>
        <v>6372.8051189999996</v>
      </c>
      <c r="AD19" s="1147">
        <f>+'P01 2023'!BZ12</f>
        <v>6689.5959999999995</v>
      </c>
      <c r="AE19" s="1176">
        <f>+'P01 2022'!CC12</f>
        <v>7533.8456089999991</v>
      </c>
      <c r="AF19" s="1468">
        <f>+'P01 2023'!CP12</f>
        <v>6089.8329999999996</v>
      </c>
      <c r="AG19" s="1056">
        <f>+'P01 2022'!CY12</f>
        <v>6706.3405030000004</v>
      </c>
      <c r="AH19" s="546">
        <f>+'P01 2023'!DF12</f>
        <v>6300.3810000000003</v>
      </c>
      <c r="AI19" s="1056">
        <f>+'P01 2022'!DR12</f>
        <v>6716.6282169999995</v>
      </c>
      <c r="AJ19" s="1584">
        <f>+'P01 2023'!DX12</f>
        <v>7263.8680000000004</v>
      </c>
      <c r="AK19" s="18">
        <f>+'P01 2022'!EJ12</f>
        <v>7376.04007</v>
      </c>
      <c r="AL19" s="323">
        <f>+'P01 2022'!FC12</f>
        <v>6435.018</v>
      </c>
      <c r="AM19" s="18">
        <f>+'P01 2022'!GA12</f>
        <v>6448.5</v>
      </c>
      <c r="AN19" s="1056">
        <f>+'P01 2022'!GX12</f>
        <v>7451.3580000000002</v>
      </c>
      <c r="AY19" s="753"/>
      <c r="AZ19" s="1602"/>
      <c r="BA19" s="1398"/>
      <c r="BB19" s="753"/>
      <c r="BC19" s="1610"/>
      <c r="BD19" s="1610"/>
    </row>
    <row r="20" spans="1:56" ht="15" hidden="1" customHeight="1" x14ac:dyDescent="0.25">
      <c r="B20" s="1413" t="s">
        <v>560</v>
      </c>
      <c r="C20" s="800"/>
      <c r="D20" s="182"/>
      <c r="E20" s="17"/>
      <c r="F20" s="17">
        <v>15</v>
      </c>
      <c r="G20" s="17" t="str">
        <f t="shared" si="9"/>
        <v>21.01.001.015</v>
      </c>
      <c r="H20" s="1294" t="s">
        <v>25</v>
      </c>
      <c r="I20" s="1147">
        <f>+'P01 2023'!F13</f>
        <v>234364.65100000001</v>
      </c>
      <c r="J20" s="97">
        <f>+'P01 2023'!EF13</f>
        <v>234364.65100000001</v>
      </c>
      <c r="K20" s="18">
        <f ca="1">SUMIF(T$3:$AN11,"ok",T20:AN20)</f>
        <v>141086.11199999999</v>
      </c>
      <c r="L20" s="694">
        <f t="shared" ca="1" si="4"/>
        <v>0.60199399268620923</v>
      </c>
      <c r="M20" s="18">
        <f>+'P01 2023'!EH13</f>
        <v>141086.11199999999</v>
      </c>
      <c r="N20" s="692">
        <f t="shared" si="2"/>
        <v>0.60199399268620923</v>
      </c>
      <c r="O20" s="18">
        <f>+'P01 2023'!EI13</f>
        <v>93278.539000000004</v>
      </c>
      <c r="P20" s="1154">
        <f t="shared" si="0"/>
        <v>0.39800600731379066</v>
      </c>
      <c r="Q20" s="1147">
        <f>+'P01 2022'!ES13</f>
        <v>216287.88290799997</v>
      </c>
      <c r="R20" s="18">
        <f>SUMIF(T$3:$AN$3,"SI",T20:AN20)</f>
        <v>152497.79397499998</v>
      </c>
      <c r="S20" s="594">
        <f t="shared" si="8"/>
        <v>0.70506859619069051</v>
      </c>
      <c r="T20" s="1718">
        <f>+'P01 2023'!I13</f>
        <v>15443.431</v>
      </c>
      <c r="U20" s="1056">
        <f>+'P01 2022'!F13</f>
        <v>17169.756709999998</v>
      </c>
      <c r="V20" s="1147">
        <f>+'P01 2023'!N13</f>
        <v>15443.431</v>
      </c>
      <c r="W20" s="1176">
        <f>+'P01 2022'!M13</f>
        <v>17169.756709999998</v>
      </c>
      <c r="X20" s="546">
        <f>+'P01 2023'!AD13</f>
        <v>15443.431</v>
      </c>
      <c r="Y20" s="1176">
        <f>+'P01 2022'!AB13</f>
        <v>16512.164712999998</v>
      </c>
      <c r="Z20" s="1147">
        <f>+'P01 2023'!AT13</f>
        <v>15443.431</v>
      </c>
      <c r="AA20" s="1176">
        <f>+'P01 2022'!AQ13</f>
        <v>16183.369246</v>
      </c>
      <c r="AB20" s="1147">
        <f>+'P01 2023'!BJ13</f>
        <v>15443.431</v>
      </c>
      <c r="AC20" s="1176">
        <f>+'P01 2022'!BI13</f>
        <v>16183.369246</v>
      </c>
      <c r="AD20" s="1147">
        <f>+'P01 2023'!BZ13</f>
        <v>15443.431</v>
      </c>
      <c r="AE20" s="1176">
        <f>+'P01 2022'!CC13</f>
        <v>17584.303324</v>
      </c>
      <c r="AF20" s="1468">
        <f>+'P01 2023'!CP13</f>
        <v>15443.431</v>
      </c>
      <c r="AG20" s="1056">
        <f>+'P01 2022'!CY13</f>
        <v>17226.306184000001</v>
      </c>
      <c r="AH20" s="546">
        <f>+'P01 2023'!DF13</f>
        <v>15756.343000000001</v>
      </c>
      <c r="AI20" s="1056">
        <f>+'P01 2022'!DR13</f>
        <v>17234.383921000001</v>
      </c>
      <c r="AJ20" s="1584">
        <f>+'P01 2023'!DX13</f>
        <v>17225.752</v>
      </c>
      <c r="AK20" s="18">
        <f>+'P01 2022'!EJ13</f>
        <v>17234.383921000001</v>
      </c>
      <c r="AL20" s="323">
        <f>+'P01 2022'!FC13</f>
        <v>16553.760999999999</v>
      </c>
      <c r="AM20" s="18">
        <f>+'P01 2022'!GA13</f>
        <v>16553.760999999999</v>
      </c>
      <c r="AN20" s="1056">
        <f>+'P01 2022'!GX13</f>
        <v>16970.225999999999</v>
      </c>
      <c r="AY20" s="753"/>
      <c r="AZ20" s="1602"/>
      <c r="BA20" s="1398"/>
      <c r="BB20" s="753"/>
      <c r="BC20" s="1610"/>
      <c r="BD20" s="1610"/>
    </row>
    <row r="21" spans="1:56" ht="15" hidden="1" customHeight="1" x14ac:dyDescent="0.25">
      <c r="B21" s="1413" t="s">
        <v>561</v>
      </c>
      <c r="C21" s="800"/>
      <c r="D21" s="182"/>
      <c r="E21" s="17"/>
      <c r="F21" s="17">
        <v>22</v>
      </c>
      <c r="G21" s="17" t="str">
        <f t="shared" si="9"/>
        <v>21.01.001.022</v>
      </c>
      <c r="H21" s="1294" t="s">
        <v>26</v>
      </c>
      <c r="I21" s="1147">
        <f>+'P01 2023'!F14</f>
        <v>75479.017000000007</v>
      </c>
      <c r="J21" s="97">
        <f>+'P01 2023'!EF14</f>
        <v>75479.017000000007</v>
      </c>
      <c r="K21" s="18">
        <f ca="1">SUMIF(T$3:$AN13,"ok",T21:AN21)</f>
        <v>45271.597000000002</v>
      </c>
      <c r="L21" s="694">
        <f t="shared" ca="1" si="4"/>
        <v>0.59979049541675933</v>
      </c>
      <c r="M21" s="18">
        <f>+'P01 2023'!EH14</f>
        <v>45271.597000000002</v>
      </c>
      <c r="N21" s="692">
        <f t="shared" si="2"/>
        <v>0.59979049541675933</v>
      </c>
      <c r="O21" s="18">
        <f>+'P01 2023'!EI14</f>
        <v>30207.42</v>
      </c>
      <c r="P21" s="1154">
        <f t="shared" si="0"/>
        <v>0.40020950458324062</v>
      </c>
      <c r="Q21" s="1147">
        <f>+'P01 2022'!ES14</f>
        <v>69657.24833799999</v>
      </c>
      <c r="R21" s="18">
        <f>SUMIF(T$3:$AN$3,"SI",T21:AN21)</f>
        <v>48890.729080000005</v>
      </c>
      <c r="S21" s="594">
        <f t="shared" si="8"/>
        <v>0.70187568769248576</v>
      </c>
      <c r="T21" s="1718">
        <f>+'P01 2023'!I14</f>
        <v>0</v>
      </c>
      <c r="U21" s="1056">
        <v>0</v>
      </c>
      <c r="V21" s="1147">
        <v>0</v>
      </c>
      <c r="W21" s="1176">
        <v>0</v>
      </c>
      <c r="X21" s="546">
        <f>+'P01 2023'!AD14</f>
        <v>14936.298000000001</v>
      </c>
      <c r="Y21" s="1176">
        <f>+'P01 2022'!AB14</f>
        <v>15922.908734000001</v>
      </c>
      <c r="Z21" s="1147">
        <f>+'P01 2023'!AT14</f>
        <v>0</v>
      </c>
      <c r="AA21" s="1176">
        <f>+'P01 2022'!AQ14</f>
        <v>0</v>
      </c>
      <c r="AB21" s="1147">
        <v>0</v>
      </c>
      <c r="AC21" s="1176">
        <v>0</v>
      </c>
      <c r="AD21" s="1147">
        <f>+'P01 2023'!BZ14</f>
        <v>14936.298000000001</v>
      </c>
      <c r="AE21" s="1176">
        <f>+'P01 2022'!CC14</f>
        <v>16562.584929000001</v>
      </c>
      <c r="AF21" s="1468">
        <f>+'P01 2023'!CP14</f>
        <v>0</v>
      </c>
      <c r="AG21" s="1056">
        <f>+'P01 2022'!CY14</f>
        <v>0</v>
      </c>
      <c r="AH21" s="546">
        <v>0</v>
      </c>
      <c r="AI21" s="1056">
        <v>0</v>
      </c>
      <c r="AJ21" s="1584">
        <f>+'P01 2023'!DX14</f>
        <v>15399.001</v>
      </c>
      <c r="AK21" s="18">
        <f>+'P01 2022'!EJ14</f>
        <v>16405.235417</v>
      </c>
      <c r="AL21" s="323">
        <f>+'P01 2022'!FC14</f>
        <v>0</v>
      </c>
      <c r="AM21" s="18">
        <f>+'P01 2022'!GA14</f>
        <v>0</v>
      </c>
      <c r="AN21" s="1056">
        <f>+'P01 2022'!GX14</f>
        <v>15565.08</v>
      </c>
      <c r="AY21" s="753"/>
      <c r="AZ21" s="1602"/>
      <c r="BA21" s="1398"/>
      <c r="BB21" s="753"/>
      <c r="BC21" s="1610"/>
      <c r="BD21" s="1610"/>
    </row>
    <row r="22" spans="1:56" ht="15" hidden="1" customHeight="1" x14ac:dyDescent="0.25">
      <c r="B22" s="1413" t="s">
        <v>562</v>
      </c>
      <c r="C22" s="800"/>
      <c r="D22" s="182"/>
      <c r="E22" s="17"/>
      <c r="F22" s="17">
        <v>39</v>
      </c>
      <c r="G22" s="17" t="str">
        <f t="shared" si="9"/>
        <v>21.01.001.039</v>
      </c>
      <c r="H22" s="1294" t="s">
        <v>27</v>
      </c>
      <c r="I22" s="1147">
        <f>+'P01 2023'!F15</f>
        <v>22953.239000000001</v>
      </c>
      <c r="J22" s="97">
        <f>+'P01 2023'!EF15</f>
        <v>22953.239000000001</v>
      </c>
      <c r="K22" s="18">
        <f ca="1">SUMIF(T$3:$AN14,"ok",T22:AN22)</f>
        <v>7869.576</v>
      </c>
      <c r="L22" s="694">
        <f t="shared" ca="1" si="4"/>
        <v>0.34285252726205656</v>
      </c>
      <c r="M22" s="18">
        <f>+'P01 2023'!EH15</f>
        <v>7869.576</v>
      </c>
      <c r="N22" s="692">
        <f t="shared" si="2"/>
        <v>0.34285252726205656</v>
      </c>
      <c r="O22" s="18">
        <f>+'P01 2023'!EI15</f>
        <v>15083.663</v>
      </c>
      <c r="P22" s="1154">
        <f t="shared" si="0"/>
        <v>0.65714747273794338</v>
      </c>
      <c r="Q22" s="1147">
        <f>+'P01 2022'!ES15</f>
        <v>21182.833640999997</v>
      </c>
      <c r="R22" s="18">
        <f>SUMIF(T$3:$AN$3,"SI",T22:AN22)</f>
        <v>9081.0559279999998</v>
      </c>
      <c r="S22" s="594">
        <f t="shared" si="8"/>
        <v>0.42869882669631831</v>
      </c>
      <c r="T22" s="1718">
        <f>+'P01 2023'!I15</f>
        <v>854.46</v>
      </c>
      <c r="U22" s="1056">
        <f>+'P01 2022'!F15</f>
        <v>1765.1944139999998</v>
      </c>
      <c r="V22" s="1147">
        <f>+'P01 2023'!N14</f>
        <v>854.46</v>
      </c>
      <c r="W22" s="1176">
        <f>+'P01 2022'!M14</f>
        <v>1765.1944139999998</v>
      </c>
      <c r="X22" s="546">
        <f>+'P01 2023'!AD15</f>
        <v>854.46</v>
      </c>
      <c r="Y22" s="1176">
        <f>+'P01 2022'!AB15</f>
        <v>706.44853999999998</v>
      </c>
      <c r="Z22" s="1147">
        <f>+'P01 2023'!AT15</f>
        <v>854.46</v>
      </c>
      <c r="AA22" s="1176">
        <f>+'P01 2022'!AQ15</f>
        <v>605.52731999999992</v>
      </c>
      <c r="AB22" s="1147">
        <f>+'P01 2023'!BJ14</f>
        <v>854.46</v>
      </c>
      <c r="AC22" s="1176">
        <f>+'P01 2022'!BI14</f>
        <v>605.52731999999992</v>
      </c>
      <c r="AD22" s="1147">
        <f>+'P01 2023'!BZ15</f>
        <v>854.46</v>
      </c>
      <c r="AE22" s="1176">
        <f>+'P01 2022'!CC15</f>
        <v>908.29097999999999</v>
      </c>
      <c r="AF22" s="1468">
        <f>+'P01 2023'!CP15</f>
        <v>854.46</v>
      </c>
      <c r="AG22" s="1056">
        <f>+'P01 2022'!CY15</f>
        <v>908.29097999999999</v>
      </c>
      <c r="AH22" s="546">
        <f>+'P01 2023'!DF14</f>
        <v>944.178</v>
      </c>
      <c r="AI22" s="1056">
        <f>+'P01 2022'!DR14</f>
        <v>908.29097999999999</v>
      </c>
      <c r="AJ22" s="1584">
        <f>+'P01 2023'!DX15</f>
        <v>944.178</v>
      </c>
      <c r="AK22" s="18">
        <f>+'P01 2022'!EJ15</f>
        <v>908.29097999999999</v>
      </c>
      <c r="AL22" s="323">
        <f>+'P01 2022'!FC15</f>
        <v>854.46</v>
      </c>
      <c r="AM22" s="18">
        <f>+'P01 2022'!GA15</f>
        <v>854.46</v>
      </c>
      <c r="AN22" s="1056">
        <f>+'P01 2022'!GX15</f>
        <v>854.46</v>
      </c>
      <c r="AY22" s="753"/>
      <c r="AZ22" s="1602"/>
      <c r="BA22" s="1398"/>
      <c r="BB22" s="753"/>
      <c r="BC22" s="1610"/>
      <c r="BD22" s="1610"/>
    </row>
    <row r="23" spans="1:56" ht="15" hidden="1" customHeight="1" x14ac:dyDescent="0.25">
      <c r="B23" s="1413" t="s">
        <v>991</v>
      </c>
      <c r="C23" s="800"/>
      <c r="D23" s="182"/>
      <c r="E23" s="17"/>
      <c r="F23" s="17">
        <v>998</v>
      </c>
      <c r="G23" s="17" t="s">
        <v>1000</v>
      </c>
      <c r="H23" s="1294" t="s">
        <v>998</v>
      </c>
      <c r="I23" s="1147">
        <f>+'P01 2023'!F16</f>
        <v>2112</v>
      </c>
      <c r="J23" s="97">
        <f>+'P01 2023'!EF16</f>
        <v>25344</v>
      </c>
      <c r="K23" s="18">
        <f ca="1">SUMIF(T$3:$AN15,"ok",T23:AN23)</f>
        <v>16896</v>
      </c>
      <c r="L23" s="694">
        <f t="shared" ref="L23" ca="1" si="10">IFERROR(K23/J23,"0.00"%)</f>
        <v>0.66666666666666663</v>
      </c>
      <c r="M23" s="18">
        <f>+'P01 2023'!EH16</f>
        <v>16896</v>
      </c>
      <c r="N23" s="692">
        <f t="shared" ref="N23" si="11">+IFERROR(M23/J23,0)</f>
        <v>0.66666666666666663</v>
      </c>
      <c r="O23" s="18">
        <f>+'P01 2023'!EI16</f>
        <v>8448</v>
      </c>
      <c r="P23" s="1154">
        <f t="shared" ref="P23" si="12">+IFERROR(O23/J23,0)</f>
        <v>0.33333333333333331</v>
      </c>
      <c r="Q23" s="1147">
        <v>0</v>
      </c>
      <c r="R23" s="18">
        <f>SUMIF(T$3:$AN$3,"SI",T23:AN23)</f>
        <v>0</v>
      </c>
      <c r="S23" s="594" t="str">
        <f>IFERROR(R23/Q23,"0,00%")</f>
        <v>0,00%</v>
      </c>
      <c r="T23" s="1718">
        <f>+'P01 2023'!I16</f>
        <v>2112</v>
      </c>
      <c r="U23" s="1056">
        <v>0</v>
      </c>
      <c r="V23" s="1147">
        <f>+'P01 2023'!N15</f>
        <v>2112</v>
      </c>
      <c r="W23" s="1176">
        <v>0</v>
      </c>
      <c r="X23" s="546">
        <f>+'P01 2023'!AD16</f>
        <v>2112</v>
      </c>
      <c r="Y23" s="1176">
        <v>0</v>
      </c>
      <c r="Z23" s="1147">
        <f>+'P01 2023'!AT16</f>
        <v>2112</v>
      </c>
      <c r="AA23" s="1176">
        <v>0</v>
      </c>
      <c r="AB23" s="1147">
        <f>+'P01 2023'!BJ15</f>
        <v>2112</v>
      </c>
      <c r="AC23" s="1176">
        <v>0</v>
      </c>
      <c r="AD23" s="1147">
        <f>+'P01 2023'!BZ16</f>
        <v>2112</v>
      </c>
      <c r="AE23" s="1176">
        <v>0</v>
      </c>
      <c r="AF23" s="1468">
        <f>+'P01 2023'!CP16</f>
        <v>2112</v>
      </c>
      <c r="AG23" s="1056">
        <v>0</v>
      </c>
      <c r="AH23" s="546">
        <f>+'P01 2023'!DF15</f>
        <v>2112</v>
      </c>
      <c r="AI23" s="1056">
        <v>0</v>
      </c>
      <c r="AJ23" s="1584">
        <f>+'P01 2023'!DX16</f>
        <v>0</v>
      </c>
      <c r="AK23" s="18">
        <v>0</v>
      </c>
      <c r="AL23" s="323"/>
      <c r="AM23" s="18"/>
      <c r="AN23" s="1056"/>
      <c r="AY23" s="753"/>
      <c r="AZ23" s="1602"/>
      <c r="BA23" s="1398"/>
      <c r="BB23" s="753"/>
      <c r="BC23" s="1610"/>
      <c r="BD23" s="1610"/>
    </row>
    <row r="24" spans="1:56" ht="15" hidden="1" customHeight="1" x14ac:dyDescent="0.25">
      <c r="B24" s="1413" t="s">
        <v>923</v>
      </c>
      <c r="C24" s="800"/>
      <c r="D24" s="182"/>
      <c r="E24" s="17"/>
      <c r="F24" s="17">
        <v>999</v>
      </c>
      <c r="G24" s="17" t="str">
        <f>+CONCATENATE($C$10,"",$D$11,"",$E$12,"0",F24)</f>
        <v>21.01.001.0999</v>
      </c>
      <c r="H24" s="1294" t="s">
        <v>930</v>
      </c>
      <c r="I24" s="1147">
        <f>+'P01 2023'!F17</f>
        <v>0</v>
      </c>
      <c r="J24" s="97">
        <f>+'P01 2023'!EF17</f>
        <v>0</v>
      </c>
      <c r="K24" s="18">
        <f ca="1">SUMIF(T$3:$AN16,"ok",T24:AN24)</f>
        <v>0</v>
      </c>
      <c r="L24" s="694">
        <f ca="1">IFERROR(K24/J24,"0,00"%)</f>
        <v>0</v>
      </c>
      <c r="M24" s="18">
        <f>+'P01 2023'!EH17</f>
        <v>0</v>
      </c>
      <c r="N24" s="692">
        <f t="shared" ref="N24:N30" si="13">+IFERROR(M24/J24,0)</f>
        <v>0</v>
      </c>
      <c r="O24" s="18">
        <f>+'P01 2023'!EI17</f>
        <v>0</v>
      </c>
      <c r="P24" s="1154">
        <f t="shared" ref="P24:P30" si="14">+IFERROR(O24/J24,0)</f>
        <v>0</v>
      </c>
      <c r="Q24" s="1147">
        <v>0</v>
      </c>
      <c r="R24" s="18">
        <f>SUMIF(T$3:$AN$3,"SI",T24:AN24)</f>
        <v>0</v>
      </c>
      <c r="S24" s="594" t="str">
        <f>IFERROR(R24/Q24,"0,00%")</f>
        <v>0,00%</v>
      </c>
      <c r="T24" s="1718">
        <f>+'P01 2023'!I17</f>
        <v>0</v>
      </c>
      <c r="U24" s="1056">
        <v>0</v>
      </c>
      <c r="V24" s="1147">
        <v>0</v>
      </c>
      <c r="W24" s="1176">
        <v>0</v>
      </c>
      <c r="X24" s="546">
        <v>0</v>
      </c>
      <c r="Y24" s="1176">
        <v>0</v>
      </c>
      <c r="Z24" s="1147">
        <v>0</v>
      </c>
      <c r="AA24" s="1176">
        <v>0</v>
      </c>
      <c r="AB24" s="1147">
        <v>0</v>
      </c>
      <c r="AC24" s="1176">
        <v>0</v>
      </c>
      <c r="AD24" s="1147">
        <v>0</v>
      </c>
      <c r="AE24" s="1176">
        <v>0</v>
      </c>
      <c r="AF24" s="1468">
        <v>0</v>
      </c>
      <c r="AG24" s="1056">
        <v>0</v>
      </c>
      <c r="AH24" s="546">
        <v>0</v>
      </c>
      <c r="AI24" s="1056">
        <v>0</v>
      </c>
      <c r="AJ24" s="1584">
        <v>0</v>
      </c>
      <c r="AK24" s="18">
        <v>0</v>
      </c>
      <c r="AL24" s="323"/>
      <c r="AM24" s="18"/>
      <c r="AN24" s="1056">
        <f>+'P01 2022'!GX16</f>
        <v>2367.1999999999998</v>
      </c>
      <c r="AY24" s="753"/>
      <c r="AZ24" s="1602"/>
      <c r="BA24" s="1398"/>
      <c r="BB24" s="753"/>
      <c r="BC24" s="1610"/>
      <c r="BD24" s="1610"/>
    </row>
    <row r="25" spans="1:56" s="181" customFormat="1" ht="15" hidden="1" customHeight="1" x14ac:dyDescent="0.25">
      <c r="A25" s="175"/>
      <c r="B25" s="1413" t="s">
        <v>358</v>
      </c>
      <c r="C25" s="798"/>
      <c r="D25" s="128"/>
      <c r="E25" s="133" t="s">
        <v>158</v>
      </c>
      <c r="F25" s="133"/>
      <c r="G25" s="133"/>
      <c r="H25" s="1293" t="s">
        <v>28</v>
      </c>
      <c r="I25" s="1145">
        <f>+'P01 2023'!F18</f>
        <v>31358.285</v>
      </c>
      <c r="J25" s="127">
        <f>+'P01 2023'!EF18</f>
        <v>31358.285</v>
      </c>
      <c r="K25" s="127">
        <f ca="1">SUMIF(T$3:$AN17,"ok",T25:AN25)</f>
        <v>15908.843999999997</v>
      </c>
      <c r="L25" s="783">
        <f t="shared" ref="L25:L30" ca="1" si="15">IFERROR(K25/J25,"0.00"%)</f>
        <v>0.50732506576810554</v>
      </c>
      <c r="M25" s="127">
        <f>+'P01 2023'!EH18</f>
        <v>15908.843999999999</v>
      </c>
      <c r="N25" s="783">
        <f t="shared" si="13"/>
        <v>0.50732506576810554</v>
      </c>
      <c r="O25" s="127">
        <f>+'P01 2023'!EI18</f>
        <v>15449.441000000001</v>
      </c>
      <c r="P25" s="1155">
        <f t="shared" si="14"/>
        <v>0.4926749342318944</v>
      </c>
      <c r="Q25" s="1145">
        <f>+'P01 2022'!ES16</f>
        <v>28939.590349999999</v>
      </c>
      <c r="R25" s="127">
        <f>SUMIF(T$3:$AN$3,"SI",T25:AN25)</f>
        <v>17122.125806</v>
      </c>
      <c r="S25" s="1146">
        <f t="shared" ref="S25:S30" si="16">IFERROR(R25/Q25,"0%")</f>
        <v>0.59165059349224691</v>
      </c>
      <c r="T25" s="1070">
        <f>+'P01 2023'!I18</f>
        <v>1522.9570000000001</v>
      </c>
      <c r="U25" s="1055">
        <f t="shared" ref="U25:AK25" si="17">SUM(U26:U27)</f>
        <v>1651.265263</v>
      </c>
      <c r="V25" s="1159">
        <f>+'P01 2023'!N16</f>
        <v>1657.172</v>
      </c>
      <c r="W25" s="1175">
        <f t="shared" si="17"/>
        <v>1864.48074</v>
      </c>
      <c r="X25" s="1209">
        <f>SUM(X26:X27)</f>
        <v>1990.904</v>
      </c>
      <c r="Y25" s="1175">
        <f t="shared" si="17"/>
        <v>2528.410343</v>
      </c>
      <c r="Z25" s="1159">
        <f t="shared" si="17"/>
        <v>1560.9259999999999</v>
      </c>
      <c r="AA25" s="1175">
        <f t="shared" si="17"/>
        <v>1557.2577949999998</v>
      </c>
      <c r="AB25" s="1159">
        <f t="shared" si="17"/>
        <v>1694.5909999999999</v>
      </c>
      <c r="AC25" s="1175">
        <f t="shared" si="17"/>
        <v>1734.1973339999997</v>
      </c>
      <c r="AD25" s="1159">
        <f t="shared" si="17"/>
        <v>2032.319</v>
      </c>
      <c r="AE25" s="1175">
        <f t="shared" si="17"/>
        <v>2118.6971899999999</v>
      </c>
      <c r="AF25" s="1219">
        <f>+'P01 2023'!CP17</f>
        <v>1648.241</v>
      </c>
      <c r="AG25" s="1055">
        <f t="shared" si="17"/>
        <v>1825.6057669999998</v>
      </c>
      <c r="AH25" s="1607">
        <f>+'P01 2023'!DF16</f>
        <v>1721.5139999999999</v>
      </c>
      <c r="AI25" s="1055">
        <f t="shared" si="17"/>
        <v>1827.1758179999999</v>
      </c>
      <c r="AJ25" s="1583">
        <f>+'P01 2023'!DX17</f>
        <v>2080.2199999999998</v>
      </c>
      <c r="AK25" s="132">
        <f t="shared" si="17"/>
        <v>2015.035556</v>
      </c>
      <c r="AL25" s="132">
        <f>SUM(AL26:AL27)</f>
        <v>1537.088</v>
      </c>
      <c r="AM25" s="132">
        <f>+'P01 2022'!GA16</f>
        <v>1973.768</v>
      </c>
      <c r="AN25" s="1055">
        <f>+'P01 2022'!GX17</f>
        <v>2117.02</v>
      </c>
      <c r="AO25" s="1601"/>
      <c r="AP25" s="1401"/>
      <c r="AQ25" s="1401"/>
      <c r="AR25" s="1401"/>
      <c r="AS25" s="1401"/>
      <c r="AT25" s="1401"/>
      <c r="AU25" s="1401"/>
      <c r="AV25" s="1401"/>
      <c r="AW25" s="1401"/>
      <c r="AX25" s="1401"/>
      <c r="AY25" s="753"/>
      <c r="AZ25" s="1602"/>
      <c r="BA25" s="1398"/>
      <c r="BB25" s="753"/>
      <c r="BC25" s="1610"/>
      <c r="BD25" s="1610"/>
    </row>
    <row r="26" spans="1:56" ht="15" hidden="1" customHeight="1" x14ac:dyDescent="0.25">
      <c r="B26" s="1413" t="s">
        <v>563</v>
      </c>
      <c r="C26" s="800"/>
      <c r="D26" s="182"/>
      <c r="E26" s="17"/>
      <c r="F26" s="17">
        <v>1</v>
      </c>
      <c r="G26" s="17" t="str">
        <f>+CONCATENATE($C$10,"",$D$11,"",$E$25,"00",F26)</f>
        <v>21.01.002.001</v>
      </c>
      <c r="H26" s="1294" t="s">
        <v>29</v>
      </c>
      <c r="I26" s="1147">
        <f>+'P01 2023'!F19</f>
        <v>7117.165</v>
      </c>
      <c r="J26" s="97">
        <f>+'P01 2023'!EF19</f>
        <v>7117.165</v>
      </c>
      <c r="K26" s="18">
        <f ca="1">SUMIF(T$3:$AN18,"ok",T26:AN26)</f>
        <v>1008.8</v>
      </c>
      <c r="L26" s="694">
        <f t="shared" ca="1" si="15"/>
        <v>0.14174183119261671</v>
      </c>
      <c r="M26" s="18">
        <f>+'P01 2023'!EH19</f>
        <v>1008.8</v>
      </c>
      <c r="N26" s="692">
        <f t="shared" si="13"/>
        <v>0.14174183119261671</v>
      </c>
      <c r="O26" s="18">
        <f>+'P01 2023'!EI19</f>
        <v>6108.3649999999998</v>
      </c>
      <c r="P26" s="1154">
        <f t="shared" si="14"/>
        <v>0.85825816880738326</v>
      </c>
      <c r="Q26" s="1147">
        <f>+'P01 2022'!ES17</f>
        <v>6568.2110939999993</v>
      </c>
      <c r="R26" s="18">
        <f>SUMIF(T$3:$AN$3,"SI",T26:AN26)</f>
        <v>1219.80313</v>
      </c>
      <c r="S26" s="594">
        <f t="shared" si="16"/>
        <v>0.18571314358551586</v>
      </c>
      <c r="T26" s="1718">
        <f>+'P01 2023'!I19</f>
        <v>0</v>
      </c>
      <c r="U26" s="1056">
        <v>0</v>
      </c>
      <c r="V26" s="1147">
        <f>+'P01 2023'!N17</f>
        <v>126.1</v>
      </c>
      <c r="W26" s="1176">
        <f>+'P01 2022'!M16</f>
        <v>201.06645</v>
      </c>
      <c r="X26" s="546">
        <f>+'P01 2023'!AD18</f>
        <v>252.2</v>
      </c>
      <c r="Y26" s="1176">
        <f>+'P01 2022'!AB17</f>
        <v>388.72846999999996</v>
      </c>
      <c r="Z26" s="1147">
        <v>0</v>
      </c>
      <c r="AA26" s="1176">
        <f>+'P01 2022'!AQ17</f>
        <v>0</v>
      </c>
      <c r="AB26" s="1147">
        <f>+'P01 2023'!BJ17</f>
        <v>126.1</v>
      </c>
      <c r="AC26" s="1176">
        <f>+'P01 2022'!BI16</f>
        <v>160.85315999999997</v>
      </c>
      <c r="AD26" s="1147">
        <f>+'P01 2023'!BZ18</f>
        <v>252.2</v>
      </c>
      <c r="AE26" s="1176">
        <f>+'P01 2022'!CC17</f>
        <v>160.85315999999997</v>
      </c>
      <c r="AF26" s="1468">
        <v>0</v>
      </c>
      <c r="AG26" s="1056">
        <f>+'P01 2022'!CY17</f>
        <v>160.85315999999997</v>
      </c>
      <c r="AH26" s="546">
        <f>+'P01 2023'!DF17</f>
        <v>126.1</v>
      </c>
      <c r="AI26" s="1056">
        <f>+'P01 2022'!DR16</f>
        <v>147.44873000000001</v>
      </c>
      <c r="AJ26" s="1584">
        <f>+'P01 2023'!DX18</f>
        <v>126.1</v>
      </c>
      <c r="AK26" s="18">
        <v>0</v>
      </c>
      <c r="AL26" s="185"/>
      <c r="AM26" s="18">
        <f>+'P01 2022'!GA17</f>
        <v>428.74</v>
      </c>
      <c r="AN26" s="1056">
        <f>+'P01 2022'!GX18</f>
        <v>302.64</v>
      </c>
      <c r="AY26" s="753"/>
      <c r="AZ26" s="1602"/>
      <c r="BA26" s="1398"/>
      <c r="BB26" s="753"/>
      <c r="BC26" s="1610"/>
      <c r="BD26" s="1610"/>
    </row>
    <row r="27" spans="1:56" ht="15" hidden="1" customHeight="1" x14ac:dyDescent="0.25">
      <c r="B27" s="1413" t="s">
        <v>564</v>
      </c>
      <c r="C27" s="800"/>
      <c r="D27" s="182"/>
      <c r="E27" s="17"/>
      <c r="F27" s="17">
        <v>2</v>
      </c>
      <c r="G27" s="17" t="str">
        <f>+CONCATENATE($C$10,"",$D$11,"",$E$25,"00",F27)</f>
        <v>21.01.002.002</v>
      </c>
      <c r="H27" s="1294" t="s">
        <v>30</v>
      </c>
      <c r="I27" s="1147">
        <f>+'P01 2023'!F20</f>
        <v>24241.119999999999</v>
      </c>
      <c r="J27" s="97">
        <f>+'P01 2023'!EF20</f>
        <v>24241.119999999999</v>
      </c>
      <c r="K27" s="18">
        <f ca="1">SUMIF(T$3:$AN19,"ok",T27:AN27)</f>
        <v>14900.044000000002</v>
      </c>
      <c r="L27" s="694">
        <f t="shared" ca="1" si="15"/>
        <v>0.61465988370174329</v>
      </c>
      <c r="M27" s="18">
        <f>+'P01 2023'!EH20</f>
        <v>14900.044</v>
      </c>
      <c r="N27" s="692">
        <f t="shared" si="13"/>
        <v>0.61465988370174318</v>
      </c>
      <c r="O27" s="18">
        <f>+'P01 2023'!EI20</f>
        <v>9341.0759999999991</v>
      </c>
      <c r="P27" s="1154">
        <f t="shared" si="14"/>
        <v>0.38534011629825682</v>
      </c>
      <c r="Q27" s="1147">
        <f>+'P01 2022'!ES18</f>
        <v>22371.379255999997</v>
      </c>
      <c r="R27" s="18">
        <f>SUMIF(T$3:$AN$3,"SI",T27:AN27)</f>
        <v>15902.322676</v>
      </c>
      <c r="S27" s="594">
        <f t="shared" si="16"/>
        <v>0.71083335962555827</v>
      </c>
      <c r="T27" s="1718">
        <f>+'P01 2023'!I20</f>
        <v>1522.9570000000001</v>
      </c>
      <c r="U27" s="1056">
        <f>+'P01 2022'!F18</f>
        <v>1651.265263</v>
      </c>
      <c r="V27" s="1147">
        <f>+'P01 2023'!N18</f>
        <v>1531.0719999999999</v>
      </c>
      <c r="W27" s="1176">
        <f>+'P01 2022'!M17</f>
        <v>1663.4142899999999</v>
      </c>
      <c r="X27" s="546">
        <f>+'P01 2023'!AD19</f>
        <v>1738.704</v>
      </c>
      <c r="Y27" s="1176">
        <f>+'P01 2022'!AB18</f>
        <v>2139.681873</v>
      </c>
      <c r="Z27" s="1147">
        <f>+'P01 2023'!AT18</f>
        <v>1560.9259999999999</v>
      </c>
      <c r="AA27" s="1176">
        <f>+'P01 2022'!AQ18</f>
        <v>1557.2577949999998</v>
      </c>
      <c r="AB27" s="1147">
        <f>+'P01 2023'!BJ18</f>
        <v>1568.491</v>
      </c>
      <c r="AC27" s="1176">
        <f>+'P01 2022'!BI17</f>
        <v>1573.3441739999998</v>
      </c>
      <c r="AD27" s="1147">
        <f>+'P01 2023'!BZ19</f>
        <v>1780.1189999999999</v>
      </c>
      <c r="AE27" s="1176">
        <f>+'P01 2022'!CC18</f>
        <v>1957.8440299999997</v>
      </c>
      <c r="AF27" s="1468">
        <f>+'P01 2023'!CP18</f>
        <v>1648.241</v>
      </c>
      <c r="AG27" s="1056">
        <f>+'P01 2022'!CY18</f>
        <v>1664.7526069999999</v>
      </c>
      <c r="AH27" s="546">
        <f>+'P01 2023'!DF18</f>
        <v>1595.414</v>
      </c>
      <c r="AI27" s="1056">
        <f>+'P01 2022'!DR17</f>
        <v>1679.7270879999999</v>
      </c>
      <c r="AJ27" s="1584">
        <f>+'P01 2023'!DX19</f>
        <v>1954.12</v>
      </c>
      <c r="AK27" s="18">
        <f>+'P01 2022'!EJ17</f>
        <v>2015.035556</v>
      </c>
      <c r="AL27" s="1189">
        <f>+'P01 2022'!FC17</f>
        <v>1537.088</v>
      </c>
      <c r="AM27" s="18">
        <f>+'P01 2022'!GA18</f>
        <v>1545.028</v>
      </c>
      <c r="AN27" s="1056">
        <f>+'P01 2022'!GX19</f>
        <v>1814.38</v>
      </c>
      <c r="AY27" s="753"/>
      <c r="AZ27" s="1602"/>
      <c r="BA27" s="1398"/>
      <c r="BB27" s="753"/>
      <c r="BC27" s="1610"/>
      <c r="BD27" s="1610"/>
    </row>
    <row r="28" spans="1:56" s="181" customFormat="1" ht="15" hidden="1" customHeight="1" x14ac:dyDescent="0.25">
      <c r="A28" s="175"/>
      <c r="B28" s="1413" t="s">
        <v>565</v>
      </c>
      <c r="C28" s="801"/>
      <c r="D28" s="184"/>
      <c r="E28" s="137" t="s">
        <v>159</v>
      </c>
      <c r="F28" s="137"/>
      <c r="G28" s="137"/>
      <c r="H28" s="1295" t="s">
        <v>31</v>
      </c>
      <c r="I28" s="1145">
        <f>+'P01 2023'!F21</f>
        <v>73869.233999999997</v>
      </c>
      <c r="J28" s="127">
        <f>+'P01 2023'!EF21</f>
        <v>73869.233999999997</v>
      </c>
      <c r="K28" s="127">
        <f ca="1">SUMIF(T$3:$AN20,"ok",T28:AN28)</f>
        <v>43050.794999999998</v>
      </c>
      <c r="L28" s="783">
        <f t="shared" ca="1" si="15"/>
        <v>0.5827973659507556</v>
      </c>
      <c r="M28" s="127">
        <f>+'P01 2023'!EH21</f>
        <v>43050.794999999998</v>
      </c>
      <c r="N28" s="783">
        <f t="shared" si="13"/>
        <v>0.5827973659507556</v>
      </c>
      <c r="O28" s="127">
        <f>+'P01 2023'!EI21</f>
        <v>30818.438999999998</v>
      </c>
      <c r="P28" s="1155">
        <f t="shared" si="14"/>
        <v>0.41720263404924435</v>
      </c>
      <c r="Q28" s="1145">
        <f>+'P01 2022'!ES19</f>
        <v>68171.630365000005</v>
      </c>
      <c r="R28" s="127">
        <f>SUMIF(T$3:$AN$3,"SI",T28:AN28)</f>
        <v>44711.442531999994</v>
      </c>
      <c r="S28" s="1146">
        <f t="shared" si="16"/>
        <v>0.65586582413547934</v>
      </c>
      <c r="T28" s="1070">
        <f>+'P01 2023'!I21</f>
        <v>0</v>
      </c>
      <c r="U28" s="364">
        <v>0</v>
      </c>
      <c r="V28" s="1163">
        <v>0</v>
      </c>
      <c r="W28" s="1177">
        <v>0</v>
      </c>
      <c r="X28" s="1209">
        <f>SUM(X29:X31)</f>
        <v>14313.438</v>
      </c>
      <c r="Y28" s="1177">
        <f>SUM(Y29:Y30)</f>
        <v>15326.314865999999</v>
      </c>
      <c r="Z28" s="1163">
        <f>SUM(Z29:Z30)</f>
        <v>0</v>
      </c>
      <c r="AA28" s="1177">
        <f>SUM(AA29:AA30)</f>
        <v>0</v>
      </c>
      <c r="AB28" s="1163">
        <f>SUM(AB29:AB30)</f>
        <v>0</v>
      </c>
      <c r="AC28" s="1177">
        <f>SUM(AC29:AC30)</f>
        <v>0</v>
      </c>
      <c r="AD28" s="1159">
        <f>+'P01 2023'!BZ20</f>
        <v>14313.438</v>
      </c>
      <c r="AE28" s="1177">
        <f>+AE29+AE30</f>
        <v>14729.127843999999</v>
      </c>
      <c r="AF28" s="1219">
        <v>0</v>
      </c>
      <c r="AG28" s="364">
        <f>+AG29+AG30</f>
        <v>0</v>
      </c>
      <c r="AH28" s="1219">
        <v>0</v>
      </c>
      <c r="AI28" s="364">
        <v>0</v>
      </c>
      <c r="AJ28" s="1583">
        <f>+'P01 2023'!DX20</f>
        <v>14423.919</v>
      </c>
      <c r="AK28" s="3">
        <f>SUM(AK29:AK30)</f>
        <v>14655.999821999998</v>
      </c>
      <c r="AL28" s="3">
        <f>+AL29</f>
        <v>0</v>
      </c>
      <c r="AM28" s="132">
        <f>+'P01 2022'!GA19</f>
        <v>0</v>
      </c>
      <c r="AN28" s="1055">
        <f>+'P01 2022'!GX20</f>
        <v>13839.655000000001</v>
      </c>
      <c r="AO28" s="1601"/>
      <c r="AP28" s="1401"/>
      <c r="AQ28" s="1401"/>
      <c r="AR28" s="1401"/>
      <c r="AS28" s="1401"/>
      <c r="AT28" s="1401"/>
      <c r="AU28" s="1401"/>
      <c r="AV28" s="1401"/>
      <c r="AW28" s="1401"/>
      <c r="AX28" s="1401"/>
      <c r="AY28" s="753"/>
      <c r="AZ28" s="1602"/>
      <c r="BA28" s="1398"/>
      <c r="BB28" s="753"/>
      <c r="BC28" s="1610"/>
      <c r="BD28" s="1610"/>
    </row>
    <row r="29" spans="1:56" ht="15" hidden="1" customHeight="1" x14ac:dyDescent="0.25">
      <c r="B29" s="1413" t="s">
        <v>566</v>
      </c>
      <c r="C29" s="800"/>
      <c r="D29" s="182"/>
      <c r="E29" s="17"/>
      <c r="F29" s="17">
        <v>1</v>
      </c>
      <c r="G29" s="17" t="str">
        <f>+CONCATENATE($C$10,"",$D$11,"",$E$28,"00",F29)</f>
        <v>21.01.003.001</v>
      </c>
      <c r="H29" s="1294" t="s">
        <v>32</v>
      </c>
      <c r="I29" s="1147">
        <f>+'P01 2023'!F22</f>
        <v>36552.784</v>
      </c>
      <c r="J29" s="97">
        <f>+'P01 2023'!EF22</f>
        <v>36552.784</v>
      </c>
      <c r="K29" s="18">
        <f ca="1">SUMIF(T$3:$AN21,"ok",T29:AN29)</f>
        <v>21946.735999999997</v>
      </c>
      <c r="L29" s="694">
        <f t="shared" ca="1" si="15"/>
        <v>0.60041216012438337</v>
      </c>
      <c r="M29" s="18">
        <f>+'P01 2023'!EH22</f>
        <v>21946.736000000001</v>
      </c>
      <c r="N29" s="692">
        <f t="shared" si="13"/>
        <v>0.60041216012438348</v>
      </c>
      <c r="O29" s="18">
        <f>+'P01 2023'!EI22</f>
        <v>14606.048000000001</v>
      </c>
      <c r="P29" s="1154">
        <f t="shared" si="14"/>
        <v>0.39958783987561663</v>
      </c>
      <c r="Q29" s="1147">
        <f>+'P01 2022'!ES20</f>
        <v>33733.433339999996</v>
      </c>
      <c r="R29" s="18">
        <f>SUMIF(T$3:$AN$3,"SI",T29:AN29)</f>
        <v>23730.387550999996</v>
      </c>
      <c r="S29" s="594">
        <f t="shared" si="16"/>
        <v>0.70346790117154434</v>
      </c>
      <c r="T29" s="1718">
        <f>+'P01 2023'!I22</f>
        <v>0</v>
      </c>
      <c r="U29" s="1056">
        <v>0</v>
      </c>
      <c r="V29" s="1147">
        <v>0</v>
      </c>
      <c r="W29" s="1176">
        <v>0</v>
      </c>
      <c r="X29" s="546">
        <f>+'P01 2023'!AD21</f>
        <v>7218.0029999999997</v>
      </c>
      <c r="Y29" s="1176">
        <f>+'P01 2022'!AB20</f>
        <v>7737.1592409999994</v>
      </c>
      <c r="Z29" s="1147">
        <v>0</v>
      </c>
      <c r="AA29" s="1176">
        <f>+'P01 2022'!AQ20</f>
        <v>0</v>
      </c>
      <c r="AB29" s="1147">
        <v>0</v>
      </c>
      <c r="AC29" s="1176">
        <v>0</v>
      </c>
      <c r="AD29" s="1147">
        <f>+'P01 2023'!BZ21</f>
        <v>7218.0029999999997</v>
      </c>
      <c r="AE29" s="1176">
        <f>+'P01 2022'!CC20</f>
        <v>8019.9533829999991</v>
      </c>
      <c r="AF29" s="1468">
        <v>0</v>
      </c>
      <c r="AG29" s="1056">
        <v>0</v>
      </c>
      <c r="AH29" s="546">
        <v>0</v>
      </c>
      <c r="AI29" s="1056">
        <v>0</v>
      </c>
      <c r="AJ29" s="1584">
        <f>+'P01 2023'!DX21</f>
        <v>7510.73</v>
      </c>
      <c r="AK29" s="18">
        <f>+'P01 2022'!EJ19</f>
        <v>7973.2749269999995</v>
      </c>
      <c r="AL29" s="323">
        <f>+'P01 2022'!FC19</f>
        <v>0</v>
      </c>
      <c r="AM29" s="18">
        <f>+'P01 2022'!GA20</f>
        <v>0</v>
      </c>
      <c r="AN29" s="1056">
        <f>+'P01 2022'!GX21</f>
        <v>7529.3450000000003</v>
      </c>
      <c r="AY29" s="753"/>
      <c r="AZ29" s="1602"/>
      <c r="BA29" s="1398"/>
      <c r="BB29" s="753"/>
      <c r="BC29" s="1610"/>
      <c r="BD29" s="1610"/>
    </row>
    <row r="30" spans="1:56" ht="15" hidden="1" customHeight="1" x14ac:dyDescent="0.25">
      <c r="B30" s="1413" t="s">
        <v>359</v>
      </c>
      <c r="C30" s="800"/>
      <c r="D30" s="182"/>
      <c r="E30" s="17"/>
      <c r="F30" s="17">
        <v>2</v>
      </c>
      <c r="G30" s="17" t="str">
        <f>+CONCATENATE($C$10,"",$D$11,"",$E$28,"00",F30)</f>
        <v>21.01.003.002</v>
      </c>
      <c r="H30" s="1294" t="s">
        <v>33</v>
      </c>
      <c r="I30" s="1147">
        <f>+'P01 2023'!F23</f>
        <v>37316.449999999997</v>
      </c>
      <c r="J30" s="97">
        <f>+'P01 2023'!EF23</f>
        <v>37316.449999999997</v>
      </c>
      <c r="K30" s="18">
        <f ca="1">SUMIF(T$3:$AN22,"ok",T30:AN30)</f>
        <v>21104.059000000001</v>
      </c>
      <c r="L30" s="694">
        <f t="shared" ca="1" si="15"/>
        <v>0.56554305138886474</v>
      </c>
      <c r="M30" s="18">
        <f>+'P01 2023'!EH23</f>
        <v>21104.059000000001</v>
      </c>
      <c r="N30" s="692">
        <f t="shared" si="13"/>
        <v>0.56554305138886474</v>
      </c>
      <c r="O30" s="18">
        <f>+'P01 2023'!EI23</f>
        <v>16212.391</v>
      </c>
      <c r="P30" s="1154">
        <f t="shared" si="14"/>
        <v>0.43445694861113532</v>
      </c>
      <c r="Q30" s="1147">
        <f>+'P01 2022'!ES21</f>
        <v>34438.197024999994</v>
      </c>
      <c r="R30" s="18">
        <f>SUMIF(T$3:$AN$3,"SI",T30:AN30)</f>
        <v>20981.054980999997</v>
      </c>
      <c r="S30" s="594">
        <f t="shared" si="16"/>
        <v>0.60923790423084734</v>
      </c>
      <c r="T30" s="1718">
        <f>+'P01 2023'!I23</f>
        <v>0</v>
      </c>
      <c r="U30" s="1056">
        <v>0</v>
      </c>
      <c r="V30" s="1147">
        <v>0</v>
      </c>
      <c r="W30" s="1176">
        <v>0</v>
      </c>
      <c r="X30" s="546">
        <f>+'P01 2023'!AD22</f>
        <v>7095.4350000000004</v>
      </c>
      <c r="Y30" s="1176">
        <f>+'P01 2022'!AB21</f>
        <v>7589.1556249999994</v>
      </c>
      <c r="Z30" s="1147">
        <v>0</v>
      </c>
      <c r="AA30" s="1176">
        <f>+'P01 2022'!AQ21</f>
        <v>0</v>
      </c>
      <c r="AB30" s="1147">
        <v>0</v>
      </c>
      <c r="AC30" s="1176">
        <v>0</v>
      </c>
      <c r="AD30" s="1147">
        <f>+'P01 2023'!BZ22</f>
        <v>7095.4350000000004</v>
      </c>
      <c r="AE30" s="1176">
        <f>+'P01 2022'!CC21</f>
        <v>6709.1744609999996</v>
      </c>
      <c r="AF30" s="1468">
        <v>0</v>
      </c>
      <c r="AG30" s="1056">
        <v>0</v>
      </c>
      <c r="AH30" s="546">
        <v>0</v>
      </c>
      <c r="AI30" s="1056">
        <v>0</v>
      </c>
      <c r="AJ30" s="1584">
        <f>+'P01 2023'!DX22</f>
        <v>6913.1890000000003</v>
      </c>
      <c r="AK30" s="18">
        <f>+'P01 2022'!EJ20</f>
        <v>6682.7248949999994</v>
      </c>
      <c r="AL30" s="323">
        <f>+'P01 2022'!FC20</f>
        <v>0</v>
      </c>
      <c r="AM30" s="18">
        <f>+'P01 2022'!GA21</f>
        <v>0</v>
      </c>
      <c r="AN30" s="1056">
        <f>+'P01 2022'!GX22</f>
        <v>6303.0680000000002</v>
      </c>
      <c r="AY30" s="753"/>
      <c r="AZ30" s="1602"/>
      <c r="BA30" s="1398"/>
      <c r="BB30" s="753"/>
      <c r="BC30" s="1610"/>
      <c r="BD30" s="1610"/>
    </row>
    <row r="31" spans="1:56" ht="15" hidden="1" customHeight="1" x14ac:dyDescent="0.25">
      <c r="B31" s="1413" t="s">
        <v>924</v>
      </c>
      <c r="C31" s="800"/>
      <c r="D31" s="182"/>
      <c r="E31" s="17"/>
      <c r="F31" s="17">
        <v>3</v>
      </c>
      <c r="G31" s="17" t="str">
        <f>+CONCATENATE($C$10,"",$D$11,"",$E$28,"00",F31)</f>
        <v>21.01.003.003</v>
      </c>
      <c r="H31" s="1294" t="s">
        <v>931</v>
      </c>
      <c r="I31" s="1147">
        <v>0</v>
      </c>
      <c r="J31" s="97">
        <v>0</v>
      </c>
      <c r="K31" s="18">
        <f ca="1">SUMIF(T$3:$AN21,"ok",T31:AN31)</f>
        <v>0</v>
      </c>
      <c r="L31" s="694">
        <f ca="1">IFERROR(K31/J31,"0,00"%)</f>
        <v>0</v>
      </c>
      <c r="M31" s="97">
        <v>0</v>
      </c>
      <c r="N31" s="694">
        <f t="shared" si="2"/>
        <v>0</v>
      </c>
      <c r="O31" s="97">
        <v>0</v>
      </c>
      <c r="P31" s="1156">
        <f t="shared" si="0"/>
        <v>0</v>
      </c>
      <c r="Q31" s="1733">
        <v>0</v>
      </c>
      <c r="R31" s="997">
        <f ca="1">SUMIF(T$3:$AN22,"SI",T31:AN31)</f>
        <v>0</v>
      </c>
      <c r="S31" s="677">
        <v>0</v>
      </c>
      <c r="T31" s="1718">
        <v>0</v>
      </c>
      <c r="U31" s="1056">
        <v>0</v>
      </c>
      <c r="V31" s="1147">
        <v>0</v>
      </c>
      <c r="W31" s="1176">
        <v>0</v>
      </c>
      <c r="X31" s="546">
        <v>0</v>
      </c>
      <c r="Y31" s="1176">
        <v>0</v>
      </c>
      <c r="Z31" s="1147">
        <v>0</v>
      </c>
      <c r="AA31" s="1176">
        <v>0</v>
      </c>
      <c r="AB31" s="1147">
        <v>0</v>
      </c>
      <c r="AC31" s="1176">
        <v>0</v>
      </c>
      <c r="AD31" s="1147">
        <v>0</v>
      </c>
      <c r="AE31" s="1176">
        <v>0</v>
      </c>
      <c r="AF31" s="1468">
        <v>0</v>
      </c>
      <c r="AG31" s="1056">
        <v>0</v>
      </c>
      <c r="AH31" s="546">
        <v>0</v>
      </c>
      <c r="AI31" s="1056">
        <v>0</v>
      </c>
      <c r="AJ31" s="1584">
        <v>0</v>
      </c>
      <c r="AK31" s="18">
        <v>0</v>
      </c>
      <c r="AL31" s="323"/>
      <c r="AM31" s="18"/>
      <c r="AN31" s="1056">
        <f>+'P01 2022'!GX23</f>
        <v>7.242</v>
      </c>
      <c r="AY31" s="753"/>
      <c r="AZ31" s="1602"/>
      <c r="BA31" s="1398"/>
      <c r="BB31" s="753"/>
      <c r="BC31" s="1610"/>
      <c r="BD31" s="1610"/>
    </row>
    <row r="32" spans="1:56" s="181" customFormat="1" ht="15" hidden="1" customHeight="1" x14ac:dyDescent="0.25">
      <c r="A32" s="175"/>
      <c r="B32" s="1413" t="s">
        <v>360</v>
      </c>
      <c r="C32" s="798"/>
      <c r="D32" s="128"/>
      <c r="E32" s="133" t="s">
        <v>160</v>
      </c>
      <c r="F32" s="133"/>
      <c r="G32" s="133"/>
      <c r="H32" s="1293" t="s">
        <v>34</v>
      </c>
      <c r="I32" s="1145">
        <f>SUM(I33:I36)</f>
        <v>206697.50700000001</v>
      </c>
      <c r="J32" s="127">
        <f>+'P01 2023'!EF24</f>
        <v>207207.56899999999</v>
      </c>
      <c r="K32" s="127">
        <f ca="1">+K33+K34+K35+K36</f>
        <v>95686.512999999992</v>
      </c>
      <c r="L32" s="783">
        <f t="shared" ca="1" si="4"/>
        <v>0.46179062599783699</v>
      </c>
      <c r="M32" s="127">
        <f>+'P01 2023'!EH24</f>
        <v>95686.513000000006</v>
      </c>
      <c r="N32" s="783">
        <f t="shared" si="2"/>
        <v>0.46179062599783705</v>
      </c>
      <c r="O32" s="127">
        <f>+'P01 2023'!EI24</f>
        <v>111521.056</v>
      </c>
      <c r="P32" s="1155">
        <f t="shared" si="0"/>
        <v>0.53820937400216307</v>
      </c>
      <c r="Q32" s="1166">
        <f>+'P01 2022'!ES22</f>
        <v>167948.70625999998</v>
      </c>
      <c r="R32" s="996">
        <f ca="1">SUM(R33:R36)</f>
        <v>100922.58489199998</v>
      </c>
      <c r="S32" s="1732" t="str">
        <f ca="1">IFERROR(R32/#REF!,"0,00%")</f>
        <v>0,00%</v>
      </c>
      <c r="T32" s="1720">
        <f>+'P01 2023'!I24</f>
        <v>10392.494000000001</v>
      </c>
      <c r="U32" s="1055">
        <f t="shared" ref="U32:AK32" si="18">SUM(U33:U35)</f>
        <v>13368.459143</v>
      </c>
      <c r="V32" s="1159">
        <f>+'P01 2023'!N19</f>
        <v>12230.03</v>
      </c>
      <c r="W32" s="1175">
        <f t="shared" si="18"/>
        <v>12423.898602999998</v>
      </c>
      <c r="X32" s="1209">
        <f>SUM(X33:X36)</f>
        <v>10464.899000000001</v>
      </c>
      <c r="Y32" s="1175">
        <f t="shared" si="18"/>
        <v>6349.5551830000004</v>
      </c>
      <c r="Z32" s="1159">
        <f t="shared" si="18"/>
        <v>10513.401</v>
      </c>
      <c r="AA32" s="1175">
        <f t="shared" si="18"/>
        <v>13004.222192999998</v>
      </c>
      <c r="AB32" s="1159">
        <f>SUM(AB33:AB36)</f>
        <v>10556.638000000001</v>
      </c>
      <c r="AC32" s="1175">
        <f>SUM(AC33:AC36)</f>
        <v>9008.6294859999998</v>
      </c>
      <c r="AD32" s="1159">
        <f>+'P01 2023'!BZ23</f>
        <v>10332.888999999999</v>
      </c>
      <c r="AE32" s="1175">
        <f t="shared" si="18"/>
        <v>8340.0386280000002</v>
      </c>
      <c r="AF32" s="1219">
        <f>+'P01 2023'!CP22</f>
        <v>10167.969999999999</v>
      </c>
      <c r="AG32" s="1055">
        <f t="shared" si="18"/>
        <v>15021.59316</v>
      </c>
      <c r="AH32" s="1209">
        <f>+'P01 2023'!DF19</f>
        <v>7367.46</v>
      </c>
      <c r="AI32" s="1055">
        <f t="shared" si="18"/>
        <v>11942.665746999999</v>
      </c>
      <c r="AJ32" s="1583">
        <f>+'P01 2023'!DX23</f>
        <v>13660.732</v>
      </c>
      <c r="AK32" s="132">
        <f t="shared" si="18"/>
        <v>11463.522749</v>
      </c>
      <c r="AL32" s="132">
        <f>SUM(AL33:AL35)</f>
        <v>10972.812999999998</v>
      </c>
      <c r="AM32" s="132">
        <f>+'P01 2022'!GA22</f>
        <v>10909.916999999999</v>
      </c>
      <c r="AN32" s="1055">
        <f>+'P01 2022'!GX24</f>
        <v>10957.088</v>
      </c>
      <c r="AO32" s="1601"/>
      <c r="AP32" s="1401"/>
      <c r="AQ32" s="1401"/>
      <c r="AR32" s="1401"/>
      <c r="AS32" s="1401"/>
      <c r="AT32" s="1401"/>
      <c r="AU32" s="1401"/>
      <c r="AV32" s="1401"/>
      <c r="AW32" s="1401"/>
      <c r="AX32" s="1401"/>
      <c r="AY32" s="753"/>
      <c r="AZ32" s="1602"/>
      <c r="BA32" s="1398"/>
      <c r="BB32" s="753"/>
      <c r="BC32" s="1610"/>
      <c r="BD32" s="1610"/>
    </row>
    <row r="33" spans="1:56" ht="15" hidden="1" customHeight="1" x14ac:dyDescent="0.25">
      <c r="B33" s="1413" t="s">
        <v>567</v>
      </c>
      <c r="C33" s="800"/>
      <c r="D33" s="182"/>
      <c r="E33" s="17"/>
      <c r="F33" s="17">
        <v>4</v>
      </c>
      <c r="G33" s="17" t="str">
        <f>+CONCATENATE($C$10,"",$D$11,"",$E$32,"00",F33)</f>
        <v>21.01.004.004</v>
      </c>
      <c r="H33" s="1294" t="s">
        <v>35</v>
      </c>
      <c r="I33" s="1147">
        <f>+'P01 2023'!F25</f>
        <v>187398.5</v>
      </c>
      <c r="J33" s="97">
        <f>+'P01 2023'!EF25</f>
        <v>187398.5</v>
      </c>
      <c r="K33" s="97">
        <f ca="1">SUMIF(T$3:$AN21,"ok",T33:AN33)</f>
        <v>89506.733999999997</v>
      </c>
      <c r="L33" s="694">
        <f t="shared" ca="1" si="4"/>
        <v>0.47762780385115139</v>
      </c>
      <c r="M33" s="97">
        <f>+'P01 2023'!EH25</f>
        <v>89506.733999999997</v>
      </c>
      <c r="N33" s="694">
        <f t="shared" si="2"/>
        <v>0.47762780385115139</v>
      </c>
      <c r="O33" s="97">
        <f>+'P01 2023'!EI25</f>
        <v>97891.766000000003</v>
      </c>
      <c r="P33" s="1156">
        <f t="shared" si="0"/>
        <v>0.52237219614884856</v>
      </c>
      <c r="Q33" s="1733">
        <f>+'P01 2022'!ES23</f>
        <v>154892.60010000001</v>
      </c>
      <c r="R33" s="997">
        <f ca="1">SUMIF(T$3:$AN22,"SI",T33:AN33)</f>
        <v>94551.523092999982</v>
      </c>
      <c r="S33" s="1734">
        <f t="shared" ca="1" si="8"/>
        <v>0.61043279686671081</v>
      </c>
      <c r="T33" s="1721">
        <f>+'P01 2023'!I25</f>
        <v>9889.3220000000001</v>
      </c>
      <c r="U33" s="1056">
        <f>+'P01 2022'!F23</f>
        <v>12574.538458999999</v>
      </c>
      <c r="V33" s="1147">
        <f>+'P01 2023'!N20</f>
        <v>9889.3220000000001</v>
      </c>
      <c r="W33" s="1176">
        <f>+'P01 2022'!M19</f>
        <v>12072.888561999998</v>
      </c>
      <c r="X33" s="546">
        <f>+'P01 2023'!AD24</f>
        <v>9889.3220000000001</v>
      </c>
      <c r="Y33" s="1176">
        <f>+'P01 2022'!AB23</f>
        <v>5831.3968960000002</v>
      </c>
      <c r="Z33" s="1147">
        <f>+'P01 2023'!AT23</f>
        <v>9889.3220000000001</v>
      </c>
      <c r="AA33" s="1176">
        <f>+'P01 2022'!AQ23</f>
        <v>12419.205457999999</v>
      </c>
      <c r="AB33" s="1147">
        <f>+'P01 2023'!BJ20</f>
        <v>9889.3220000000001</v>
      </c>
      <c r="AC33" s="1176">
        <f>+'P01 2022'!BI19</f>
        <v>8005.7442620000002</v>
      </c>
      <c r="AD33" s="1147">
        <f>+'P01 2023'!BZ24</f>
        <v>9889.3220000000001</v>
      </c>
      <c r="AE33" s="1176">
        <f>+'P01 2022'!CC23</f>
        <v>8005.7442620000002</v>
      </c>
      <c r="AF33" s="1468">
        <f>+'P01 2023'!CP23</f>
        <v>9889.3220000000001</v>
      </c>
      <c r="AG33" s="1056">
        <f>+'P01 2022'!CY23</f>
        <v>13818.130466000001</v>
      </c>
      <c r="AH33" s="546">
        <f>+'P01 2023'!DF20</f>
        <v>7155.3680000000004</v>
      </c>
      <c r="AI33" s="1056">
        <f>+'P01 2022'!DR19</f>
        <v>10911.937363999999</v>
      </c>
      <c r="AJ33" s="1584">
        <f>+'P01 2023'!DX24</f>
        <v>13126.111999999999</v>
      </c>
      <c r="AK33" s="18">
        <f>+'P01 2022'!EJ22</f>
        <v>10911.937363999999</v>
      </c>
      <c r="AL33" s="323">
        <f>+'P01 2022'!FC22</f>
        <v>10265.227999999999</v>
      </c>
      <c r="AM33" s="18">
        <f>+'P01 2022'!GA23</f>
        <v>10265.227999999999</v>
      </c>
      <c r="AN33" s="1056">
        <f>+'P01 2022'!GX25</f>
        <v>10265.227999999999</v>
      </c>
      <c r="AY33" s="753"/>
      <c r="AZ33" s="1602"/>
      <c r="BA33" s="1398"/>
      <c r="BB33" s="753"/>
      <c r="BC33" s="1610"/>
      <c r="BD33" s="1610"/>
    </row>
    <row r="34" spans="1:56" ht="15" hidden="1" customHeight="1" x14ac:dyDescent="0.25">
      <c r="B34" s="1413" t="s">
        <v>568</v>
      </c>
      <c r="C34" s="800"/>
      <c r="D34" s="182"/>
      <c r="E34" s="17"/>
      <c r="F34" s="17">
        <v>5</v>
      </c>
      <c r="G34" s="17" t="str">
        <f>+CONCATENATE($C$10,"",$D$11,"",$E$32,"00",F34)</f>
        <v>21.01.004.005</v>
      </c>
      <c r="H34" s="1294" t="s">
        <v>354</v>
      </c>
      <c r="I34" s="1147">
        <f>+'P01 2023'!F26</f>
        <v>7599</v>
      </c>
      <c r="J34" s="97">
        <f>+'P01 2023'!EF26</f>
        <v>7599</v>
      </c>
      <c r="K34" s="97">
        <f ca="1">SUMIF(T$3:$AN22,"ok",T34:AN34)</f>
        <v>503.41499999999996</v>
      </c>
      <c r="L34" s="694">
        <f t="shared" ca="1" si="4"/>
        <v>6.6247532570074999E-2</v>
      </c>
      <c r="M34" s="97">
        <f>+'P01 2023'!EH26</f>
        <v>503.41500000000002</v>
      </c>
      <c r="N34" s="694">
        <f t="shared" si="2"/>
        <v>6.6247532570075013E-2</v>
      </c>
      <c r="O34" s="97">
        <f>+'P01 2023'!EI26</f>
        <v>7095.585</v>
      </c>
      <c r="P34" s="1156">
        <f t="shared" si="0"/>
        <v>0.93375246742992501</v>
      </c>
      <c r="Q34" s="1733">
        <f>+'P01 2022'!ES24</f>
        <v>3778.3271999999997</v>
      </c>
      <c r="R34" s="997">
        <f ca="1">SUMIF(T$3:$AN24,"SI",T34:AN34)</f>
        <v>0</v>
      </c>
      <c r="S34" s="1734">
        <f t="shared" ca="1" si="8"/>
        <v>0</v>
      </c>
      <c r="T34" s="1721">
        <f>+'P01 2023'!I26</f>
        <v>0</v>
      </c>
      <c r="U34" s="1056">
        <f>+'P01 2022'!F24</f>
        <v>0</v>
      </c>
      <c r="V34" s="1147">
        <f>+'P01 2023'!N21</f>
        <v>29.254999999999999</v>
      </c>
      <c r="W34" s="1176">
        <v>0</v>
      </c>
      <c r="X34" s="546">
        <f>+'P01 2023'!AD25</f>
        <v>40.957000000000001</v>
      </c>
      <c r="Y34" s="1176">
        <v>0</v>
      </c>
      <c r="Z34" s="1147">
        <f>+'P01 2023'!AT24</f>
        <v>152.357</v>
      </c>
      <c r="AA34" s="1344">
        <v>0</v>
      </c>
      <c r="AB34" s="1147">
        <f>+'P01 2023'!BJ21</f>
        <v>117.018</v>
      </c>
      <c r="AC34" s="1176">
        <v>0</v>
      </c>
      <c r="AD34" s="1147">
        <f>+'P01 2023'!BZ25</f>
        <v>81.914000000000001</v>
      </c>
      <c r="AE34" s="1176">
        <v>0</v>
      </c>
      <c r="AF34" s="1468">
        <f>+'P01 2023'!CP24</f>
        <v>58.51</v>
      </c>
      <c r="AG34" s="1056">
        <v>0</v>
      </c>
      <c r="AH34" s="546">
        <f>+'P01 2023'!DF21</f>
        <v>23.404</v>
      </c>
      <c r="AI34" s="1056">
        <v>0</v>
      </c>
      <c r="AJ34" s="1584">
        <f>+'P01 2023'!DX25</f>
        <v>0</v>
      </c>
      <c r="AK34" s="18">
        <v>0</v>
      </c>
      <c r="AL34" s="185">
        <v>0</v>
      </c>
      <c r="AM34" s="18">
        <v>0</v>
      </c>
      <c r="AN34" s="1057">
        <v>0</v>
      </c>
      <c r="AY34" s="753"/>
      <c r="AZ34" s="1602"/>
      <c r="BA34" s="1398"/>
      <c r="BB34" s="753"/>
      <c r="BC34" s="1610"/>
      <c r="BD34" s="1610"/>
    </row>
    <row r="35" spans="1:56" ht="15" hidden="1" customHeight="1" collapsed="1" x14ac:dyDescent="0.25">
      <c r="B35" s="1413" t="s">
        <v>623</v>
      </c>
      <c r="C35" s="800"/>
      <c r="D35" s="182"/>
      <c r="E35" s="17"/>
      <c r="F35" s="17">
        <v>6</v>
      </c>
      <c r="G35" s="17" t="str">
        <f>+CONCATENATE($C$10,"",$D$11,"",$E$32,"00",F35)</f>
        <v>21.01.004.006</v>
      </c>
      <c r="H35" s="1294" t="s">
        <v>37</v>
      </c>
      <c r="I35" s="1147">
        <f>+'P01 2023'!F27</f>
        <v>9200.0069999999996</v>
      </c>
      <c r="J35" s="97">
        <f>+'P01 2023'!EF27</f>
        <v>9710.0689999999995</v>
      </c>
      <c r="K35" s="97">
        <f ca="1">SUMIF(T$3:$AN22,"ok",T35:AN35)</f>
        <v>5503.4439999999995</v>
      </c>
      <c r="L35" s="694">
        <f t="shared" ca="1" si="4"/>
        <v>0.56677702290272081</v>
      </c>
      <c r="M35" s="97">
        <f>+'P01 2023'!EH27</f>
        <v>5503.4440000000004</v>
      </c>
      <c r="N35" s="694">
        <f t="shared" si="2"/>
        <v>0.56677702290272092</v>
      </c>
      <c r="O35" s="97">
        <f>+'P01 2023'!EI27</f>
        <v>4206.625</v>
      </c>
      <c r="P35" s="1156">
        <f t="shared" si="0"/>
        <v>0.43322297709727914</v>
      </c>
      <c r="Q35" s="1733">
        <f>+'P01 2022'!ES25</f>
        <v>9086.5239999999994</v>
      </c>
      <c r="R35" s="997">
        <f ca="1">SUMIF(T$3:$AN25,"SI",T35:AN35)</f>
        <v>6371.0617990000001</v>
      </c>
      <c r="S35" s="1734">
        <f t="shared" ca="1" si="8"/>
        <v>0.70115500701918587</v>
      </c>
      <c r="T35" s="1721">
        <f>+'P01 2023'!I27</f>
        <v>503.17200000000003</v>
      </c>
      <c r="U35" s="1056">
        <f>+'P01 2022'!F25</f>
        <v>793.92068400000005</v>
      </c>
      <c r="V35" s="1147">
        <f>+'P01 2023'!N22</f>
        <v>2311.453</v>
      </c>
      <c r="W35" s="1176">
        <f>+'P01 2022'!M20</f>
        <v>351.010041</v>
      </c>
      <c r="X35" s="546">
        <f>+'P01 2023'!AD26</f>
        <v>534.62</v>
      </c>
      <c r="Y35" s="1176">
        <f>+'P01 2022'!AB24</f>
        <v>518.15828699999997</v>
      </c>
      <c r="Z35" s="1147">
        <f>+'P01 2023'!AT25</f>
        <v>471.72199999999998</v>
      </c>
      <c r="AA35" s="1176">
        <f>+'P01 2022'!AQ24</f>
        <v>585.01673500000004</v>
      </c>
      <c r="AB35" s="1147">
        <f>+'P01 2023'!BJ22</f>
        <v>377.37799999999999</v>
      </c>
      <c r="AC35" s="1176">
        <f>+'P01 2022'!BI20</f>
        <v>1002.8852239999999</v>
      </c>
      <c r="AD35" s="1147">
        <f>+'P01 2023'!BZ26</f>
        <v>361.65300000000002</v>
      </c>
      <c r="AE35" s="1176">
        <f>+'P01 2022'!CC24</f>
        <v>334.29436600000002</v>
      </c>
      <c r="AF35" s="1468">
        <f>+'P01 2023'!CP25</f>
        <v>220.13800000000001</v>
      </c>
      <c r="AG35" s="1056">
        <f>+'P01 2022'!CY24</f>
        <v>1203.4626939999998</v>
      </c>
      <c r="AH35" s="546">
        <f>+'P01 2023'!DF22</f>
        <v>188.68799999999999</v>
      </c>
      <c r="AI35" s="1056">
        <f>+'P01 2022'!DR20</f>
        <v>1030.7283829999999</v>
      </c>
      <c r="AJ35" s="1584">
        <f>+'P01 2023'!DX26</f>
        <v>534.62</v>
      </c>
      <c r="AK35" s="18">
        <f>+'P01 2022'!EJ23</f>
        <v>551.58538499999997</v>
      </c>
      <c r="AL35" s="323">
        <f>+'P01 2022'!FC23</f>
        <v>707.58500000000004</v>
      </c>
      <c r="AM35" s="18">
        <f>+'P01 2022'!GA24</f>
        <v>644.68899999999996</v>
      </c>
      <c r="AN35" s="1056">
        <f>+'P01 2022'!GX26</f>
        <v>691.86</v>
      </c>
      <c r="AY35" s="753"/>
      <c r="AZ35" s="1602"/>
      <c r="BA35" s="1398"/>
      <c r="BB35" s="753"/>
      <c r="BC35" s="1610"/>
      <c r="BD35" s="1610"/>
    </row>
    <row r="36" spans="1:56" ht="15" hidden="1" customHeight="1" x14ac:dyDescent="0.25">
      <c r="B36" s="1413" t="s">
        <v>569</v>
      </c>
      <c r="C36" s="800"/>
      <c r="D36" s="182"/>
      <c r="E36" s="17"/>
      <c r="F36" s="17">
        <v>7</v>
      </c>
      <c r="G36" s="17" t="s">
        <v>206</v>
      </c>
      <c r="H36" s="1294" t="s">
        <v>38</v>
      </c>
      <c r="I36" s="1147">
        <f>+'P01 2023'!F28</f>
        <v>2500</v>
      </c>
      <c r="J36" s="97">
        <f>+'P01 2023'!EF28</f>
        <v>2500</v>
      </c>
      <c r="K36" s="97">
        <f ca="1">SUMIF(T$3:$AN25,"ok",T36:AN36)</f>
        <v>172.92</v>
      </c>
      <c r="L36" s="694">
        <v>0</v>
      </c>
      <c r="M36" s="97">
        <f>+'P01 2023'!EH28</f>
        <v>172.92</v>
      </c>
      <c r="N36" s="694">
        <f t="shared" si="2"/>
        <v>6.9167999999999993E-2</v>
      </c>
      <c r="O36" s="97">
        <f>+'P01 2023'!EI28</f>
        <v>2327.08</v>
      </c>
      <c r="P36" s="1156">
        <f t="shared" si="0"/>
        <v>0.93083199999999999</v>
      </c>
      <c r="Q36" s="1733">
        <f>+'P01 2022'!ES26</f>
        <v>191.25495999999998</v>
      </c>
      <c r="R36" s="997">
        <f ca="1">SUMIF(T$3:$AN26,"SI",T36:AN36)</f>
        <v>0</v>
      </c>
      <c r="S36" s="1734">
        <f ca="1">IFERROR(R36/Q36,"0,00%")</f>
        <v>0</v>
      </c>
      <c r="T36" s="1721">
        <f>+'P01 2023'!I28</f>
        <v>0</v>
      </c>
      <c r="U36" s="1056"/>
      <c r="V36" s="1147">
        <v>0</v>
      </c>
      <c r="W36" s="1176">
        <v>0</v>
      </c>
      <c r="X36" s="546">
        <v>0</v>
      </c>
      <c r="Y36" s="1176">
        <v>0</v>
      </c>
      <c r="Z36" s="1147">
        <v>0</v>
      </c>
      <c r="AA36" s="1176">
        <v>0</v>
      </c>
      <c r="AB36" s="1147">
        <f>+'P01 2023'!BJ23</f>
        <v>172.92</v>
      </c>
      <c r="AC36" s="1176">
        <v>0</v>
      </c>
      <c r="AD36" s="1147">
        <v>0</v>
      </c>
      <c r="AE36" s="1176">
        <v>0</v>
      </c>
      <c r="AF36" s="1468">
        <v>0</v>
      </c>
      <c r="AG36" s="1056">
        <v>0</v>
      </c>
      <c r="AH36" s="546">
        <v>0</v>
      </c>
      <c r="AI36" s="1056">
        <v>0</v>
      </c>
      <c r="AJ36" s="1584">
        <v>0</v>
      </c>
      <c r="AK36" s="18">
        <v>0</v>
      </c>
      <c r="AL36" s="323">
        <f>+'P01 2022'!FC24</f>
        <v>0</v>
      </c>
      <c r="AM36" s="18">
        <f>+'P01 2022'!GA26</f>
        <v>0</v>
      </c>
      <c r="AN36" s="1057">
        <v>0</v>
      </c>
      <c r="AY36" s="753"/>
      <c r="AZ36" s="1602"/>
      <c r="BA36" s="1398"/>
      <c r="BB36" s="753"/>
      <c r="BC36" s="1610"/>
      <c r="BD36" s="1610"/>
    </row>
    <row r="37" spans="1:56" s="181" customFormat="1" ht="15" hidden="1" customHeight="1" x14ac:dyDescent="0.25">
      <c r="A37" s="175"/>
      <c r="B37" s="1413" t="s">
        <v>361</v>
      </c>
      <c r="C37" s="798"/>
      <c r="D37" s="128"/>
      <c r="E37" s="133" t="s">
        <v>161</v>
      </c>
      <c r="F37" s="133"/>
      <c r="G37" s="133"/>
      <c r="H37" s="1293" t="s">
        <v>34</v>
      </c>
      <c r="I37" s="1145">
        <f>+'P01 2023'!F29</f>
        <v>4470.5739999999996</v>
      </c>
      <c r="J37" s="127">
        <f>+'P01 2023'!EF29</f>
        <v>4470.5739999999996</v>
      </c>
      <c r="K37" s="127">
        <f ca="1">+K38+K39+K40</f>
        <v>509.78999999999996</v>
      </c>
      <c r="L37" s="783">
        <f t="shared" ca="1" si="4"/>
        <v>0.11403233678717767</v>
      </c>
      <c r="M37" s="127">
        <f>+'P01 2023'!EH29</f>
        <v>509.79</v>
      </c>
      <c r="N37" s="783">
        <f t="shared" si="2"/>
        <v>0.11403233678717768</v>
      </c>
      <c r="O37" s="127">
        <f>+'P01 2023'!EI29</f>
        <v>3960.7840000000001</v>
      </c>
      <c r="P37" s="1155">
        <f t="shared" si="0"/>
        <v>0.88596766321282239</v>
      </c>
      <c r="Q37" s="1166">
        <f>+'P01 2022'!ES27</f>
        <v>1680.8549310000001</v>
      </c>
      <c r="R37" s="127">
        <f ca="1">SUM(R38:R40)</f>
        <v>1028.688486</v>
      </c>
      <c r="S37" s="1146" t="str">
        <f ca="1">IFERROR(R37/#REF!,"0,00%")</f>
        <v>0,00%</v>
      </c>
      <c r="T37" s="1717">
        <f>SUM(T38:T40)</f>
        <v>0</v>
      </c>
      <c r="U37" s="1055">
        <f>SUM(U38:U40)</f>
        <v>318.89999999999998</v>
      </c>
      <c r="V37" s="1159">
        <v>0</v>
      </c>
      <c r="W37" s="243">
        <v>0</v>
      </c>
      <c r="X37" s="369">
        <f t="shared" ref="X37:AE37" si="19">SUM(X38:X40)</f>
        <v>157.93199999999999</v>
      </c>
      <c r="Y37" s="243">
        <f t="shared" si="19"/>
        <v>251.82257399999997</v>
      </c>
      <c r="Z37" s="1148">
        <f t="shared" si="19"/>
        <v>0</v>
      </c>
      <c r="AA37" s="243">
        <f t="shared" si="19"/>
        <v>0</v>
      </c>
      <c r="AB37" s="1148">
        <v>0</v>
      </c>
      <c r="AC37" s="243">
        <f t="shared" si="19"/>
        <v>0</v>
      </c>
      <c r="AD37" s="1148">
        <f>+'P01 2023'!BZ27</f>
        <v>157.93199999999999</v>
      </c>
      <c r="AE37" s="1175">
        <f t="shared" si="19"/>
        <v>251.82257399999997</v>
      </c>
      <c r="AF37" s="1219">
        <f>+'P01 2023'!CP26</f>
        <v>0</v>
      </c>
      <c r="AG37" s="1055">
        <v>0</v>
      </c>
      <c r="AH37" s="843">
        <v>0</v>
      </c>
      <c r="AI37" s="1071">
        <v>0</v>
      </c>
      <c r="AJ37" s="1593">
        <f>+'P01 2023'!DX27</f>
        <v>193.92599999999999</v>
      </c>
      <c r="AK37" s="16">
        <f>+AK38+AK39+AK40</f>
        <v>206.14333799999997</v>
      </c>
      <c r="AL37" s="132">
        <f>+AL38</f>
        <v>0</v>
      </c>
      <c r="AM37" s="132">
        <v>0</v>
      </c>
      <c r="AN37" s="1055">
        <f>+'P01 2022'!GX27</f>
        <v>2311.346</v>
      </c>
      <c r="AO37" s="1601"/>
      <c r="AP37" s="1401"/>
      <c r="AQ37" s="1401"/>
      <c r="AR37" s="1401"/>
      <c r="AS37" s="1401"/>
      <c r="AT37" s="1401"/>
      <c r="AU37" s="1401"/>
      <c r="AV37" s="1401"/>
      <c r="AW37" s="1401"/>
      <c r="AX37" s="1401"/>
      <c r="AY37" s="753"/>
      <c r="AZ37" s="1602"/>
      <c r="BA37" s="1398"/>
      <c r="BB37" s="753"/>
      <c r="BC37" s="1610"/>
      <c r="BD37" s="1610"/>
    </row>
    <row r="38" spans="1:56" ht="15" hidden="1" customHeight="1" x14ac:dyDescent="0.25">
      <c r="B38" s="1413" t="s">
        <v>362</v>
      </c>
      <c r="C38" s="800"/>
      <c r="D38" s="182"/>
      <c r="E38" s="17"/>
      <c r="F38" s="17">
        <v>1</v>
      </c>
      <c r="G38" s="17" t="str">
        <f>+CONCATENATE($C$10,"",$D$11,"",$E$37,"00",F38)</f>
        <v>21.01.005.001</v>
      </c>
      <c r="H38" s="1294" t="s">
        <v>95</v>
      </c>
      <c r="I38" s="1147">
        <f>+'P01 2023'!F30</f>
        <v>803.73599999999999</v>
      </c>
      <c r="J38" s="97">
        <f>+'P01 2023'!EF30</f>
        <v>803.73599999999999</v>
      </c>
      <c r="K38" s="18">
        <f ca="1">SUMIF(T$3:$AN27,"ok",T38:AN38)</f>
        <v>193.92599999999999</v>
      </c>
      <c r="L38" s="694">
        <f t="shared" ca="1" si="4"/>
        <v>0.24128071904207352</v>
      </c>
      <c r="M38" s="97">
        <f>+'P01 2023'!EH30</f>
        <v>193.92599999999999</v>
      </c>
      <c r="N38" s="694">
        <f t="shared" si="2"/>
        <v>0.24128071904207352</v>
      </c>
      <c r="O38" s="97">
        <f>+'P01 2023'!EI30</f>
        <v>609.80999999999995</v>
      </c>
      <c r="P38" s="1156">
        <f t="shared" si="0"/>
        <v>0.7587192809579264</v>
      </c>
      <c r="Q38" s="1733">
        <f>+'P01 2022'!ES28</f>
        <v>422.84332899999998</v>
      </c>
      <c r="R38" s="997">
        <f ca="1">SUMIF(T$3:$AN28,"SI",T38:AN38)</f>
        <v>206.14333799999997</v>
      </c>
      <c r="S38" s="1734">
        <f t="shared" ca="1" si="8"/>
        <v>0.48751706332347028</v>
      </c>
      <c r="T38" s="1721">
        <f>+'P01 2023'!I30</f>
        <v>0</v>
      </c>
      <c r="U38" s="1056">
        <v>0</v>
      </c>
      <c r="V38" s="1147">
        <v>0</v>
      </c>
      <c r="W38" s="1176">
        <v>0</v>
      </c>
      <c r="X38" s="546">
        <v>0</v>
      </c>
      <c r="Y38" s="1176">
        <v>0</v>
      </c>
      <c r="Z38" s="1147">
        <v>0</v>
      </c>
      <c r="AA38" s="1176">
        <f>+'P01 2022'!AQ26</f>
        <v>0</v>
      </c>
      <c r="AB38" s="1147">
        <v>0</v>
      </c>
      <c r="AC38" s="1176">
        <v>0</v>
      </c>
      <c r="AD38" s="1147">
        <v>0</v>
      </c>
      <c r="AE38" s="1176">
        <v>0</v>
      </c>
      <c r="AF38" s="1468">
        <v>0</v>
      </c>
      <c r="AG38" s="1056">
        <v>0</v>
      </c>
      <c r="AH38" s="546">
        <v>0</v>
      </c>
      <c r="AI38" s="1056">
        <v>0</v>
      </c>
      <c r="AJ38" s="1584">
        <f>+'P01 2023'!DX28</f>
        <v>193.92599999999999</v>
      </c>
      <c r="AK38" s="18">
        <f>+'P01 2022'!EJ25</f>
        <v>206.14333799999997</v>
      </c>
      <c r="AL38" s="185">
        <v>0</v>
      </c>
      <c r="AM38" s="18">
        <v>0</v>
      </c>
      <c r="AN38" s="1056">
        <f>+'P01 2022'!GX28</f>
        <v>426.346</v>
      </c>
      <c r="AY38" s="753"/>
      <c r="AZ38" s="1602"/>
      <c r="BA38" s="1398"/>
      <c r="BB38" s="753"/>
      <c r="BC38" s="1610"/>
      <c r="BD38" s="1610"/>
    </row>
    <row r="39" spans="1:56" ht="15" hidden="1" customHeight="1" x14ac:dyDescent="0.25">
      <c r="B39" s="1413" t="s">
        <v>481</v>
      </c>
      <c r="C39" s="800"/>
      <c r="D39" s="182"/>
      <c r="E39" s="17"/>
      <c r="F39" s="17">
        <v>2</v>
      </c>
      <c r="G39" s="17" t="str">
        <f>+CONCATENATE($C$10,"",$D$11,"",$E$37,"00",F39)</f>
        <v>21.01.005.002</v>
      </c>
      <c r="H39" s="1294" t="s">
        <v>96</v>
      </c>
      <c r="I39" s="1147">
        <f>+'P01 2023'!F31</f>
        <v>545.73800000000006</v>
      </c>
      <c r="J39" s="97">
        <f>+'P01 2023'!EF31</f>
        <v>545.73800000000006</v>
      </c>
      <c r="K39" s="18">
        <f ca="1">SUMIF(T$3:$AN28,"ok",T39:AN39)</f>
        <v>315.86399999999998</v>
      </c>
      <c r="L39" s="694">
        <f t="shared" ca="1" si="4"/>
        <v>0.57878322565040352</v>
      </c>
      <c r="M39" s="97">
        <f>+'P01 2023'!EH31</f>
        <v>315.86399999999998</v>
      </c>
      <c r="N39" s="694">
        <f t="shared" si="2"/>
        <v>0.57878322565040352</v>
      </c>
      <c r="O39" s="97">
        <f>+'P01 2023'!EI31</f>
        <v>229.874</v>
      </c>
      <c r="P39" s="1156">
        <f t="shared" si="0"/>
        <v>0.42121677434959626</v>
      </c>
      <c r="Q39" s="1733">
        <f>+'P01 2022'!ES29</f>
        <v>503.64514799999995</v>
      </c>
      <c r="R39" s="997">
        <f ca="1">SUMIF(T$3:$AN29,"SI",T39:AN39)</f>
        <v>503.64514799999995</v>
      </c>
      <c r="S39" s="1734">
        <f t="shared" ca="1" si="8"/>
        <v>1</v>
      </c>
      <c r="T39" s="1721">
        <f>+'P01 2023'!I31</f>
        <v>0</v>
      </c>
      <c r="U39" s="1056">
        <v>0</v>
      </c>
      <c r="V39" s="1147">
        <v>0</v>
      </c>
      <c r="W39" s="1176">
        <v>0</v>
      </c>
      <c r="X39" s="546">
        <f>+'P01 2023'!AD28</f>
        <v>157.93199999999999</v>
      </c>
      <c r="Y39" s="1176">
        <f>+'P01 2022'!AB26</f>
        <v>251.82257399999997</v>
      </c>
      <c r="Z39" s="1147">
        <f>+'P01 2023'!AT27</f>
        <v>0</v>
      </c>
      <c r="AA39" s="1344">
        <v>0</v>
      </c>
      <c r="AB39" s="1346">
        <v>0</v>
      </c>
      <c r="AC39" s="1176">
        <v>0</v>
      </c>
      <c r="AD39" s="1147">
        <f>+'P01 2023'!BZ28</f>
        <v>157.93199999999999</v>
      </c>
      <c r="AE39" s="1176">
        <f>+'P01 2022'!CC27</f>
        <v>251.82257399999997</v>
      </c>
      <c r="AF39" s="1468">
        <v>0</v>
      </c>
      <c r="AG39" s="1056">
        <v>0</v>
      </c>
      <c r="AH39" s="546">
        <v>0</v>
      </c>
      <c r="AI39" s="1056">
        <v>0</v>
      </c>
      <c r="AJ39" s="1584">
        <v>0</v>
      </c>
      <c r="AK39" s="18">
        <v>0</v>
      </c>
      <c r="AL39" s="185">
        <v>0</v>
      </c>
      <c r="AM39" s="18">
        <v>0</v>
      </c>
      <c r="AN39" s="1057">
        <v>0</v>
      </c>
      <c r="AY39" s="753"/>
      <c r="AZ39" s="1602"/>
      <c r="BA39" s="1398"/>
      <c r="BB39" s="753"/>
      <c r="BC39" s="1610"/>
      <c r="BD39" s="1610"/>
    </row>
    <row r="40" spans="1:56" ht="15" hidden="1" customHeight="1" x14ac:dyDescent="0.25">
      <c r="B40" s="1413" t="s">
        <v>363</v>
      </c>
      <c r="C40" s="800"/>
      <c r="D40" s="182"/>
      <c r="E40" s="17"/>
      <c r="F40" s="17">
        <v>3</v>
      </c>
      <c r="G40" s="17" t="str">
        <f>+CONCATENATE($C$10,"",$D$11,"",$E$37,"00",F40)</f>
        <v>21.01.005.003</v>
      </c>
      <c r="H40" s="1294" t="s">
        <v>97</v>
      </c>
      <c r="I40" s="1147">
        <f>+'P01 2023'!F32</f>
        <v>3121.1</v>
      </c>
      <c r="J40" s="97">
        <f>+'P01 2023'!EF32</f>
        <v>3121.1</v>
      </c>
      <c r="K40" s="18">
        <f ca="1">SUMIF(T$3:$AN29,"ok",T40:AN40)</f>
        <v>0</v>
      </c>
      <c r="L40" s="694">
        <f t="shared" ca="1" si="4"/>
        <v>0</v>
      </c>
      <c r="M40" s="97">
        <f>+'P01 2023'!EH32</f>
        <v>0</v>
      </c>
      <c r="N40" s="694">
        <f t="shared" si="2"/>
        <v>0</v>
      </c>
      <c r="O40" s="97">
        <f>+'P01 2023'!EI32</f>
        <v>3121.1</v>
      </c>
      <c r="P40" s="1156">
        <f t="shared" si="0"/>
        <v>1</v>
      </c>
      <c r="Q40" s="1733">
        <f>+'P01 2022'!ES30</f>
        <v>754.36645399999998</v>
      </c>
      <c r="R40" s="997">
        <f ca="1">SUMIF(T$3:$AN30,"SI",T40:AN40)</f>
        <v>318.89999999999998</v>
      </c>
      <c r="S40" s="1734">
        <f t="shared" ca="1" si="8"/>
        <v>0.4227388403991782</v>
      </c>
      <c r="T40" s="1721">
        <f>+'P01 2023'!I32</f>
        <v>0</v>
      </c>
      <c r="U40" s="1056">
        <f>+'P01 2022'!F29</f>
        <v>318.89999999999998</v>
      </c>
      <c r="V40" s="1147">
        <v>0</v>
      </c>
      <c r="W40" s="1176">
        <v>0</v>
      </c>
      <c r="X40" s="546">
        <v>0</v>
      </c>
      <c r="Y40" s="1176">
        <v>0</v>
      </c>
      <c r="Z40" s="1147">
        <v>0</v>
      </c>
      <c r="AA40" s="1344">
        <v>0</v>
      </c>
      <c r="AB40" s="1346">
        <v>0</v>
      </c>
      <c r="AC40" s="1176">
        <v>0</v>
      </c>
      <c r="AD40" s="1147">
        <v>0</v>
      </c>
      <c r="AE40" s="1176">
        <v>0</v>
      </c>
      <c r="AF40" s="1468">
        <v>0</v>
      </c>
      <c r="AG40" s="1056">
        <v>0</v>
      </c>
      <c r="AH40" s="546">
        <v>0</v>
      </c>
      <c r="AI40" s="1056">
        <v>0</v>
      </c>
      <c r="AJ40" s="1584">
        <v>0</v>
      </c>
      <c r="AK40" s="18">
        <v>0</v>
      </c>
      <c r="AL40" s="185">
        <v>0</v>
      </c>
      <c r="AM40" s="18">
        <v>0</v>
      </c>
      <c r="AN40" s="1056">
        <f>+'P01 2022'!GX29</f>
        <v>1885</v>
      </c>
      <c r="AY40" s="753"/>
      <c r="AZ40" s="1602"/>
      <c r="BA40" s="1398"/>
      <c r="BB40" s="753"/>
      <c r="BC40" s="1610"/>
      <c r="BD40" s="1610"/>
    </row>
    <row r="41" spans="1:56" s="181" customFormat="1" ht="15" hidden="1" customHeight="1" x14ac:dyDescent="0.25">
      <c r="A41" s="175"/>
      <c r="B41" s="1413" t="s">
        <v>364</v>
      </c>
      <c r="C41" s="798"/>
      <c r="D41" s="128" t="s">
        <v>162</v>
      </c>
      <c r="E41" s="133"/>
      <c r="F41" s="133"/>
      <c r="G41" s="133"/>
      <c r="H41" s="1293" t="s">
        <v>39</v>
      </c>
      <c r="I41" s="1145">
        <f>+'P01 2023'!F33</f>
        <v>14824050.877</v>
      </c>
      <c r="J41" s="127">
        <f>+'P01 2023'!EF33</f>
        <v>14755492.814999999</v>
      </c>
      <c r="K41" s="127">
        <f ca="1">SUMIF(T$3:$AN30,"ok",T41:AN41)</f>
        <v>12091614.278000001</v>
      </c>
      <c r="L41" s="783">
        <f t="shared" ca="1" si="4"/>
        <v>0.81946529537176971</v>
      </c>
      <c r="M41" s="127">
        <f>+'P01 2023'!EH33</f>
        <v>12091614.278000001</v>
      </c>
      <c r="N41" s="783">
        <f t="shared" si="2"/>
        <v>0.81946529537176971</v>
      </c>
      <c r="O41" s="127">
        <f>+'P01 2023'!EI33</f>
        <v>2663878.537</v>
      </c>
      <c r="P41" s="1155">
        <f t="shared" si="0"/>
        <v>0.18053470462823035</v>
      </c>
      <c r="Q41" s="1166">
        <f>+'P01 2022'!ES31</f>
        <v>14179531.170423999</v>
      </c>
      <c r="R41" s="127">
        <f ca="1">SUMIF(T$3:$AN33,"SI",T41:AN41)</f>
        <v>11020145.916719999</v>
      </c>
      <c r="S41" s="1146">
        <f t="shared" ca="1" si="8"/>
        <v>0.77718690302723681</v>
      </c>
      <c r="T41" s="1722">
        <f t="shared" ref="T41:AL41" si="20">+T42+T56+T59+T63+T68</f>
        <v>1046906.3829999999</v>
      </c>
      <c r="U41" s="1161">
        <f t="shared" si="20"/>
        <v>974562.94219899992</v>
      </c>
      <c r="V41" s="1160">
        <f>+'P01 2023'!N23</f>
        <v>1070462.6089999999</v>
      </c>
      <c r="W41" s="1178">
        <f t="shared" si="20"/>
        <v>953065.47543999995</v>
      </c>
      <c r="X41" s="1210">
        <f>+'P01 2023'!AD29</f>
        <v>1880957.31</v>
      </c>
      <c r="Y41" s="1178">
        <f t="shared" si="20"/>
        <v>1672669.1804439998</v>
      </c>
      <c r="Z41" s="1280">
        <f>+Z42+Z56+Z59+Z63+Z68</f>
        <v>1076451.5189999999</v>
      </c>
      <c r="AA41" s="1178">
        <f>+AA42+AA56+AA59+AA63+AA68</f>
        <v>924292.85687799996</v>
      </c>
      <c r="AB41" s="1280">
        <f t="shared" si="20"/>
        <v>1060147.1059999999</v>
      </c>
      <c r="AC41" s="1178">
        <f t="shared" si="20"/>
        <v>993093.60359600012</v>
      </c>
      <c r="AD41" s="1280">
        <f>+'P01 2023'!BZ29</f>
        <v>1886118.102</v>
      </c>
      <c r="AE41" s="1178">
        <f t="shared" si="20"/>
        <v>1760651.48153</v>
      </c>
      <c r="AF41" s="1219">
        <f>+'P01 2023'!CP28</f>
        <v>1068160.7069999999</v>
      </c>
      <c r="AG41" s="1072">
        <f t="shared" si="20"/>
        <v>986437.50578799995</v>
      </c>
      <c r="AH41" s="1210">
        <f>+'P01 2023'!DF23</f>
        <v>1086045.7180000001</v>
      </c>
      <c r="AI41" s="1072">
        <f t="shared" si="20"/>
        <v>993905.67075299995</v>
      </c>
      <c r="AJ41" s="1586">
        <f>+'P01 2023'!DX29</f>
        <v>1916364.824</v>
      </c>
      <c r="AK41" s="186">
        <f t="shared" si="20"/>
        <v>1761467.2000919995</v>
      </c>
      <c r="AL41" s="186">
        <f t="shared" si="20"/>
        <v>934348.56599999988</v>
      </c>
      <c r="AM41" s="186">
        <f>+'P01 2022'!GA27</f>
        <v>949342.005</v>
      </c>
      <c r="AN41" s="1055">
        <f>+'P01 2022'!GX30</f>
        <v>1873565.4509999999</v>
      </c>
      <c r="AO41" s="1601"/>
      <c r="AP41" s="1401"/>
      <c r="AQ41" s="1401"/>
      <c r="AR41" s="1401"/>
      <c r="AS41" s="1401"/>
      <c r="AT41" s="1401"/>
      <c r="AU41" s="1401"/>
      <c r="AV41" s="1401"/>
      <c r="AW41" s="1401"/>
      <c r="AX41" s="1401"/>
      <c r="AY41" s="753"/>
      <c r="AZ41" s="1602"/>
      <c r="BA41" s="1398"/>
      <c r="BB41" s="753"/>
      <c r="BC41" s="1610"/>
      <c r="BD41" s="1610"/>
    </row>
    <row r="42" spans="1:56" s="181" customFormat="1" ht="15" hidden="1" customHeight="1" x14ac:dyDescent="0.25">
      <c r="A42" s="175"/>
      <c r="B42" s="1413" t="s">
        <v>365</v>
      </c>
      <c r="C42" s="798"/>
      <c r="D42" s="128"/>
      <c r="E42" s="133" t="s">
        <v>156</v>
      </c>
      <c r="F42" s="133"/>
      <c r="G42" s="133"/>
      <c r="H42" s="1293" t="s">
        <v>18</v>
      </c>
      <c r="I42" s="1145">
        <f>+'P01 2023'!F34</f>
        <v>12418776.130000001</v>
      </c>
      <c r="J42" s="127">
        <f>+'P01 2023'!EF34</f>
        <v>12275728.169</v>
      </c>
      <c r="K42" s="127">
        <f ca="1">SUMIF(T$3:$AN31,"ok",T42:AN42)</f>
        <v>10281690.256999999</v>
      </c>
      <c r="L42" s="783">
        <f t="shared" ca="1" si="4"/>
        <v>0.83756255559360127</v>
      </c>
      <c r="M42" s="127">
        <f>+'P01 2023'!EH34</f>
        <v>10281690.256999999</v>
      </c>
      <c r="N42" s="783">
        <f t="shared" si="2"/>
        <v>0.83756255559360127</v>
      </c>
      <c r="O42" s="127">
        <f>+'P01 2023'!EI34</f>
        <v>1994037.912</v>
      </c>
      <c r="P42" s="1155">
        <f t="shared" si="0"/>
        <v>0.16243744440639871</v>
      </c>
      <c r="Q42" s="1166">
        <f>+'P01 2022'!ES32</f>
        <v>11924055.795369999</v>
      </c>
      <c r="R42" s="127">
        <f ca="1">SUM(R43:R55)</f>
        <v>9364270.7554389983</v>
      </c>
      <c r="S42" s="1146">
        <f t="shared" ca="1" si="8"/>
        <v>0.78532597600516585</v>
      </c>
      <c r="T42" s="1722">
        <f>SUM(T43:T55)</f>
        <v>984236.06599999988</v>
      </c>
      <c r="U42" s="1161">
        <f>SUM(U43:U55)</f>
        <v>894566.24152499996</v>
      </c>
      <c r="V42" s="1160">
        <f>+'P01 2023'!N24</f>
        <v>988181.99100000004</v>
      </c>
      <c r="W42" s="1178">
        <f t="shared" ref="W42:AK42" si="21">SUM(W43:W53)</f>
        <v>892938.27828499989</v>
      </c>
      <c r="X42" s="1210">
        <f>+'P01 2023'!AD30</f>
        <v>1432801.1680000001</v>
      </c>
      <c r="Y42" s="1178">
        <f t="shared" si="21"/>
        <v>1277221.431105</v>
      </c>
      <c r="Z42" s="1280">
        <f>SUM(Z43:Z55)</f>
        <v>998134.55099999998</v>
      </c>
      <c r="AA42" s="1178">
        <f>SUM(AA43:AA55)</f>
        <v>853796.41893799999</v>
      </c>
      <c r="AB42" s="1280">
        <f>SUM(AB43:AB55)</f>
        <v>984029.15499999991</v>
      </c>
      <c r="AC42" s="1178">
        <f>SUM(AC43:AC55)</f>
        <v>919046.40974800009</v>
      </c>
      <c r="AD42" s="1280">
        <f>+'P01 2023'!BZ30</f>
        <v>1438031.6980000001</v>
      </c>
      <c r="AE42" s="1178">
        <f t="shared" si="21"/>
        <v>1354712.5493610001</v>
      </c>
      <c r="AF42" s="1219">
        <f>+'P01 2023'!CP29</f>
        <v>994291.64800000004</v>
      </c>
      <c r="AG42" s="1072">
        <f t="shared" si="21"/>
        <v>908091.51336500002</v>
      </c>
      <c r="AH42" s="1210">
        <f>+'P01 2023'!DF24</f>
        <v>1006679.133</v>
      </c>
      <c r="AI42" s="1072">
        <f t="shared" si="21"/>
        <v>916323.59371299995</v>
      </c>
      <c r="AJ42" s="1586">
        <f>+'P01 2023'!DX30</f>
        <v>1455304.8470000001</v>
      </c>
      <c r="AK42" s="186">
        <f t="shared" si="21"/>
        <v>1347574.3193989997</v>
      </c>
      <c r="AL42" s="186">
        <f>SUM(AL43:AL53)</f>
        <v>870184.90799999994</v>
      </c>
      <c r="AM42" s="186">
        <f>+'P01 2022'!GA28</f>
        <v>868598.14300000004</v>
      </c>
      <c r="AN42" s="1055">
        <f>+'P01 2022'!GX31</f>
        <v>1388275.041</v>
      </c>
      <c r="AO42" s="1601"/>
      <c r="AP42" s="1401"/>
      <c r="AQ42" s="1401"/>
      <c r="AR42" s="1401"/>
      <c r="AS42" s="1401"/>
      <c r="AT42" s="1401"/>
      <c r="AU42" s="1401"/>
      <c r="AV42" s="1401"/>
      <c r="AW42" s="1401"/>
      <c r="AX42" s="1401"/>
      <c r="AY42" s="753"/>
      <c r="AZ42" s="1602"/>
      <c r="BA42" s="1398"/>
      <c r="BB42" s="753"/>
      <c r="BC42" s="1610"/>
      <c r="BD42" s="1610"/>
    </row>
    <row r="43" spans="1:56" ht="15" hidden="1" customHeight="1" x14ac:dyDescent="0.25">
      <c r="B43" s="1413" t="s">
        <v>366</v>
      </c>
      <c r="C43" s="800"/>
      <c r="D43" s="182"/>
      <c r="E43" s="17"/>
      <c r="F43" s="17">
        <v>1</v>
      </c>
      <c r="G43" s="17" t="str">
        <f t="shared" ref="G43:G48" si="22">+CONCATENATE($C$10,"",$D$41,"",$E$42,"00",F43)</f>
        <v>21.02.001.001</v>
      </c>
      <c r="H43" s="1294" t="s">
        <v>625</v>
      </c>
      <c r="I43" s="1147">
        <f>+'P01 2023'!F35</f>
        <v>2971337.7</v>
      </c>
      <c r="J43" s="97">
        <f>+'P01 2023'!EF35</f>
        <v>2284444.9389999998</v>
      </c>
      <c r="K43" s="18">
        <f ca="1">SUMIF(T$3:$AN33,"ok",T43:AN43)</f>
        <v>2127893.423</v>
      </c>
      <c r="L43" s="694">
        <f t="shared" ca="1" si="4"/>
        <v>0.93147065471907187</v>
      </c>
      <c r="M43" s="97">
        <f>+'P01 2023'!EH35</f>
        <v>2127893.423</v>
      </c>
      <c r="N43" s="694">
        <f t="shared" si="2"/>
        <v>0.93147065471907187</v>
      </c>
      <c r="O43" s="97">
        <f>+'P01 2023'!EI35</f>
        <v>156551.516</v>
      </c>
      <c r="P43" s="1156">
        <f t="shared" si="0"/>
        <v>6.8529345280928231E-2</v>
      </c>
      <c r="Q43" s="1733">
        <f>+'P01 2022'!ES33</f>
        <v>2696615.1801729999</v>
      </c>
      <c r="R43" s="997">
        <f ca="1">SUMIF(T$3:$AN35,"SI",T43:AN43)</f>
        <v>1970129.9969119998</v>
      </c>
      <c r="S43" s="1734">
        <f t="shared" ca="1" si="8"/>
        <v>0.7305936758783681</v>
      </c>
      <c r="T43" s="1721">
        <f>+'P01 2023'!I35</f>
        <v>234118.86799999999</v>
      </c>
      <c r="U43" s="1056">
        <f>+'P01 2022'!F32</f>
        <v>216454.09146199998</v>
      </c>
      <c r="V43" s="1147">
        <f>+'P01 2023'!N25</f>
        <v>234821.625</v>
      </c>
      <c r="W43" s="1176">
        <f>+'P01 2022'!M23</f>
        <v>215905.22310499998</v>
      </c>
      <c r="X43" s="546">
        <f>+'P01 2023'!AD31</f>
        <v>235453.35699999999</v>
      </c>
      <c r="Y43" s="1176">
        <f>+'P01 2022'!AB29</f>
        <v>214278.72042699999</v>
      </c>
      <c r="Z43" s="1147">
        <f>+'P01 2023'!AT30</f>
        <v>237138.59700000001</v>
      </c>
      <c r="AA43" s="1176">
        <f>+'P01 2022'!AQ29</f>
        <v>208440.08343799997</v>
      </c>
      <c r="AB43" s="1147">
        <f>+'P01 2023'!BJ26</f>
        <v>234249.68299999999</v>
      </c>
      <c r="AC43" s="1176">
        <f>+'P01 2022'!BI23</f>
        <v>222384.85972399998</v>
      </c>
      <c r="AD43" s="1147">
        <f>+'P01 2023'!BZ31</f>
        <v>235691.223</v>
      </c>
      <c r="AE43" s="1176">
        <f>+'P01 2022'!CC30</f>
        <v>228927.05920799999</v>
      </c>
      <c r="AF43" s="1468">
        <f>+'P01 2023'!CP30</f>
        <v>236174.02499999999</v>
      </c>
      <c r="AG43" s="1056">
        <f>+'P01 2022'!CY29</f>
        <v>219525.71393899998</v>
      </c>
      <c r="AH43" s="1606">
        <f>+'P01 2023'!DF25</f>
        <v>238879.85</v>
      </c>
      <c r="AI43" s="1056">
        <f>+'P01 2022'!DR23</f>
        <v>221500.15883999999</v>
      </c>
      <c r="AJ43" s="1584">
        <f>+'P01 2023'!DX31</f>
        <v>241366.19500000001</v>
      </c>
      <c r="AK43" s="18">
        <f>+'P01 2022'!EJ28</f>
        <v>222714.08676899999</v>
      </c>
      <c r="AL43" s="323">
        <f>+'P01 2022'!FC28</f>
        <v>209952.193</v>
      </c>
      <c r="AM43" s="18">
        <f>+'P01 2022'!GA29</f>
        <v>209554.28</v>
      </c>
      <c r="AN43" s="1056">
        <f>+'P01 2022'!GX32</f>
        <v>230627.83300000001</v>
      </c>
      <c r="AY43" s="753"/>
      <c r="AZ43" s="1602"/>
      <c r="BA43" s="1398"/>
      <c r="BB43" s="753"/>
      <c r="BC43" s="1610"/>
      <c r="BD43" s="1610"/>
    </row>
    <row r="44" spans="1:56" ht="15" hidden="1" customHeight="1" x14ac:dyDescent="0.25">
      <c r="B44" s="1413" t="s">
        <v>570</v>
      </c>
      <c r="C44" s="800"/>
      <c r="D44" s="182"/>
      <c r="E44" s="17"/>
      <c r="F44" s="17">
        <v>2</v>
      </c>
      <c r="G44" s="17" t="str">
        <f t="shared" si="22"/>
        <v>21.02.001.002</v>
      </c>
      <c r="H44" s="1294" t="s">
        <v>19</v>
      </c>
      <c r="I44" s="1147">
        <f>+'P01 2023'!F36</f>
        <v>126648.201</v>
      </c>
      <c r="J44" s="97">
        <f>+'P01 2023'!EF36</f>
        <v>126648.201</v>
      </c>
      <c r="K44" s="18">
        <f ca="1">SUMIF(T$3:$AN34,"ok",T44:AN44)</f>
        <v>93440.675999999992</v>
      </c>
      <c r="L44" s="694">
        <f t="shared" ca="1" si="4"/>
        <v>0.7377971045952717</v>
      </c>
      <c r="M44" s="97">
        <f>+'P01 2023'!EH36</f>
        <v>93440.676000000007</v>
      </c>
      <c r="N44" s="694">
        <f t="shared" ref="N44:N76" si="23">+IFERROR(M44/J44,0)</f>
        <v>0.73779710459527181</v>
      </c>
      <c r="O44" s="97">
        <f>+'P01 2023'!EI36</f>
        <v>33207.525000000001</v>
      </c>
      <c r="P44" s="1156">
        <f t="shared" ref="P44:P76" si="24">+IFERROR(O44/J44,0)</f>
        <v>0.26220289540472824</v>
      </c>
      <c r="Q44" s="1733">
        <f>+'P01 2022'!ES34</f>
        <v>100952.095898</v>
      </c>
      <c r="R44" s="997">
        <f ca="1">SUMIF(T$3:$AN36,"SI",T44:AN44)</f>
        <v>86428.089848999996</v>
      </c>
      <c r="S44" s="1734">
        <f t="shared" ca="1" si="8"/>
        <v>0.85612972252032515</v>
      </c>
      <c r="T44" s="1721">
        <f>+'P01 2023'!I36</f>
        <v>9785.93</v>
      </c>
      <c r="U44" s="1056">
        <f>+'P01 2022'!F33</f>
        <v>9235.7904600000002</v>
      </c>
      <c r="V44" s="1147">
        <f>+'P01 2023'!N26</f>
        <v>9990.5939999999991</v>
      </c>
      <c r="W44" s="1176">
        <f>+'P01 2022'!M24</f>
        <v>9336.5447889999996</v>
      </c>
      <c r="X44" s="546">
        <f>+'P01 2023'!AD32</f>
        <v>10184.384</v>
      </c>
      <c r="Y44" s="1176">
        <f>+'P01 2022'!AB30</f>
        <v>9322.3324790000006</v>
      </c>
      <c r="Z44" s="1147">
        <f>+'P01 2023'!AT31</f>
        <v>10293.192999999999</v>
      </c>
      <c r="AA44" s="1176">
        <f>+'P01 2022'!AQ30</f>
        <v>9251.4984110000005</v>
      </c>
      <c r="AB44" s="1147">
        <f>+'P01 2023'!BJ27</f>
        <v>10383.011</v>
      </c>
      <c r="AC44" s="1176">
        <f>+'P01 2022'!BI24</f>
        <v>9562.0389790000008</v>
      </c>
      <c r="AD44" s="1147">
        <f>+'P01 2023'!BZ32</f>
        <v>10617.868</v>
      </c>
      <c r="AE44" s="1176">
        <f>+'P01 2022'!CC31</f>
        <v>9798.4236039999996</v>
      </c>
      <c r="AF44" s="1468">
        <f>+'P01 2023'!CP31</f>
        <v>10638.509</v>
      </c>
      <c r="AG44" s="1056">
        <f>+'P01 2022'!CY30</f>
        <v>9667.3588929999987</v>
      </c>
      <c r="AH44" s="1606">
        <f>+'P01 2023'!DF26</f>
        <v>10722.941999999999</v>
      </c>
      <c r="AI44" s="1056">
        <f>+'P01 2022'!DR24</f>
        <v>9302.1620540000004</v>
      </c>
      <c r="AJ44" s="1584">
        <f>+'P01 2023'!DX32</f>
        <v>10824.245000000001</v>
      </c>
      <c r="AK44" s="18">
        <f>+'P01 2022'!EJ29</f>
        <v>10951.94018</v>
      </c>
      <c r="AL44" s="323">
        <f>+'P01 2022'!FC29</f>
        <v>9152.2350000000006</v>
      </c>
      <c r="AM44" s="18">
        <f>+'P01 2022'!GA30</f>
        <v>9247.3140000000003</v>
      </c>
      <c r="AN44" s="1056">
        <f>+'P01 2022'!GX33</f>
        <v>10238.334999999999</v>
      </c>
      <c r="AY44" s="753"/>
      <c r="AZ44" s="1602"/>
      <c r="BA44" s="1398"/>
      <c r="BB44" s="753"/>
      <c r="BC44" s="1610"/>
      <c r="BD44" s="1610"/>
    </row>
    <row r="45" spans="1:56" ht="15" hidden="1" customHeight="1" x14ac:dyDescent="0.25">
      <c r="B45" s="1413" t="s">
        <v>367</v>
      </c>
      <c r="C45" s="800"/>
      <c r="D45" s="182"/>
      <c r="E45" s="17"/>
      <c r="F45" s="17">
        <v>3</v>
      </c>
      <c r="G45" s="17" t="str">
        <f t="shared" si="22"/>
        <v>21.02.001.003</v>
      </c>
      <c r="H45" s="1294" t="s">
        <v>20</v>
      </c>
      <c r="I45" s="1147">
        <f>+'P01 2023'!F37</f>
        <v>1992107.1370000001</v>
      </c>
      <c r="J45" s="97">
        <f>+'P01 2023'!EF37</f>
        <v>1992107.1370000001</v>
      </c>
      <c r="K45" s="18">
        <f ca="1">SUMIF(T$3:$AN35,"ok",T45:AN45)</f>
        <v>1494781.2219999998</v>
      </c>
      <c r="L45" s="694">
        <f t="shared" ca="1" si="4"/>
        <v>0.75035182307064829</v>
      </c>
      <c r="M45" s="97">
        <f>+'P01 2023'!EH37</f>
        <v>1494781.2220000001</v>
      </c>
      <c r="N45" s="694">
        <f t="shared" si="23"/>
        <v>0.7503518230706484</v>
      </c>
      <c r="O45" s="97">
        <f>+'P01 2023'!EI37</f>
        <v>497325.91499999998</v>
      </c>
      <c r="P45" s="1156">
        <f t="shared" si="24"/>
        <v>0.24964817692935154</v>
      </c>
      <c r="Q45" s="1733">
        <f>+'P01 2022'!ES35</f>
        <v>1656983.7639810001</v>
      </c>
      <c r="R45" s="997">
        <f ca="1">SUMIF(T$3:$AN37,"SI",T45:AN45)</f>
        <v>1356092.5689139997</v>
      </c>
      <c r="S45" s="1734">
        <f t="shared" ca="1" si="8"/>
        <v>0.81841029368683027</v>
      </c>
      <c r="T45" s="1721">
        <f>+'P01 2023'!I37</f>
        <v>163949.74</v>
      </c>
      <c r="U45" s="1056">
        <f>+'P01 2022'!F34</f>
        <v>147115.43379099999</v>
      </c>
      <c r="V45" s="1147">
        <f>+'P01 2023'!N27</f>
        <v>164750.16899999999</v>
      </c>
      <c r="W45" s="1176">
        <f>+'P01 2022'!M25</f>
        <v>147030.169498</v>
      </c>
      <c r="X45" s="546">
        <f>+'P01 2023'!AD33</f>
        <v>165216.68599999999</v>
      </c>
      <c r="Y45" s="1176">
        <f>+'P01 2022'!AB31</f>
        <v>145872.86439</v>
      </c>
      <c r="Z45" s="1147">
        <f>+'P01 2023'!AT32</f>
        <v>166452.66399999999</v>
      </c>
      <c r="AA45" s="1176">
        <f>+'P01 2022'!AQ31</f>
        <v>141938.40162399999</v>
      </c>
      <c r="AB45" s="1147">
        <f>+'P01 2023'!BJ28</f>
        <v>164148.87899999999</v>
      </c>
      <c r="AC45" s="1176">
        <f>+'P01 2022'!BI25</f>
        <v>153857.399676</v>
      </c>
      <c r="AD45" s="1147">
        <f>+'P01 2023'!BZ33</f>
        <v>165701.09700000001</v>
      </c>
      <c r="AE45" s="1176">
        <f>+'P01 2022'!CC32</f>
        <v>159486.75535099997</v>
      </c>
      <c r="AF45" s="1468">
        <f>+'P01 2023'!CP32</f>
        <v>166081.68700000001</v>
      </c>
      <c r="AG45" s="1056">
        <f>+'P01 2022'!CY31</f>
        <v>152047.63048299999</v>
      </c>
      <c r="AH45" s="1606">
        <f>+'P01 2023'!DF27</f>
        <v>168207.46299999999</v>
      </c>
      <c r="AI45" s="1056">
        <f>+'P01 2022'!DR25</f>
        <v>153890.42814900001</v>
      </c>
      <c r="AJ45" s="1584">
        <f>+'P01 2023'!DX33</f>
        <v>170272.837</v>
      </c>
      <c r="AK45" s="18">
        <f>+'P01 2022'!EJ30</f>
        <v>154853.48595199999</v>
      </c>
      <c r="AL45" s="323">
        <f>+'P01 2022'!FC30</f>
        <v>146439.21299999999</v>
      </c>
      <c r="AM45" s="18">
        <f>+'P01 2022'!GA31</f>
        <v>146167.24799999999</v>
      </c>
      <c r="AN45" s="1056">
        <f>+'P01 2022'!GX34</f>
        <v>160491.50899999999</v>
      </c>
      <c r="AY45" s="753"/>
      <c r="AZ45" s="1602"/>
      <c r="BA45" s="1398"/>
      <c r="BB45" s="753"/>
      <c r="BC45" s="1610"/>
      <c r="BD45" s="1610"/>
    </row>
    <row r="46" spans="1:56" ht="15" hidden="1" customHeight="1" x14ac:dyDescent="0.25">
      <c r="B46" s="1413" t="s">
        <v>368</v>
      </c>
      <c r="C46" s="800"/>
      <c r="D46" s="182"/>
      <c r="E46" s="17"/>
      <c r="F46" s="17">
        <v>4</v>
      </c>
      <c r="G46" s="17" t="str">
        <f t="shared" si="22"/>
        <v>21.02.001.004</v>
      </c>
      <c r="H46" s="1294" t="s">
        <v>21</v>
      </c>
      <c r="I46" s="1147">
        <f>+'P01 2023'!F38</f>
        <v>278309.69799999997</v>
      </c>
      <c r="J46" s="97">
        <f>+'P01 2023'!EF38</f>
        <v>278309.69799999997</v>
      </c>
      <c r="K46" s="18">
        <f ca="1">SUMIF(T$3:$AN37,"ok",T46:AN46)</f>
        <v>200708.39</v>
      </c>
      <c r="L46" s="694">
        <f t="shared" ca="1" si="4"/>
        <v>0.72116922781469162</v>
      </c>
      <c r="M46" s="97">
        <f>+'P01 2023'!EH38</f>
        <v>200708.39</v>
      </c>
      <c r="N46" s="694">
        <f t="shared" si="23"/>
        <v>0.72116922781469162</v>
      </c>
      <c r="O46" s="97">
        <f>+'P01 2023'!EI38</f>
        <v>77601.308000000005</v>
      </c>
      <c r="P46" s="1156">
        <f t="shared" si="24"/>
        <v>0.2788307721853085</v>
      </c>
      <c r="Q46" s="1733">
        <f>+'P01 2022'!ES36</f>
        <v>231712.34137499999</v>
      </c>
      <c r="R46" s="997">
        <f ca="1">SUMIF(T$3:$AN38,"SI",T46:AN46)</f>
        <v>188541.28363900003</v>
      </c>
      <c r="S46" s="1734">
        <f t="shared" ca="1" si="8"/>
        <v>0.81368684343777564</v>
      </c>
      <c r="T46" s="1721">
        <f>+'P01 2023'!I38</f>
        <v>22604.442999999999</v>
      </c>
      <c r="U46" s="1056">
        <f>+'P01 2022'!F35</f>
        <v>20984.364099999999</v>
      </c>
      <c r="V46" s="1147">
        <f>+'P01 2023'!N28</f>
        <v>22604.442999999999</v>
      </c>
      <c r="W46" s="1176">
        <f>+'P01 2022'!M26</f>
        <v>20915.455125</v>
      </c>
      <c r="X46" s="546">
        <f>+'P01 2023'!AD34</f>
        <v>22623.252</v>
      </c>
      <c r="Y46" s="1176">
        <f>+'P01 2022'!AB32</f>
        <v>20684.617234000001</v>
      </c>
      <c r="Z46" s="1147">
        <f>+'P01 2023'!AT33</f>
        <v>22604.442999999999</v>
      </c>
      <c r="AA46" s="1176">
        <f>+'P01 2022'!AQ32</f>
        <v>18054.910432000001</v>
      </c>
      <c r="AB46" s="1147">
        <f>+'P01 2023'!BJ29</f>
        <v>21599.173999999999</v>
      </c>
      <c r="AC46" s="1176">
        <f>+'P01 2022'!BI26</f>
        <v>21368.977696999998</v>
      </c>
      <c r="AD46" s="1147">
        <f>+'P01 2023'!BZ34</f>
        <v>21956.553</v>
      </c>
      <c r="AE46" s="1176">
        <f>+'P01 2022'!CC33</f>
        <v>21287.335045</v>
      </c>
      <c r="AF46" s="1468">
        <f>+'P01 2023'!CP33</f>
        <v>21975.362000000001</v>
      </c>
      <c r="AG46" s="1056">
        <f>+'P01 2022'!CY32</f>
        <v>21704.374393999999</v>
      </c>
      <c r="AH46" s="1606">
        <f>+'P01 2023'!DF28</f>
        <v>22370.359</v>
      </c>
      <c r="AI46" s="1056">
        <f>+'P01 2022'!DR26</f>
        <v>21836.875218000001</v>
      </c>
      <c r="AJ46" s="1584">
        <f>+'P01 2023'!DX34</f>
        <v>22370.361000000001</v>
      </c>
      <c r="AK46" s="18">
        <f>+'P01 2022'!EJ31</f>
        <v>21704.374393999999</v>
      </c>
      <c r="AL46" s="323">
        <f>+'P01 2022'!FC31</f>
        <v>20418.038</v>
      </c>
      <c r="AM46" s="18">
        <f>+'P01 2022'!GA32</f>
        <v>20418.038</v>
      </c>
      <c r="AN46" s="1056">
        <f>+'P01 2022'!GX35</f>
        <v>22776.024000000001</v>
      </c>
      <c r="AY46" s="753"/>
      <c r="AZ46" s="1602"/>
      <c r="BA46" s="1398"/>
      <c r="BB46" s="753"/>
      <c r="BC46" s="1610"/>
      <c r="BD46" s="1610"/>
    </row>
    <row r="47" spans="1:56" ht="15" hidden="1" customHeight="1" x14ac:dyDescent="0.25">
      <c r="B47" s="1413" t="s">
        <v>571</v>
      </c>
      <c r="C47" s="800"/>
      <c r="D47" s="182"/>
      <c r="E47" s="17"/>
      <c r="F47" s="17">
        <v>6</v>
      </c>
      <c r="G47" s="17" t="str">
        <f t="shared" si="22"/>
        <v>21.02.001.006</v>
      </c>
      <c r="H47" s="1294" t="s">
        <v>99</v>
      </c>
      <c r="I47" s="1147">
        <f>+'P01 2023'!F39</f>
        <v>24.742000000000001</v>
      </c>
      <c r="J47" s="97">
        <f>+'P01 2023'!EF39</f>
        <v>24.742000000000001</v>
      </c>
      <c r="K47" s="18">
        <f ca="1">SUMIF(T$3:$AN38,"ok",T47:AN47)</f>
        <v>0</v>
      </c>
      <c r="L47" s="694">
        <f t="shared" ca="1" si="4"/>
        <v>0</v>
      </c>
      <c r="M47" s="97">
        <f>+'P01 2023'!EH39</f>
        <v>0</v>
      </c>
      <c r="N47" s="694">
        <f t="shared" si="23"/>
        <v>0</v>
      </c>
      <c r="O47" s="97">
        <f>+'P01 2023'!EI39</f>
        <v>24.742000000000001</v>
      </c>
      <c r="P47" s="1156">
        <f t="shared" si="24"/>
        <v>1</v>
      </c>
      <c r="Q47" s="1733">
        <f>+'P01 2022'!ES37</f>
        <v>22.83324</v>
      </c>
      <c r="R47" s="1142">
        <f ca="1">SUMIF(T$3:$AN39,"SI",T47:AN47)</f>
        <v>22.833239999999996</v>
      </c>
      <c r="S47" s="1735">
        <f ca="1">IFERROR(R47/Q47,"0%")</f>
        <v>0.99999999999999989</v>
      </c>
      <c r="T47" s="1721">
        <f>+'P01 2023'!I39</f>
        <v>0</v>
      </c>
      <c r="U47" s="1056">
        <f>+'P01 2022'!F36</f>
        <v>7.6110799999999994</v>
      </c>
      <c r="V47" s="1147">
        <v>0</v>
      </c>
      <c r="W47" s="1176">
        <f>+'P01 2022'!M27</f>
        <v>7.6110799999999994</v>
      </c>
      <c r="X47" s="546">
        <v>0</v>
      </c>
      <c r="Y47" s="1176">
        <f>+'P01 2022'!AB33</f>
        <v>7.6110799999999994</v>
      </c>
      <c r="Z47" s="1147">
        <v>0</v>
      </c>
      <c r="AA47" s="1176">
        <f>+'P01 2022'!AQ33</f>
        <v>0</v>
      </c>
      <c r="AB47" s="1147">
        <v>0</v>
      </c>
      <c r="AC47" s="1176">
        <v>0</v>
      </c>
      <c r="AD47" s="1147">
        <v>0</v>
      </c>
      <c r="AE47" s="1176">
        <f>+'P01 2022'!CC34</f>
        <v>0</v>
      </c>
      <c r="AF47" s="1468">
        <v>0</v>
      </c>
      <c r="AG47" s="1056">
        <v>0</v>
      </c>
      <c r="AH47" s="546">
        <v>0</v>
      </c>
      <c r="AI47" s="1056">
        <v>0</v>
      </c>
      <c r="AJ47" s="1584">
        <v>0</v>
      </c>
      <c r="AK47" s="18">
        <v>0</v>
      </c>
      <c r="AL47" s="185"/>
      <c r="AM47" s="18">
        <v>0</v>
      </c>
      <c r="AN47" s="1057">
        <v>0</v>
      </c>
      <c r="AY47" s="753"/>
      <c r="AZ47" s="1602"/>
      <c r="BA47" s="1398"/>
      <c r="BB47" s="753"/>
      <c r="BC47" s="1610"/>
      <c r="BD47" s="1610"/>
    </row>
    <row r="48" spans="1:56" ht="15" hidden="1" customHeight="1" x14ac:dyDescent="0.25">
      <c r="B48" s="1413" t="s">
        <v>572</v>
      </c>
      <c r="C48" s="800"/>
      <c r="D48" s="182"/>
      <c r="E48" s="17"/>
      <c r="F48" s="17">
        <v>7</v>
      </c>
      <c r="G48" s="17" t="str">
        <f t="shared" si="22"/>
        <v>21.02.001.007</v>
      </c>
      <c r="H48" s="1294" t="s">
        <v>100</v>
      </c>
      <c r="I48" s="1147">
        <f>+'P01 2023'!F40</f>
        <v>144924.04</v>
      </c>
      <c r="J48" s="97">
        <f>+'P01 2023'!EF40</f>
        <v>144924.04</v>
      </c>
      <c r="K48" s="18">
        <f ca="1">SUMIF(T$3:$AN39,"ok",T48:AN48)</f>
        <v>101055.76300000001</v>
      </c>
      <c r="L48" s="694">
        <f t="shared" ca="1" si="4"/>
        <v>0.6973015864034704</v>
      </c>
      <c r="M48" s="97">
        <f>+'P01 2023'!EH40</f>
        <v>101055.76300000001</v>
      </c>
      <c r="N48" s="694">
        <f t="shared" si="23"/>
        <v>0.6973015864034704</v>
      </c>
      <c r="O48" s="97">
        <f>+'P01 2023'!EI40</f>
        <v>43868.277000000002</v>
      </c>
      <c r="P48" s="1156">
        <f t="shared" si="24"/>
        <v>0.3026984135965296</v>
      </c>
      <c r="Q48" s="1733">
        <f>+'P01 2022'!ES38</f>
        <v>133745.91164800001</v>
      </c>
      <c r="R48" s="997">
        <f ca="1">SUMIF(T$3:$AN40,"SI",T48:AN48)</f>
        <v>78898.108244999996</v>
      </c>
      <c r="S48" s="1734">
        <f t="shared" ref="S48:S76" ca="1" si="25">IFERROR(R48/Q48,"0%")</f>
        <v>0.5899104299550364</v>
      </c>
      <c r="T48" s="1721">
        <f>+'P01 2023'!I40</f>
        <v>10836.394</v>
      </c>
      <c r="U48" s="1056">
        <f>+'P01 2022'!F37</f>
        <v>7672.3226189999996</v>
      </c>
      <c r="V48" s="1147">
        <f>+'P01 2023'!N29</f>
        <v>10836.394</v>
      </c>
      <c r="W48" s="1176">
        <f>+'P01 2022'!M28</f>
        <v>7672.3226189999996</v>
      </c>
      <c r="X48" s="546">
        <f>+'P01 2023'!AD35</f>
        <v>10836.394</v>
      </c>
      <c r="Y48" s="1176">
        <f>+'P01 2022'!AB34</f>
        <v>7790.1179009999996</v>
      </c>
      <c r="Z48" s="1147">
        <f>+'P01 2023'!AT34</f>
        <v>10836.394</v>
      </c>
      <c r="AA48" s="1176">
        <f>+'P01 2022'!AQ34</f>
        <v>7758.1715619999995</v>
      </c>
      <c r="AB48" s="1147">
        <f>+'P01 2023'!BJ30</f>
        <v>10181.630999999999</v>
      </c>
      <c r="AC48" s="1176">
        <f>+'P01 2022'!BI27</f>
        <v>8889.9848669999992</v>
      </c>
      <c r="AD48" s="1147">
        <f>+'P01 2023'!BZ35</f>
        <v>11614.805</v>
      </c>
      <c r="AE48" s="1176">
        <f>+'P01 2022'!CC35</f>
        <v>9814.3292729999994</v>
      </c>
      <c r="AF48" s="1468">
        <f>+'P01 2023'!CP34</f>
        <v>11614.805</v>
      </c>
      <c r="AG48" s="1467">
        <f>+'P01 2022'!CY33</f>
        <v>9590.6602539999985</v>
      </c>
      <c r="AH48" s="1598">
        <f>+'P01 2023'!DF29</f>
        <v>11493.02</v>
      </c>
      <c r="AI48" s="1056">
        <f>+'P01 2022'!DR27</f>
        <v>9788.8002649999999</v>
      </c>
      <c r="AJ48" s="1584">
        <f>+'P01 2023'!DX35</f>
        <v>12805.925999999999</v>
      </c>
      <c r="AK48" s="18">
        <f>+'P01 2022'!EJ32</f>
        <v>9921.3988850000005</v>
      </c>
      <c r="AL48" s="323">
        <f>+'P01 2022'!FC32</f>
        <v>10001.338</v>
      </c>
      <c r="AM48" s="18">
        <f>+'P01 2022'!GA33</f>
        <v>9391.0049999999992</v>
      </c>
      <c r="AN48" s="1056">
        <f>+'P01 2022'!GX36</f>
        <v>10059.638999999999</v>
      </c>
      <c r="AY48" s="753"/>
      <c r="AZ48" s="1602"/>
      <c r="BA48" s="1398"/>
      <c r="BB48" s="753"/>
      <c r="BC48" s="1610"/>
      <c r="BD48" s="1610"/>
    </row>
    <row r="49" spans="1:56" ht="15" hidden="1" customHeight="1" x14ac:dyDescent="0.25">
      <c r="B49" s="1413" t="s">
        <v>573</v>
      </c>
      <c r="C49" s="800"/>
      <c r="D49" s="182"/>
      <c r="E49" s="17"/>
      <c r="F49" s="17">
        <v>13</v>
      </c>
      <c r="G49" s="17" t="str">
        <f>+CONCATENATE($C$10,"",$D$41,"",$E$42,"0",F49)</f>
        <v>21.02.001.013</v>
      </c>
      <c r="H49" s="1294" t="s">
        <v>24</v>
      </c>
      <c r="I49" s="1147">
        <f>+'P01 2023'!F41</f>
        <v>2269566.5950000002</v>
      </c>
      <c r="J49" s="97">
        <f>+'P01 2023'!EF41</f>
        <v>2269566.5950000002</v>
      </c>
      <c r="K49" s="18">
        <f ca="1">SUMIF(T$3:$AN40,"ok",T49:AN49)</f>
        <v>1670697.486</v>
      </c>
      <c r="L49" s="694">
        <f t="shared" ca="1" si="4"/>
        <v>0.73613062938124529</v>
      </c>
      <c r="M49" s="97">
        <f>+'P01 2023'!EH41</f>
        <v>1670697.486</v>
      </c>
      <c r="N49" s="694">
        <f t="shared" si="23"/>
        <v>0.73613062938124529</v>
      </c>
      <c r="O49" s="97">
        <f>+'P01 2023'!EI41</f>
        <v>598869.10900000005</v>
      </c>
      <c r="P49" s="1156">
        <f t="shared" si="24"/>
        <v>0.26386937061875465</v>
      </c>
      <c r="Q49" s="1733">
        <f>+'P01 2022'!ES39</f>
        <v>1859589.7685739999</v>
      </c>
      <c r="R49" s="997">
        <f ca="1">SUMIF(T$3:$AN41,"SI",T49:AN49)</f>
        <v>1538020.6382909999</v>
      </c>
      <c r="S49" s="1734">
        <f t="shared" ca="1" si="25"/>
        <v>0.82707523147452533</v>
      </c>
      <c r="T49" s="1721">
        <f>+'P01 2023'!I41</f>
        <v>157558.65</v>
      </c>
      <c r="U49" s="1056">
        <f>+'P01 2022'!F38</f>
        <v>143850.60787499999</v>
      </c>
      <c r="V49" s="1147">
        <f>+'P01 2023'!N30</f>
        <v>158198.913</v>
      </c>
      <c r="W49" s="1176">
        <f>+'P01 2022'!M29</f>
        <v>143607.59863399999</v>
      </c>
      <c r="X49" s="546">
        <f>+'P01 2023'!AD36</f>
        <v>234434.31700000001</v>
      </c>
      <c r="Y49" s="1176">
        <f>+'P01 2022'!AB35</f>
        <v>208962.32789699998</v>
      </c>
      <c r="Z49" s="1147">
        <f>+'P01 2023'!AT35</f>
        <v>159791.29399999999</v>
      </c>
      <c r="AA49" s="1176">
        <f>+'P01 2022'!AQ35</f>
        <v>139066.37653099999</v>
      </c>
      <c r="AB49" s="1147">
        <f>+'P01 2023'!BJ31</f>
        <v>157806.628</v>
      </c>
      <c r="AC49" s="1176">
        <f>+'P01 2022'!BI28</f>
        <v>148751.96055899997</v>
      </c>
      <c r="AD49" s="1147">
        <f>+'P01 2023'!BZ36</f>
        <v>238877.04800000001</v>
      </c>
      <c r="AE49" s="1176">
        <f>+'P01 2022'!CC36</f>
        <v>225800.48600899999</v>
      </c>
      <c r="AF49" s="1468">
        <f>+'P01 2023'!CP35</f>
        <v>159437.71599999999</v>
      </c>
      <c r="AG49" s="1467">
        <f>+'P01 2022'!CY34</f>
        <v>146945.076348</v>
      </c>
      <c r="AH49" s="1598">
        <f>+'P01 2023'!DF30</f>
        <v>161150.13500000001</v>
      </c>
      <c r="AI49" s="1056">
        <f>+'P01 2022'!DR28</f>
        <v>148306.67623699998</v>
      </c>
      <c r="AJ49" s="1584">
        <f>+'P01 2023'!DX36</f>
        <v>243442.785</v>
      </c>
      <c r="AK49" s="18">
        <f>+'P01 2022'!EJ33</f>
        <v>232729.52820099998</v>
      </c>
      <c r="AL49" s="323">
        <f>+'P01 2022'!FC33</f>
        <v>141042.652</v>
      </c>
      <c r="AM49" s="18">
        <f>+'P01 2022'!GA34</f>
        <v>140754.36600000001</v>
      </c>
      <c r="AN49" s="1056">
        <f>+'P01 2022'!GX37</f>
        <v>240157.541</v>
      </c>
      <c r="AY49" s="753"/>
      <c r="AZ49" s="1602"/>
      <c r="BA49" s="1398"/>
      <c r="BB49" s="753"/>
      <c r="BC49" s="1610"/>
      <c r="BD49" s="1610"/>
    </row>
    <row r="50" spans="1:56" ht="15" hidden="1" customHeight="1" x14ac:dyDescent="0.25">
      <c r="B50" s="1413" t="s">
        <v>574</v>
      </c>
      <c r="C50" s="800"/>
      <c r="D50" s="182"/>
      <c r="E50" s="17"/>
      <c r="F50" s="17">
        <v>14</v>
      </c>
      <c r="G50" s="17" t="str">
        <f>+CONCATENATE($C$10,"",$D$41,"",$E$42,"0",F50)</f>
        <v>21.02.001.014</v>
      </c>
      <c r="H50" s="1294" t="s">
        <v>25</v>
      </c>
      <c r="I50" s="1147">
        <f>+'P01 2023'!F42</f>
        <v>3085589.9109999998</v>
      </c>
      <c r="J50" s="97">
        <f>+'P01 2023'!EF42</f>
        <v>3485589.9109999998</v>
      </c>
      <c r="K50" s="18">
        <f ca="1">SUMIF(T$3:$AN41,"ok",T50:AN50)</f>
        <v>3387681.7090000003</v>
      </c>
      <c r="L50" s="694">
        <f t="shared" ca="1" si="4"/>
        <v>0.97191057912721868</v>
      </c>
      <c r="M50" s="97">
        <f>+'P01 2023'!EH42</f>
        <v>3387681.7089999998</v>
      </c>
      <c r="N50" s="694">
        <f t="shared" si="23"/>
        <v>0.97191057912721845</v>
      </c>
      <c r="O50" s="97">
        <f>+'P01 2023'!EI42</f>
        <v>97908.202000000005</v>
      </c>
      <c r="P50" s="1156">
        <f t="shared" si="24"/>
        <v>2.80894208727815E-2</v>
      </c>
      <c r="Q50" s="1733">
        <f>+'P01 2022'!ES40</f>
        <v>3801761.2422849997</v>
      </c>
      <c r="R50" s="997">
        <f ca="1">SUMIF(T$3:$AN42,"SI",T50:AN50)</f>
        <v>3119318.4312849999</v>
      </c>
      <c r="S50" s="1734">
        <f t="shared" ca="1" si="25"/>
        <v>0.82049298535385506</v>
      </c>
      <c r="T50" s="1721">
        <f>+'P01 2023'!I42</f>
        <v>372446.04100000003</v>
      </c>
      <c r="U50" s="1056">
        <f>+'P01 2022'!F39</f>
        <v>341670.787687</v>
      </c>
      <c r="V50" s="1147">
        <f>+'P01 2023'!N31</f>
        <v>373903.05300000001</v>
      </c>
      <c r="W50" s="1176">
        <f>+'P01 2022'!M30</f>
        <v>340985.469461</v>
      </c>
      <c r="X50" s="546">
        <f>+'P01 2023'!AD37</f>
        <v>374990.85499999998</v>
      </c>
      <c r="Y50" s="1176">
        <f>+'P01 2022'!AB36</f>
        <v>337964.23849900003</v>
      </c>
      <c r="Z50" s="1147">
        <f>+'P01 2023'!AT36</f>
        <v>377817.96600000001</v>
      </c>
      <c r="AA50" s="1176">
        <f>+'P01 2022'!AQ36</f>
        <v>328511.75867800001</v>
      </c>
      <c r="AB50" s="1147">
        <f>+'P01 2023'!BJ32</f>
        <v>373304.94900000002</v>
      </c>
      <c r="AC50" s="1176">
        <f>+'P01 2022'!BI29</f>
        <v>353072.43958399998</v>
      </c>
      <c r="AD50" s="1147">
        <f>+'P01 2023'!BZ37</f>
        <v>374844.08899999998</v>
      </c>
      <c r="AE50" s="1176">
        <f>+'P01 2022'!CC37</f>
        <v>364347.05660299998</v>
      </c>
      <c r="AF50" s="1468">
        <f>+'P01 2023'!CP36</f>
        <v>375697.54399999999</v>
      </c>
      <c r="AG50" s="1467">
        <f>+'P01 2022'!CY35</f>
        <v>347899.25760299998</v>
      </c>
      <c r="AH50" s="1598">
        <f>+'P01 2023'!DF31</f>
        <v>380752.16399999999</v>
      </c>
      <c r="AI50" s="1056">
        <f>+'P01 2022'!DR29</f>
        <v>351570.39932399994</v>
      </c>
      <c r="AJ50" s="1584">
        <f>+'P01 2023'!DX37</f>
        <v>383925.04800000001</v>
      </c>
      <c r="AK50" s="18">
        <f>+'P01 2022'!EJ34</f>
        <v>353297.02384599997</v>
      </c>
      <c r="AL50" s="323">
        <f>+'P01 2022'!FC34</f>
        <v>333046.92599999998</v>
      </c>
      <c r="AM50" s="18">
        <f>+'P01 2022'!GA35</f>
        <v>333065.89199999999</v>
      </c>
      <c r="AN50" s="1056">
        <f>+'P01 2022'!GX38</f>
        <v>366425.88099999999</v>
      </c>
      <c r="AY50" s="753"/>
      <c r="AZ50" s="1602"/>
      <c r="BA50" s="1398"/>
      <c r="BB50" s="753"/>
      <c r="BC50" s="1610"/>
      <c r="BD50" s="1610"/>
    </row>
    <row r="51" spans="1:56" ht="15" hidden="1" customHeight="1" x14ac:dyDescent="0.25">
      <c r="B51" s="1413" t="s">
        <v>575</v>
      </c>
      <c r="C51" s="800"/>
      <c r="D51" s="182"/>
      <c r="E51" s="17"/>
      <c r="F51" s="17">
        <v>21</v>
      </c>
      <c r="G51" s="17" t="str">
        <f>+CONCATENATE($C$10,"",$D$41,"",$E$42,"0",F51)</f>
        <v>21.02.001.021</v>
      </c>
      <c r="H51" s="1294" t="s">
        <v>26</v>
      </c>
      <c r="I51" s="1147">
        <f>+'P01 2023'!F43</f>
        <v>1431430.2450000001</v>
      </c>
      <c r="J51" s="97">
        <f>+'P01 2023'!EF43</f>
        <v>1431430.2450000001</v>
      </c>
      <c r="K51" s="18">
        <f ca="1">SUMIF(T$3:$AN42,"ok",T51:AN51)</f>
        <v>1065233.7450000001</v>
      </c>
      <c r="L51" s="694">
        <f t="shared" ca="1" si="4"/>
        <v>0.74417440089789355</v>
      </c>
      <c r="M51" s="97">
        <f>+'P01 2023'!EH43</f>
        <v>1065233.7450000001</v>
      </c>
      <c r="N51" s="694">
        <f t="shared" si="23"/>
        <v>0.74417440089789355</v>
      </c>
      <c r="O51" s="97">
        <f>+'P01 2023'!EI43</f>
        <v>366196.5</v>
      </c>
      <c r="P51" s="1156">
        <f t="shared" si="24"/>
        <v>0.25582559910210639</v>
      </c>
      <c r="Q51" s="1733">
        <f>+'P01 2022'!ES41</f>
        <v>1305715.471383</v>
      </c>
      <c r="R51" s="997">
        <f ca="1">SUMIF(T$3:$AN43,"SI",T51:AN51)</f>
        <v>976618.84479</v>
      </c>
      <c r="S51" s="1734">
        <f t="shared" ca="1" si="25"/>
        <v>0.74795686058278499</v>
      </c>
      <c r="T51" s="1721">
        <f>+'P01 2023'!I43</f>
        <v>0</v>
      </c>
      <c r="U51" s="1056">
        <f>+'P01 2022'!F40</f>
        <v>97.348476999999988</v>
      </c>
      <c r="V51" s="1147">
        <v>0</v>
      </c>
      <c r="W51" s="1176">
        <v>0</v>
      </c>
      <c r="X51" s="546">
        <f>+'P01 2023'!AD38</f>
        <v>353260.71600000001</v>
      </c>
      <c r="Y51" s="1176">
        <f>+'P01 2022'!AB37</f>
        <v>320414.28920900001</v>
      </c>
      <c r="Z51" s="1147">
        <f>+'P01 2023'!AT37</f>
        <v>0</v>
      </c>
      <c r="AA51" s="1176">
        <f>+'P01 2022'!AQ37</f>
        <v>775.21826199999998</v>
      </c>
      <c r="AB51" s="1147">
        <v>0</v>
      </c>
      <c r="AC51" s="1176">
        <f>+'P01 2022'!BI30</f>
        <v>1158.748662</v>
      </c>
      <c r="AD51" s="1147">
        <f>+'P01 2023'!BZ38</f>
        <v>353897.05300000001</v>
      </c>
      <c r="AE51" s="1176">
        <f>+'P01 2022'!CC38</f>
        <v>324149.40120699996</v>
      </c>
      <c r="AF51" s="1468">
        <f>+'P01 2023'!CP44</f>
        <v>0</v>
      </c>
      <c r="AG51" s="1467">
        <f>+'P01 2022'!CY36</f>
        <v>494.94980799999996</v>
      </c>
      <c r="AH51" s="546">
        <v>0</v>
      </c>
      <c r="AI51" s="1056">
        <f>+'P01 2022'!DR30</f>
        <v>128.093626</v>
      </c>
      <c r="AJ51" s="1584">
        <f>+'P01 2023'!DX38</f>
        <v>358075.97600000002</v>
      </c>
      <c r="AK51" s="18">
        <f>+'P01 2022'!EJ35</f>
        <v>329400.79553899996</v>
      </c>
      <c r="AL51" s="323">
        <f>+'P01 2022'!FC35</f>
        <v>132.31299999999999</v>
      </c>
      <c r="AM51" s="18">
        <f>+'P01 2022'!GA36</f>
        <v>0</v>
      </c>
      <c r="AN51" s="1056">
        <f>+'P01 2022'!GX39</f>
        <v>323576.97100000002</v>
      </c>
      <c r="AY51" s="753"/>
      <c r="AZ51" s="1602"/>
      <c r="BA51" s="1398"/>
      <c r="BB51" s="753"/>
      <c r="BC51" s="1610"/>
      <c r="BD51" s="1610"/>
    </row>
    <row r="52" spans="1:56" ht="15" hidden="1" customHeight="1" x14ac:dyDescent="0.25">
      <c r="B52" s="1413" t="s">
        <v>576</v>
      </c>
      <c r="C52" s="800"/>
      <c r="D52" s="182"/>
      <c r="E52" s="17"/>
      <c r="F52" s="17">
        <v>37</v>
      </c>
      <c r="G52" s="17" t="str">
        <f>+CONCATENATE($C$10,"",$D$41,"",$E$42,"0",F52)</f>
        <v>21.02.001.037</v>
      </c>
      <c r="H52" s="1294" t="s">
        <v>40</v>
      </c>
      <c r="I52" s="1147">
        <f>+'P01 2023'!F44</f>
        <v>50666.758999999998</v>
      </c>
      <c r="J52" s="97">
        <f>+'P01 2023'!EF44</f>
        <v>50666.758999999998</v>
      </c>
      <c r="K52" s="18">
        <f ca="1">SUMIF(T$3:$AN43,"ok",T52:AN52)</f>
        <v>36982.643000000004</v>
      </c>
      <c r="L52" s="694">
        <f t="shared" ca="1" si="4"/>
        <v>0.72991925534451507</v>
      </c>
      <c r="M52" s="97">
        <f>+'P01 2023'!EH44</f>
        <v>36982.642999999996</v>
      </c>
      <c r="N52" s="694">
        <f t="shared" si="23"/>
        <v>0.72991925534451485</v>
      </c>
      <c r="O52" s="97">
        <f>+'P01 2023'!EI44</f>
        <v>13684.116</v>
      </c>
      <c r="P52" s="1156">
        <f t="shared" si="24"/>
        <v>0.27008074465548509</v>
      </c>
      <c r="Q52" s="1733">
        <f>+'P01 2022'!ES42</f>
        <v>46651.420721000002</v>
      </c>
      <c r="R52" s="997">
        <f ca="1">SUMIF(T$3:$AN44,"SI",T52:AN52)</f>
        <v>34800.138957999996</v>
      </c>
      <c r="S52" s="1734">
        <f t="shared" ca="1" si="25"/>
        <v>0.74596096796543676</v>
      </c>
      <c r="T52" s="1721">
        <f>+'P01 2023'!I44</f>
        <v>0</v>
      </c>
      <c r="U52" s="1056">
        <f>+'P01 2022'!F41</f>
        <v>0</v>
      </c>
      <c r="V52" s="1147">
        <v>0</v>
      </c>
      <c r="W52" s="1176">
        <v>0</v>
      </c>
      <c r="X52" s="546">
        <f>+'P01 2023'!AD39</f>
        <v>12566.007</v>
      </c>
      <c r="Y52" s="1176">
        <f>+'P01 2022'!AB38</f>
        <v>11621.548328999999</v>
      </c>
      <c r="Z52" s="1147">
        <f>+'P01 2023'!AT38</f>
        <v>0</v>
      </c>
      <c r="AA52" s="1176">
        <f>+'P01 2022'!AQ38</f>
        <v>0</v>
      </c>
      <c r="AB52" s="1147">
        <v>0</v>
      </c>
      <c r="AC52" s="1176">
        <v>0</v>
      </c>
      <c r="AD52" s="1147">
        <f>+'P01 2023'!BZ39</f>
        <v>12195.162</v>
      </c>
      <c r="AE52" s="1176">
        <f>+'P01 2022'!CC39</f>
        <v>11101.703060999998</v>
      </c>
      <c r="AF52" s="1468">
        <v>0</v>
      </c>
      <c r="AG52" s="1467">
        <f>+'P01 2022'!CY37</f>
        <v>75.201935000000006</v>
      </c>
      <c r="AH52" s="546">
        <v>0</v>
      </c>
      <c r="AI52" s="1056">
        <v>0</v>
      </c>
      <c r="AJ52" s="1584">
        <f>+'P01 2023'!DX39</f>
        <v>12221.474</v>
      </c>
      <c r="AK52" s="18">
        <f>+'P01 2022'!EJ36</f>
        <v>12001.685632999999</v>
      </c>
      <c r="AL52" s="323">
        <f>+'P01 2022'!FC36</f>
        <v>0</v>
      </c>
      <c r="AM52" s="18">
        <f>+'P01 2022'!GA37</f>
        <v>0</v>
      </c>
      <c r="AN52" s="1056">
        <f>+'P01 2022'!GX40</f>
        <v>11249.308000000001</v>
      </c>
      <c r="AY52" s="753"/>
      <c r="AZ52" s="1602"/>
      <c r="BA52" s="1398"/>
      <c r="BB52" s="753"/>
      <c r="BC52" s="1610"/>
      <c r="BD52" s="1610"/>
    </row>
    <row r="53" spans="1:56" ht="15" hidden="1" customHeight="1" x14ac:dyDescent="0.25">
      <c r="B53" s="1413" t="s">
        <v>577</v>
      </c>
      <c r="C53" s="800"/>
      <c r="D53" s="182"/>
      <c r="E53" s="17"/>
      <c r="F53" s="17">
        <v>38</v>
      </c>
      <c r="G53" s="17" t="str">
        <f>+CONCATENATE($C$10,"",$D$41,"",$E$42,"0",F53)</f>
        <v>21.02.001.038</v>
      </c>
      <c r="H53" s="1294" t="s">
        <v>101</v>
      </c>
      <c r="I53" s="1147">
        <f>+'P01 2023'!F45</f>
        <v>55235.101999999999</v>
      </c>
      <c r="J53" s="97">
        <f>+'P01 2023'!EF45</f>
        <v>55235.101999999999</v>
      </c>
      <c r="K53" s="18">
        <f ca="1">SUMIF(T$3:$AN44,"ok",T53:AN53)</f>
        <v>0</v>
      </c>
      <c r="L53" s="694">
        <f t="shared" ca="1" si="4"/>
        <v>0</v>
      </c>
      <c r="M53" s="97">
        <f>+'P01 2023'!EH45</f>
        <v>0</v>
      </c>
      <c r="N53" s="694">
        <f t="shared" si="23"/>
        <v>0</v>
      </c>
      <c r="O53" s="97">
        <f>+'P01 2023'!EI45</f>
        <v>55235.101999999999</v>
      </c>
      <c r="P53" s="1156">
        <f t="shared" si="24"/>
        <v>1</v>
      </c>
      <c r="Q53" s="1733">
        <f>+'P01 2022'!ES43</f>
        <v>90305.766091999991</v>
      </c>
      <c r="R53" s="997">
        <f ca="1">SUMIF(T$3:$AN45,"SI",T53:AN53)</f>
        <v>15399.821316000001</v>
      </c>
      <c r="S53" s="1734">
        <f t="shared" ca="1" si="25"/>
        <v>0.17052976772614126</v>
      </c>
      <c r="T53" s="1721">
        <f>+'P01 2023'!I45</f>
        <v>0</v>
      </c>
      <c r="U53" s="1056">
        <f>+'P01 2022'!F42</f>
        <v>7477.8839740000003</v>
      </c>
      <c r="V53" s="1147">
        <v>0</v>
      </c>
      <c r="W53" s="1176">
        <f>+'P01 2022'!M32</f>
        <v>7477.8839740000003</v>
      </c>
      <c r="X53" s="546">
        <v>0</v>
      </c>
      <c r="Y53" s="1176">
        <f>+'P01 2022'!AB39</f>
        <v>302.76365999999996</v>
      </c>
      <c r="Z53" s="1147">
        <v>0</v>
      </c>
      <c r="AA53" s="1176">
        <f>+'P01 2022'!AQ39</f>
        <v>0</v>
      </c>
      <c r="AB53" s="1147">
        <v>0</v>
      </c>
      <c r="AC53" s="1176">
        <v>0</v>
      </c>
      <c r="AD53" s="1147">
        <v>0</v>
      </c>
      <c r="AE53" s="1176">
        <f>+'P01 2022'!CC40</f>
        <v>0</v>
      </c>
      <c r="AF53" s="1468">
        <v>0</v>
      </c>
      <c r="AG53" s="1467">
        <f>+'P01 2022'!CY38</f>
        <v>141.28970799999999</v>
      </c>
      <c r="AH53" s="546">
        <v>0</v>
      </c>
      <c r="AI53" s="1056">
        <v>0</v>
      </c>
      <c r="AJ53" s="1584">
        <v>0</v>
      </c>
      <c r="AK53" s="18">
        <f>+'P01 2022'!EJ37</f>
        <v>0</v>
      </c>
      <c r="AL53" s="185"/>
      <c r="AM53" s="18">
        <v>0</v>
      </c>
      <c r="AN53" s="1058">
        <v>0</v>
      </c>
      <c r="AY53" s="753"/>
      <c r="AZ53" s="1602"/>
      <c r="BA53" s="1398"/>
      <c r="BB53" s="753"/>
      <c r="BC53" s="1610"/>
      <c r="BD53" s="1610"/>
    </row>
    <row r="54" spans="1:56" ht="15" hidden="1" customHeight="1" x14ac:dyDescent="0.25">
      <c r="B54" s="1413" t="s">
        <v>992</v>
      </c>
      <c r="C54" s="800"/>
      <c r="D54" s="182"/>
      <c r="E54" s="17"/>
      <c r="F54" s="17"/>
      <c r="G54" s="17" t="s">
        <v>1001</v>
      </c>
      <c r="H54" s="1294" t="s">
        <v>998</v>
      </c>
      <c r="I54" s="1147">
        <f>+'P01 2023'!F46</f>
        <v>12936</v>
      </c>
      <c r="J54" s="97">
        <f>+'P01 2023'!EF46</f>
        <v>156780.79999999999</v>
      </c>
      <c r="K54" s="18">
        <f ca="1">SUMIF(T$3:$AN45,"ok",T54:AN54)</f>
        <v>103215.2</v>
      </c>
      <c r="L54" s="694">
        <f t="shared" ref="L54" ca="1" si="26">IFERROR(K54/J54,"0.00"%)</f>
        <v>0.6583408172429277</v>
      </c>
      <c r="M54" s="97">
        <f>+'P01 2023'!EH46</f>
        <v>103215.2</v>
      </c>
      <c r="N54" s="694">
        <f t="shared" ref="N54" si="27">+IFERROR(M54/J54,0)</f>
        <v>0.6583408172429277</v>
      </c>
      <c r="O54" s="97">
        <f>+'P01 2023'!EI46</f>
        <v>53565.599999999999</v>
      </c>
      <c r="P54" s="1156">
        <f t="shared" ref="P54" si="28">+IFERROR(O54/J54,0)</f>
        <v>0.3416591827570723</v>
      </c>
      <c r="Q54" s="1733">
        <v>0</v>
      </c>
      <c r="R54" s="997">
        <f ca="1">SUMIF(T$3:$AN46,"SI",T54:AN54)</f>
        <v>0</v>
      </c>
      <c r="S54" s="1734" t="str">
        <f ca="1">IFERROR(R54/Q54,"0,00%")</f>
        <v>0,00%</v>
      </c>
      <c r="T54" s="1721">
        <f>+'P01 2023'!I46</f>
        <v>12936</v>
      </c>
      <c r="U54" s="1056">
        <v>0</v>
      </c>
      <c r="V54" s="1147">
        <f>+'P01 2023'!N32</f>
        <v>13076.8</v>
      </c>
      <c r="W54" s="1176">
        <v>0</v>
      </c>
      <c r="X54" s="546">
        <f>+'P01 2023'!AD40</f>
        <v>13235.2</v>
      </c>
      <c r="Y54" s="1176">
        <v>0</v>
      </c>
      <c r="Z54" s="1147">
        <f>+'P01 2023'!AT39</f>
        <v>13200</v>
      </c>
      <c r="AA54" s="1176">
        <v>0</v>
      </c>
      <c r="AB54" s="1147">
        <f>+'P01 2023'!BJ33</f>
        <v>12355.2</v>
      </c>
      <c r="AC54" s="1176">
        <v>0</v>
      </c>
      <c r="AD54" s="1147">
        <f>+'P01 2023'!BZ40</f>
        <v>12636.8</v>
      </c>
      <c r="AE54" s="1176">
        <v>0</v>
      </c>
      <c r="AF54" s="1468">
        <f>+'P01 2023'!CP39</f>
        <v>12672</v>
      </c>
      <c r="AG54" s="1056">
        <v>0</v>
      </c>
      <c r="AH54" s="546">
        <f>+'P01 2023'!DF32</f>
        <v>13103.2</v>
      </c>
      <c r="AI54" s="1056">
        <v>0</v>
      </c>
      <c r="AJ54" s="1584">
        <v>0</v>
      </c>
      <c r="AK54" s="18">
        <v>0</v>
      </c>
      <c r="AL54" s="185"/>
      <c r="AM54" s="18"/>
      <c r="AN54" s="1058"/>
      <c r="AY54" s="753"/>
      <c r="AZ54" s="1602"/>
      <c r="BA54" s="1398"/>
      <c r="BB54" s="753"/>
      <c r="BC54" s="1610"/>
      <c r="BD54" s="1610"/>
    </row>
    <row r="55" spans="1:56" ht="15" hidden="1" customHeight="1" x14ac:dyDescent="0.25">
      <c r="B55" s="1413" t="s">
        <v>925</v>
      </c>
      <c r="C55" s="800"/>
      <c r="D55" s="182"/>
      <c r="E55" s="17"/>
      <c r="F55" s="17">
        <v>999</v>
      </c>
      <c r="G55" s="17" t="str">
        <f>+CONCATENATE($C$10,"",$D$41,"",$E$42,"0",F55)</f>
        <v>21.02.001.0999</v>
      </c>
      <c r="H55" s="1294" t="s">
        <v>930</v>
      </c>
      <c r="I55" s="1147">
        <f>+'P01 2023'!F47</f>
        <v>0</v>
      </c>
      <c r="J55" s="97">
        <f>+'P01 2023'!EF47</f>
        <v>0</v>
      </c>
      <c r="K55" s="18">
        <f ca="1">SUMIF(T$3:$AN46,"ok",T55:AN55)</f>
        <v>0</v>
      </c>
      <c r="L55" s="694">
        <f ca="1">IFERROR(K55/J55,"0,00"%)</f>
        <v>0</v>
      </c>
      <c r="M55" s="97">
        <f>+'P01 2023'!EH47</f>
        <v>0</v>
      </c>
      <c r="N55" s="694">
        <f t="shared" ref="N55:N61" si="29">+IFERROR(M55/J55,0)</f>
        <v>0</v>
      </c>
      <c r="O55" s="97">
        <f>+'P01 2023'!EI47</f>
        <v>0</v>
      </c>
      <c r="P55" s="1156">
        <f t="shared" ref="P55:P61" si="30">+IFERROR(O55/J55,0)</f>
        <v>0</v>
      </c>
      <c r="Q55" s="1733">
        <v>0</v>
      </c>
      <c r="R55" s="997">
        <f ca="1">SUMIF(T$3:$AN47,"SI",T55:AN55)</f>
        <v>0</v>
      </c>
      <c r="S55" s="1734" t="str">
        <f ca="1">IFERROR(R55/Q55,"0,00%")</f>
        <v>0,00%</v>
      </c>
      <c r="T55" s="1721">
        <f>+'P01 2023'!I47</f>
        <v>0</v>
      </c>
      <c r="U55" s="1056">
        <v>0</v>
      </c>
      <c r="V55" s="1147">
        <v>0</v>
      </c>
      <c r="W55" s="1176">
        <v>0</v>
      </c>
      <c r="X55" s="546">
        <v>0</v>
      </c>
      <c r="Y55" s="1176">
        <v>0</v>
      </c>
      <c r="Z55" s="1147">
        <v>0</v>
      </c>
      <c r="AA55" s="1176">
        <v>0</v>
      </c>
      <c r="AB55" s="1147">
        <v>0</v>
      </c>
      <c r="AC55" s="1176">
        <v>0</v>
      </c>
      <c r="AD55" s="1147">
        <v>0</v>
      </c>
      <c r="AE55" s="1176">
        <v>0</v>
      </c>
      <c r="AF55" s="1468">
        <v>0</v>
      </c>
      <c r="AG55" s="1056">
        <v>0</v>
      </c>
      <c r="AH55" s="546">
        <v>0</v>
      </c>
      <c r="AI55" s="1056">
        <v>0</v>
      </c>
      <c r="AJ55" s="1584">
        <v>0</v>
      </c>
      <c r="AK55" s="18">
        <v>0</v>
      </c>
      <c r="AL55" s="18">
        <v>0</v>
      </c>
      <c r="AM55" s="18">
        <v>0</v>
      </c>
      <c r="AN55" s="1056">
        <f>+'P01 2022'!GX41</f>
        <v>12672</v>
      </c>
      <c r="AY55" s="753"/>
      <c r="AZ55" s="1602"/>
      <c r="BA55" s="1398"/>
      <c r="BB55" s="753"/>
      <c r="BC55" s="1610"/>
      <c r="BD55" s="1610"/>
    </row>
    <row r="56" spans="1:56" s="181" customFormat="1" ht="15" hidden="1" customHeight="1" x14ac:dyDescent="0.25">
      <c r="A56" s="175"/>
      <c r="B56" s="1413" t="s">
        <v>369</v>
      </c>
      <c r="C56" s="801"/>
      <c r="D56" s="184"/>
      <c r="E56" s="137" t="s">
        <v>158</v>
      </c>
      <c r="F56" s="137"/>
      <c r="G56" s="137"/>
      <c r="H56" s="1295" t="s">
        <v>28</v>
      </c>
      <c r="I56" s="1145">
        <f>+'P01 2023'!F48</f>
        <v>584702.25399999996</v>
      </c>
      <c r="J56" s="127">
        <f>+'P01 2023'!EF48</f>
        <v>584702.25399999996</v>
      </c>
      <c r="K56" s="127">
        <f ca="1">SUMIF(T$3:$AN47,"ok",T56:AN56)</f>
        <v>418752.35499999998</v>
      </c>
      <c r="L56" s="783">
        <f t="shared" ref="L56:L61" ca="1" si="31">IFERROR(K56/J56,"0.00"%)</f>
        <v>0.71618050406899925</v>
      </c>
      <c r="M56" s="127">
        <f>+'P01 2023'!EH48</f>
        <v>418752.35499999998</v>
      </c>
      <c r="N56" s="783">
        <f t="shared" si="29"/>
        <v>0.71618050406899925</v>
      </c>
      <c r="O56" s="127">
        <f>+'P01 2023'!EI48</f>
        <v>165949.899</v>
      </c>
      <c r="P56" s="1155">
        <f t="shared" si="30"/>
        <v>0.28381949593100081</v>
      </c>
      <c r="Q56" s="1145">
        <f>+'P01 2022'!ES44</f>
        <v>517280.61360899999</v>
      </c>
      <c r="R56" s="127">
        <f ca="1">SUMIF(T$3:$AN48,"SI",T56:AN56)</f>
        <v>397867.18517399998</v>
      </c>
      <c r="S56" s="1146">
        <f t="shared" ref="S56:S61" ca="1" si="32">IFERROR(R56/Q56,"0%")</f>
        <v>0.76915154890134396</v>
      </c>
      <c r="T56" s="1070">
        <f>+'P01 2023'!I48</f>
        <v>36536.023000000001</v>
      </c>
      <c r="U56" s="1075">
        <f t="shared" ref="U56:AK56" si="33">SUM(U57:U58)</f>
        <v>35160.051624</v>
      </c>
      <c r="V56" s="1164">
        <f>+'P01 2023'!N33</f>
        <v>40059.061000000002</v>
      </c>
      <c r="W56" s="1179">
        <f t="shared" si="33"/>
        <v>38758.772217999998</v>
      </c>
      <c r="X56" s="1210">
        <f>SUM(X57:X58)</f>
        <v>58556.413</v>
      </c>
      <c r="Y56" s="1179">
        <f t="shared" si="33"/>
        <v>56818.155753999992</v>
      </c>
      <c r="Z56" s="1281">
        <f>SUM(Z57:Z58)</f>
        <v>37734.107000000004</v>
      </c>
      <c r="AA56" s="1179">
        <f>SUM(AA57:AA58)</f>
        <v>34427.788129</v>
      </c>
      <c r="AB56" s="1281">
        <f>SUM(AB57:AB58)</f>
        <v>40674.858</v>
      </c>
      <c r="AC56" s="1179">
        <f t="shared" si="33"/>
        <v>40528.409972000001</v>
      </c>
      <c r="AD56" s="1280">
        <f>+'P01 2023'!BZ41</f>
        <v>60255.313000000002</v>
      </c>
      <c r="AE56" s="1179">
        <f t="shared" si="33"/>
        <v>57459.340345999997</v>
      </c>
      <c r="AF56" s="1219">
        <f>+'P01 2023'!CP40</f>
        <v>40192.271999999997</v>
      </c>
      <c r="AG56" s="1073">
        <f t="shared" si="33"/>
        <v>40023.118236999995</v>
      </c>
      <c r="AH56" s="1217">
        <f>+'P01 2023'!DF33</f>
        <v>43643.567000000003</v>
      </c>
      <c r="AI56" s="1073">
        <f t="shared" si="33"/>
        <v>40394.665437999996</v>
      </c>
      <c r="AJ56" s="1587">
        <f>+'P01 2023'!DX41</f>
        <v>61100.741000000002</v>
      </c>
      <c r="AK56" s="187">
        <f t="shared" si="33"/>
        <v>54296.883455999996</v>
      </c>
      <c r="AL56" s="187">
        <f>SUM(AL57:AL58)</f>
        <v>32707.144</v>
      </c>
      <c r="AM56" s="186">
        <f>+'P01 2022'!GA38</f>
        <v>42778.239000000001</v>
      </c>
      <c r="AN56" s="1055">
        <f>+'P01 2022'!GX42</f>
        <v>57546.283000000003</v>
      </c>
      <c r="AO56" s="1601"/>
      <c r="AP56" s="1401"/>
      <c r="AQ56" s="1401"/>
      <c r="AR56" s="1401"/>
      <c r="AS56" s="1401"/>
      <c r="AT56" s="1401"/>
      <c r="AU56" s="1401"/>
      <c r="AV56" s="1401"/>
      <c r="AW56" s="1401"/>
      <c r="AX56" s="1401"/>
      <c r="AY56" s="753"/>
      <c r="AZ56" s="1602"/>
      <c r="BA56" s="1398"/>
      <c r="BB56" s="753"/>
      <c r="BC56" s="1610"/>
      <c r="BD56" s="1610"/>
    </row>
    <row r="57" spans="1:56" ht="15" hidden="1" customHeight="1" x14ac:dyDescent="0.25">
      <c r="B57" s="1413" t="s">
        <v>578</v>
      </c>
      <c r="C57" s="800"/>
      <c r="D57" s="182"/>
      <c r="E57" s="17"/>
      <c r="F57" s="17">
        <v>1</v>
      </c>
      <c r="G57" s="17" t="str">
        <f>+CONCATENATE($C$10,"",$D$41,"",$E$56,"00",F57)</f>
        <v>21.02.002.001</v>
      </c>
      <c r="H57" s="1294" t="s">
        <v>29</v>
      </c>
      <c r="I57" s="1147">
        <f>+'P01 2023'!F49</f>
        <v>45733.139000000003</v>
      </c>
      <c r="J57" s="97">
        <f>+'P01 2023'!EF49</f>
        <v>45733.139000000003</v>
      </c>
      <c r="K57" s="18">
        <f ca="1">SUMIF(T$3:$AN48,"ok",T57:AN57)</f>
        <v>27187.16</v>
      </c>
      <c r="L57" s="694">
        <f t="shared" ca="1" si="31"/>
        <v>0.59447395465244579</v>
      </c>
      <c r="M57" s="97">
        <f>+'P01 2023'!EH49</f>
        <v>27187.16</v>
      </c>
      <c r="N57" s="694">
        <f t="shared" si="29"/>
        <v>0.59447395465244579</v>
      </c>
      <c r="O57" s="97">
        <f>+'P01 2023'!EI49</f>
        <v>18545.978999999999</v>
      </c>
      <c r="P57" s="1156">
        <f t="shared" si="30"/>
        <v>0.40552604534755415</v>
      </c>
      <c r="Q57" s="1733">
        <f>+'P01 2022'!ES45</f>
        <v>42205.698537999997</v>
      </c>
      <c r="R57" s="997">
        <f ca="1">SUMIF(T$3:$AN49,"SI",T57:AN57)</f>
        <v>25280.754980000002</v>
      </c>
      <c r="S57" s="1734">
        <f t="shared" ca="1" si="32"/>
        <v>0.5989891378586808</v>
      </c>
      <c r="T57" s="1721">
        <f>+'P01 2023'!I49</f>
        <v>0</v>
      </c>
      <c r="U57" s="1056">
        <v>0</v>
      </c>
      <c r="V57" s="1147">
        <f>+'P01 2023'!N34</f>
        <v>3291.21</v>
      </c>
      <c r="W57" s="1176">
        <f>+'P01 2022'!M34</f>
        <v>3565.5783799999999</v>
      </c>
      <c r="X57" s="546">
        <f>+'P01 2023'!AD42</f>
        <v>6733.74</v>
      </c>
      <c r="Y57" s="1176">
        <f>+'P01 2022'!AB41</f>
        <v>7318.8187799999996</v>
      </c>
      <c r="Z57" s="1147">
        <v>0</v>
      </c>
      <c r="AA57" s="1176">
        <f>+'P01 2022'!AQ41</f>
        <v>0</v>
      </c>
      <c r="AB57" s="1147">
        <f>+'P01 2023'!BJ35</f>
        <v>3404.7</v>
      </c>
      <c r="AC57" s="1176">
        <f>+'P01 2022'!BI32</f>
        <v>3619.1960999999997</v>
      </c>
      <c r="AD57" s="1147">
        <f>+'P01 2023'!BZ42</f>
        <v>6859.84</v>
      </c>
      <c r="AE57" s="1176">
        <f>+'P01 2022'!CC42</f>
        <v>3565.5783799999999</v>
      </c>
      <c r="AF57" s="1468">
        <v>0</v>
      </c>
      <c r="AG57" s="1056">
        <f>+'P01 2022'!CY40</f>
        <v>3619.1960999999997</v>
      </c>
      <c r="AH57" s="546">
        <f>+'P01 2023'!DF34</f>
        <v>3455.14</v>
      </c>
      <c r="AI57" s="1056">
        <f>+'P01 2022'!DR34</f>
        <v>3592.38724</v>
      </c>
      <c r="AJ57" s="1584">
        <f>+'P01 2023'!DX42</f>
        <v>3442.53</v>
      </c>
      <c r="AK57" s="18">
        <v>0</v>
      </c>
      <c r="AL57" s="185">
        <v>0</v>
      </c>
      <c r="AM57" s="18">
        <f>+'P01 2022'!GA39</f>
        <v>10125.83</v>
      </c>
      <c r="AN57" s="1056">
        <f>+'P01 2022'!GX43</f>
        <v>6746.35</v>
      </c>
      <c r="AY57" s="753"/>
      <c r="AZ57" s="1602"/>
      <c r="BA57" s="1398"/>
      <c r="BB57" s="753"/>
      <c r="BC57" s="1610"/>
      <c r="BD57" s="1610"/>
    </row>
    <row r="58" spans="1:56" ht="15" hidden="1" customHeight="1" x14ac:dyDescent="0.25">
      <c r="B58" s="1413" t="s">
        <v>579</v>
      </c>
      <c r="C58" s="800"/>
      <c r="D58" s="182"/>
      <c r="E58" s="17"/>
      <c r="F58" s="17">
        <v>2</v>
      </c>
      <c r="G58" s="17" t="str">
        <f>+CONCATENATE($C$10,"",$D$41,"",$E$56,"00",F58)</f>
        <v>21.02.002.002</v>
      </c>
      <c r="H58" s="1294" t="s">
        <v>30</v>
      </c>
      <c r="I58" s="1147">
        <f>+'P01 2023'!F50</f>
        <v>538969.11499999999</v>
      </c>
      <c r="J58" s="97">
        <f>+'P01 2023'!EF50</f>
        <v>538969.11499999999</v>
      </c>
      <c r="K58" s="18">
        <f ca="1">SUMIF(T$3:$AN49,"ok",T58:AN58)</f>
        <v>391565.19500000007</v>
      </c>
      <c r="L58" s="694">
        <f t="shared" ca="1" si="31"/>
        <v>0.72650766825479429</v>
      </c>
      <c r="M58" s="97">
        <f>+'P01 2023'!EH50</f>
        <v>391565.19500000001</v>
      </c>
      <c r="N58" s="694">
        <f t="shared" si="29"/>
        <v>0.72650766825479418</v>
      </c>
      <c r="O58" s="97">
        <f>+'P01 2023'!EI50</f>
        <v>147403.92000000001</v>
      </c>
      <c r="P58" s="1156">
        <f t="shared" si="30"/>
        <v>0.27349233174520587</v>
      </c>
      <c r="Q58" s="1733">
        <f>+'P01 2022'!ES46</f>
        <v>475074.915071</v>
      </c>
      <c r="R58" s="997">
        <f ca="1">SUMIF(T$3:$AN50,"SI",T58:AN58)</f>
        <v>372586.43019399996</v>
      </c>
      <c r="S58" s="1734">
        <f t="shared" ca="1" si="32"/>
        <v>0.78426879292988327</v>
      </c>
      <c r="T58" s="1721">
        <f>+'P01 2023'!I50</f>
        <v>36536.023000000001</v>
      </c>
      <c r="U58" s="1056">
        <f>+'P01 2022'!F45</f>
        <v>35160.051624</v>
      </c>
      <c r="V58" s="1147">
        <f>+'P01 2023'!N35</f>
        <v>36767.851000000002</v>
      </c>
      <c r="W58" s="1176">
        <f>+'P01 2022'!M35</f>
        <v>35193.193837999999</v>
      </c>
      <c r="X58" s="546">
        <f>+'P01 2023'!AD43</f>
        <v>51822.673000000003</v>
      </c>
      <c r="Y58" s="1176">
        <f>+'P01 2022'!AB42</f>
        <v>49499.336973999991</v>
      </c>
      <c r="Z58" s="1147">
        <f>+'P01 2023'!AT41</f>
        <v>37734.107000000004</v>
      </c>
      <c r="AA58" s="1176">
        <f>+'P01 2022'!AQ42</f>
        <v>34427.788129</v>
      </c>
      <c r="AB58" s="1147">
        <f>+'P01 2023'!BJ36</f>
        <v>37270.158000000003</v>
      </c>
      <c r="AC58" s="1176">
        <f>+'P01 2022'!BI33</f>
        <v>36909.213872</v>
      </c>
      <c r="AD58" s="1147">
        <f>+'P01 2023'!BZ43</f>
        <v>53395.472999999998</v>
      </c>
      <c r="AE58" s="1176">
        <f>+'P01 2022'!CC43</f>
        <v>53893.761965999998</v>
      </c>
      <c r="AF58" s="1468">
        <f>+'P01 2023'!CP41</f>
        <v>40192.271999999997</v>
      </c>
      <c r="AG58" s="1056">
        <f>+'P01 2022'!CY41</f>
        <v>36403.922136999994</v>
      </c>
      <c r="AH58" s="546">
        <f>+'P01 2023'!DF35</f>
        <v>40188.427000000003</v>
      </c>
      <c r="AI58" s="1056">
        <f>+'P01 2022'!DR35</f>
        <v>36802.278198</v>
      </c>
      <c r="AJ58" s="1584">
        <f>+'P01 2023'!DX43</f>
        <v>57658.211000000003</v>
      </c>
      <c r="AK58" s="18">
        <f>+'P01 2022'!EJ39</f>
        <v>54296.883455999996</v>
      </c>
      <c r="AL58" s="323">
        <f>+'P01 2022'!FC38</f>
        <v>32707.144</v>
      </c>
      <c r="AM58" s="18">
        <f>+'P01 2022'!GA40</f>
        <v>32652.409</v>
      </c>
      <c r="AN58" s="1056">
        <f>+'P01 2022'!GX44</f>
        <v>50799.932999999997</v>
      </c>
      <c r="AY58" s="753"/>
      <c r="AZ58" s="1602"/>
      <c r="BA58" s="1398"/>
      <c r="BB58" s="753"/>
      <c r="BC58" s="1610"/>
      <c r="BD58" s="1610"/>
    </row>
    <row r="59" spans="1:56" s="181" customFormat="1" ht="15" hidden="1" customHeight="1" x14ac:dyDescent="0.25">
      <c r="A59" s="175"/>
      <c r="B59" s="1413" t="s">
        <v>580</v>
      </c>
      <c r="C59" s="801"/>
      <c r="D59" s="184"/>
      <c r="E59" s="137" t="s">
        <v>159</v>
      </c>
      <c r="F59" s="137"/>
      <c r="G59" s="137"/>
      <c r="H59" s="1295" t="s">
        <v>31</v>
      </c>
      <c r="I59" s="1145">
        <f>+'P01 2023'!F51</f>
        <v>1366172.385</v>
      </c>
      <c r="J59" s="127">
        <f>+'P01 2023'!EF51</f>
        <v>1366172.385</v>
      </c>
      <c r="K59" s="127">
        <f ca="1">SUMIF(T$3:$AN50,"ok",T59:AN59)</f>
        <v>1026793.8189999999</v>
      </c>
      <c r="L59" s="783">
        <f t="shared" ca="1" si="31"/>
        <v>0.75158437564231684</v>
      </c>
      <c r="M59" s="127">
        <f>+'P01 2023'!EH51</f>
        <v>1026793.819</v>
      </c>
      <c r="N59" s="783">
        <f t="shared" si="29"/>
        <v>0.75158437564231695</v>
      </c>
      <c r="O59" s="127">
        <f>+'P01 2023'!EI51</f>
        <v>339378.56599999999</v>
      </c>
      <c r="P59" s="1155">
        <f t="shared" si="30"/>
        <v>0.24841562435768308</v>
      </c>
      <c r="Q59" s="1145">
        <f>+'P01 2022'!ES47</f>
        <v>1252134.7618540002</v>
      </c>
      <c r="R59" s="127">
        <f ca="1">SUMIF(T$3:$AN51,"SI",T59:AN59)</f>
        <v>931377.09600699996</v>
      </c>
      <c r="S59" s="1146">
        <f t="shared" ca="1" si="32"/>
        <v>0.74383135456437333</v>
      </c>
      <c r="T59" s="1070">
        <f>+'P01 2023'!I51</f>
        <v>0</v>
      </c>
      <c r="U59" s="364">
        <f>+U60</f>
        <v>49.323199999999993</v>
      </c>
      <c r="V59" s="1163">
        <v>0</v>
      </c>
      <c r="W59" s="243">
        <f t="shared" ref="W59:AC59" si="34">SUM(W60:W61)</f>
        <v>0</v>
      </c>
      <c r="X59" s="1210">
        <f>SUM(X60:X62)</f>
        <v>343288.25199999998</v>
      </c>
      <c r="Y59" s="243">
        <f t="shared" si="34"/>
        <v>317193.20467999997</v>
      </c>
      <c r="Z59" s="1163">
        <f>SUM(Z60:Z62)</f>
        <v>0</v>
      </c>
      <c r="AA59" s="1177">
        <f>SUM(AA60:AA62)</f>
        <v>392.77637399999998</v>
      </c>
      <c r="AB59" s="1163">
        <f>SUM(AB60:AB62)</f>
        <v>0</v>
      </c>
      <c r="AC59" s="1177">
        <f t="shared" si="34"/>
        <v>1205.0965249999999</v>
      </c>
      <c r="AD59" s="1280">
        <f>+'P01 2023'!BZ44</f>
        <v>341206.09700000001</v>
      </c>
      <c r="AE59" s="1177">
        <f t="shared" ref="AE59:AK59" si="35">SUM(AE60:AE61)</f>
        <v>307431.46520600002</v>
      </c>
      <c r="AF59" s="1219">
        <v>0</v>
      </c>
      <c r="AG59" s="364">
        <f t="shared" si="35"/>
        <v>467.42235999999997</v>
      </c>
      <c r="AH59" s="1217">
        <v>0</v>
      </c>
      <c r="AI59" s="364">
        <f t="shared" si="35"/>
        <v>100.31956199999999</v>
      </c>
      <c r="AJ59" s="1587">
        <f>+'P01 2023'!DX44</f>
        <v>342299.47</v>
      </c>
      <c r="AK59" s="3">
        <f t="shared" si="35"/>
        <v>304537.48809999996</v>
      </c>
      <c r="AL59" s="3">
        <f>SUM(AL60:AL61)</f>
        <v>67.037999999999997</v>
      </c>
      <c r="AM59" s="186">
        <f>+'P01 2022'!GA41</f>
        <v>0</v>
      </c>
      <c r="AN59" s="1055">
        <f>+'P01 2022'!GX45</f>
        <v>294717.31199999998</v>
      </c>
      <c r="AO59" s="1601"/>
      <c r="AP59" s="1401"/>
      <c r="AQ59" s="1401"/>
      <c r="AR59" s="1401"/>
      <c r="AS59" s="1401"/>
      <c r="AT59" s="1401"/>
      <c r="AU59" s="1401"/>
      <c r="AV59" s="1401"/>
      <c r="AW59" s="1401"/>
      <c r="AX59" s="1401"/>
      <c r="AY59" s="753"/>
      <c r="AZ59" s="1602"/>
      <c r="BA59" s="1398"/>
      <c r="BB59" s="753"/>
      <c r="BC59" s="1610"/>
      <c r="BD59" s="1610"/>
    </row>
    <row r="60" spans="1:56" ht="15" hidden="1" customHeight="1" x14ac:dyDescent="0.25">
      <c r="B60" s="1413" t="s">
        <v>581</v>
      </c>
      <c r="C60" s="800"/>
      <c r="D60" s="182"/>
      <c r="E60" s="17"/>
      <c r="F60" s="17">
        <v>1</v>
      </c>
      <c r="G60" s="17" t="str">
        <f>+CONCATENATE($C$10,"",$D$41,"",$E$59,"00",F60)</f>
        <v>21.02.003.001</v>
      </c>
      <c r="H60" s="1294" t="s">
        <v>32</v>
      </c>
      <c r="I60" s="1147">
        <f>+'P01 2023'!F52</f>
        <v>726222.69299999997</v>
      </c>
      <c r="J60" s="97">
        <f>+'P01 2023'!EF52</f>
        <v>726222.69299999997</v>
      </c>
      <c r="K60" s="97">
        <f ca="1">SUMIF(T$3:$AN51,"ok",T60:AN60)</f>
        <v>539718.07400000002</v>
      </c>
      <c r="L60" s="694">
        <f t="shared" ca="1" si="31"/>
        <v>0.74318536063702989</v>
      </c>
      <c r="M60" s="97">
        <f>+'P01 2023'!EH52</f>
        <v>539718.07400000002</v>
      </c>
      <c r="N60" s="694">
        <f t="shared" si="29"/>
        <v>0.74318536063702989</v>
      </c>
      <c r="O60" s="97">
        <f>+'P01 2023'!EI52</f>
        <v>186504.61900000001</v>
      </c>
      <c r="P60" s="1156">
        <f t="shared" si="30"/>
        <v>0.25681463936297017</v>
      </c>
      <c r="Q60" s="1733">
        <f>+'P01 2022'!ES48</f>
        <v>661544.99742299994</v>
      </c>
      <c r="R60" s="997">
        <f ca="1">SUMIF(T$3:$AN52,"SI",T60:AN60)</f>
        <v>494802.650532</v>
      </c>
      <c r="S60" s="1734">
        <f t="shared" ca="1" si="32"/>
        <v>0.74795010537373496</v>
      </c>
      <c r="T60" s="1721">
        <f>+'P01 2023'!I52</f>
        <v>0</v>
      </c>
      <c r="U60" s="1056">
        <f>+'P01 2022'!F47</f>
        <v>49.323199999999993</v>
      </c>
      <c r="V60" s="1147">
        <v>0</v>
      </c>
      <c r="W60" s="1176">
        <v>0</v>
      </c>
      <c r="X60" s="546">
        <f>+'P01 2023'!AD45</f>
        <v>178985.28700000001</v>
      </c>
      <c r="Y60" s="1176">
        <f>+'P01 2022'!AB44</f>
        <v>162343.31591999999</v>
      </c>
      <c r="Z60" s="1147">
        <v>0</v>
      </c>
      <c r="AA60" s="1176">
        <f>+'P01 2022'!AQ44</f>
        <v>392.77637399999998</v>
      </c>
      <c r="AB60" s="1147">
        <v>0</v>
      </c>
      <c r="AC60" s="1176">
        <f>+'P01 2022'!BI35</f>
        <v>587.09808899999996</v>
      </c>
      <c r="AD60" s="1147">
        <f>+'P01 2023'!BZ45</f>
        <v>179307.698</v>
      </c>
      <c r="AE60" s="1176">
        <f>+'P01 2022'!CC45</f>
        <v>164218.002523</v>
      </c>
      <c r="AF60" s="1468">
        <v>0</v>
      </c>
      <c r="AG60" s="1056">
        <f>+'P01 2022'!CY43</f>
        <v>250.77445599999999</v>
      </c>
      <c r="AH60" s="546">
        <v>0</v>
      </c>
      <c r="AI60" s="1056">
        <f>+'P01 2022'!DR37</f>
        <v>64.899338999999998</v>
      </c>
      <c r="AJ60" s="1584">
        <f>+'P01 2023'!DX45</f>
        <v>181425.08900000001</v>
      </c>
      <c r="AK60" s="18">
        <f>+'P01 2022'!EJ41</f>
        <v>166896.46063099997</v>
      </c>
      <c r="AL60" s="1189">
        <f>+'P01 2022'!FC40</f>
        <v>67.037999999999997</v>
      </c>
      <c r="AM60" s="18">
        <f>+'P01 2022'!GA42</f>
        <v>0</v>
      </c>
      <c r="AN60" s="1056">
        <f>+'P01 2022'!GX46</f>
        <v>163891.94200000001</v>
      </c>
      <c r="AY60" s="753"/>
      <c r="AZ60" s="1602"/>
      <c r="BA60" s="1398"/>
      <c r="BB60" s="753"/>
      <c r="BC60" s="1610"/>
      <c r="BD60" s="1610"/>
    </row>
    <row r="61" spans="1:56" ht="15" hidden="1" customHeight="1" x14ac:dyDescent="0.25">
      <c r="B61" s="1413" t="s">
        <v>370</v>
      </c>
      <c r="C61" s="800"/>
      <c r="D61" s="182"/>
      <c r="E61" s="17"/>
      <c r="F61" s="17">
        <v>2</v>
      </c>
      <c r="G61" s="17" t="str">
        <f>+CONCATENATE($C$10,"",$D$41,"",$E$59,"00",F61)</f>
        <v>21.02.003.002</v>
      </c>
      <c r="H61" s="1294" t="s">
        <v>33</v>
      </c>
      <c r="I61" s="1147">
        <f>+'P01 2023'!F53</f>
        <v>639949.69200000004</v>
      </c>
      <c r="J61" s="97">
        <f>+'P01 2023'!EF53</f>
        <v>639949.69200000004</v>
      </c>
      <c r="K61" s="97">
        <f ca="1">SUMIF(T$3:$AN52,"ok",T61:AN61)</f>
        <v>487075.745</v>
      </c>
      <c r="L61" s="694">
        <f t="shared" ca="1" si="31"/>
        <v>0.76111568001192187</v>
      </c>
      <c r="M61" s="97">
        <f>+'P01 2023'!EH53</f>
        <v>487075.745</v>
      </c>
      <c r="N61" s="694">
        <f t="shared" si="29"/>
        <v>0.76111568001192187</v>
      </c>
      <c r="O61" s="97">
        <f>+'P01 2023'!EI53</f>
        <v>152873.94699999999</v>
      </c>
      <c r="P61" s="1156">
        <f t="shared" si="30"/>
        <v>0.23888431998807802</v>
      </c>
      <c r="Q61" s="1733">
        <f>+'P01 2022'!ES49</f>
        <v>590589.76443099999</v>
      </c>
      <c r="R61" s="997">
        <f ca="1">SUMIF(T$3:$AN53,"SI",T61:AN61)</f>
        <v>436574.44547499996</v>
      </c>
      <c r="S61" s="1734">
        <f t="shared" ca="1" si="32"/>
        <v>0.73921776462823541</v>
      </c>
      <c r="T61" s="1721">
        <f>+'P01 2023'!I53</f>
        <v>0</v>
      </c>
      <c r="U61" s="1056">
        <v>0</v>
      </c>
      <c r="V61" s="1147">
        <v>0</v>
      </c>
      <c r="W61" s="1176">
        <v>0</v>
      </c>
      <c r="X61" s="546">
        <f>+'P01 2023'!AD46</f>
        <v>164302.965</v>
      </c>
      <c r="Y61" s="1176">
        <f>+'P01 2022'!AB45</f>
        <v>154849.88875999997</v>
      </c>
      <c r="Z61" s="1147">
        <v>0</v>
      </c>
      <c r="AA61" s="1176">
        <f>+'P01 2022'!AQ45</f>
        <v>0</v>
      </c>
      <c r="AB61" s="1147">
        <v>0</v>
      </c>
      <c r="AC61" s="1176">
        <f>+'P01 2022'!BI36</f>
        <v>617.99843599999997</v>
      </c>
      <c r="AD61" s="1147">
        <f>+'P01 2023'!BZ46</f>
        <v>161898.399</v>
      </c>
      <c r="AE61" s="1176">
        <f>+'P01 2022'!CC46</f>
        <v>143213.46268299999</v>
      </c>
      <c r="AF61" s="1468">
        <v>0</v>
      </c>
      <c r="AG61" s="1056">
        <f>+'P01 2022'!CY44</f>
        <v>216.64790399999998</v>
      </c>
      <c r="AH61" s="546">
        <v>0</v>
      </c>
      <c r="AI61" s="1056">
        <f>+'P01 2022'!DR38</f>
        <v>35.420222999999993</v>
      </c>
      <c r="AJ61" s="1584">
        <f>+'P01 2023'!DX46</f>
        <v>160874.38099999999</v>
      </c>
      <c r="AK61" s="18">
        <f>+'P01 2022'!EJ42</f>
        <v>137641.02746899999</v>
      </c>
      <c r="AL61" s="1189">
        <f>+'P01 2022'!FC41</f>
        <v>0</v>
      </c>
      <c r="AM61" s="18">
        <f>+'P01 2022'!GA43</f>
        <v>0</v>
      </c>
      <c r="AN61" s="1056">
        <f>+'P01 2022'!GX47</f>
        <v>130807.217</v>
      </c>
      <c r="AY61" s="753"/>
      <c r="AZ61" s="1602"/>
      <c r="BA61" s="1398"/>
      <c r="BB61" s="753"/>
      <c r="BC61" s="1610"/>
      <c r="BD61" s="1610"/>
    </row>
    <row r="62" spans="1:56" ht="15" hidden="1" customHeight="1" x14ac:dyDescent="0.25">
      <c r="B62" s="1413" t="s">
        <v>926</v>
      </c>
      <c r="C62" s="800"/>
      <c r="D62" s="182"/>
      <c r="E62" s="17"/>
      <c r="F62" s="17">
        <v>3</v>
      </c>
      <c r="G62" s="17" t="str">
        <f>+CONCATENATE($C$10,"",$D$41,"",$E$59,"00",F62)</f>
        <v>21.02.003.003</v>
      </c>
      <c r="H62" s="1294" t="s">
        <v>931</v>
      </c>
      <c r="I62" s="1147">
        <v>0</v>
      </c>
      <c r="J62" s="97">
        <v>0</v>
      </c>
      <c r="K62" s="97">
        <f ca="1">SUMIF(T$3:$AN51,"ok",T62:AN62)</f>
        <v>0</v>
      </c>
      <c r="L62" s="694">
        <f ca="1">IFERROR(K62/J62,"0,00"%)</f>
        <v>0</v>
      </c>
      <c r="M62" s="97">
        <v>0</v>
      </c>
      <c r="N62" s="694">
        <f t="shared" si="23"/>
        <v>0</v>
      </c>
      <c r="O62" s="97">
        <v>0</v>
      </c>
      <c r="P62" s="1156">
        <f t="shared" si="24"/>
        <v>0</v>
      </c>
      <c r="Q62" s="1162">
        <v>0</v>
      </c>
      <c r="R62" s="997">
        <f ca="1">SUMIF(T$3:$AN52,"SI",T62:AN62)</f>
        <v>0</v>
      </c>
      <c r="S62" s="1734">
        <v>0</v>
      </c>
      <c r="T62" s="1287">
        <v>0</v>
      </c>
      <c r="U62" s="1056">
        <v>0</v>
      </c>
      <c r="V62" s="1147">
        <v>0</v>
      </c>
      <c r="W62" s="1176">
        <v>0</v>
      </c>
      <c r="X62" s="546">
        <v>0</v>
      </c>
      <c r="Y62" s="1176">
        <v>0</v>
      </c>
      <c r="Z62" s="1147">
        <v>0</v>
      </c>
      <c r="AA62" s="1176">
        <v>0</v>
      </c>
      <c r="AB62" s="1147">
        <v>0</v>
      </c>
      <c r="AC62" s="1176">
        <v>0</v>
      </c>
      <c r="AD62" s="1147">
        <v>0</v>
      </c>
      <c r="AE62" s="1176">
        <v>0</v>
      </c>
      <c r="AF62" s="1468">
        <v>0</v>
      </c>
      <c r="AG62" s="1056">
        <v>0</v>
      </c>
      <c r="AH62" s="546">
        <v>0</v>
      </c>
      <c r="AI62" s="1056"/>
      <c r="AJ62" s="1584">
        <v>0</v>
      </c>
      <c r="AK62" s="18">
        <v>0</v>
      </c>
      <c r="AL62" s="1189"/>
      <c r="AM62" s="18"/>
      <c r="AN62" s="1056">
        <f>+'P01 2022'!GX48</f>
        <v>18.152999999999999</v>
      </c>
      <c r="AY62" s="753"/>
      <c r="AZ62" s="1602"/>
      <c r="BA62" s="1398"/>
      <c r="BB62" s="753"/>
      <c r="BC62" s="1610"/>
      <c r="BD62" s="1610"/>
    </row>
    <row r="63" spans="1:56" s="181" customFormat="1" ht="15" hidden="1" customHeight="1" x14ac:dyDescent="0.25">
      <c r="A63" s="175"/>
      <c r="B63" s="1413" t="s">
        <v>371</v>
      </c>
      <c r="C63" s="801"/>
      <c r="D63" s="184"/>
      <c r="E63" s="137" t="s">
        <v>160</v>
      </c>
      <c r="F63" s="137"/>
      <c r="G63" s="137"/>
      <c r="H63" s="1295" t="s">
        <v>34</v>
      </c>
      <c r="I63" s="1145">
        <f>SUM(I64:I67)</f>
        <v>290726.53200000001</v>
      </c>
      <c r="J63" s="127">
        <f t="shared" ref="J63:R63" si="36">SUM(J64:J67)</f>
        <v>365216.43099999998</v>
      </c>
      <c r="K63" s="127">
        <f t="shared" ca="1" si="36"/>
        <v>325927.29700000002</v>
      </c>
      <c r="L63" s="783">
        <f ca="1">IFERROR(K63/J63,"0,00"%)</f>
        <v>0.89242232642046715</v>
      </c>
      <c r="M63" s="127">
        <f t="shared" si="36"/>
        <v>325927.29700000002</v>
      </c>
      <c r="N63" s="783">
        <f t="shared" si="23"/>
        <v>0.89242232642046715</v>
      </c>
      <c r="O63" s="16">
        <f t="shared" si="36"/>
        <v>39289.134000000005</v>
      </c>
      <c r="P63" s="1155">
        <f t="shared" si="24"/>
        <v>0.10757767357953292</v>
      </c>
      <c r="Q63" s="1148">
        <f>SUM(Q64:Q67)</f>
        <v>374341.72169999999</v>
      </c>
      <c r="R63" s="16">
        <f t="shared" ca="1" si="36"/>
        <v>267148.39457099995</v>
      </c>
      <c r="S63" s="1146">
        <f ca="1">IFERROR(R63/Q63,"0%")</f>
        <v>0.71364846364919621</v>
      </c>
      <c r="T63" s="217">
        <f t="shared" ref="T63:AK63" si="37">SUM(T64:T66)</f>
        <v>26134.294000000002</v>
      </c>
      <c r="U63" s="364">
        <f t="shared" si="37"/>
        <v>23846.225849999999</v>
      </c>
      <c r="V63" s="1163">
        <f>+'P01 2023'!N36</f>
        <v>42221.557000000001</v>
      </c>
      <c r="W63" s="1177">
        <f t="shared" si="37"/>
        <v>21368.424937</v>
      </c>
      <c r="X63" s="1210">
        <f>SUM(X64:X67)</f>
        <v>38651.775000000001</v>
      </c>
      <c r="Y63" s="1177">
        <f t="shared" si="37"/>
        <v>13839.741255999999</v>
      </c>
      <c r="Z63" s="1163">
        <f>SUM(Z64:Z67)</f>
        <v>40582.860999999997</v>
      </c>
      <c r="AA63" s="1177">
        <f>SUM(AA64:AA67)</f>
        <v>35675.873437000002</v>
      </c>
      <c r="AB63" s="1163">
        <f>SUM(AB64:AB67)</f>
        <v>35443.093000000001</v>
      </c>
      <c r="AC63" s="1177">
        <f t="shared" si="37"/>
        <v>32313.687351</v>
      </c>
      <c r="AD63" s="1280">
        <f>+'P01 2023'!BZ47</f>
        <v>37188.557000000001</v>
      </c>
      <c r="AE63" s="1177">
        <f t="shared" si="37"/>
        <v>32108.425239999997</v>
      </c>
      <c r="AF63" s="1219">
        <f>+'P01 2023'!CP45</f>
        <v>33676.786999999997</v>
      </c>
      <c r="AG63" s="364">
        <f t="shared" si="37"/>
        <v>37855.451826000004</v>
      </c>
      <c r="AH63" s="1211">
        <f>+'P01 2023'!DF36</f>
        <v>35723.017999999996</v>
      </c>
      <c r="AI63" s="364">
        <f t="shared" si="37"/>
        <v>37087.092039999996</v>
      </c>
      <c r="AJ63" s="1585">
        <f>+'P01 2023'!DX47</f>
        <v>36305.355000000003</v>
      </c>
      <c r="AK63" s="3">
        <f t="shared" si="37"/>
        <v>33053.472633999998</v>
      </c>
      <c r="AL63" s="3">
        <f>+SUM(AL64:AL66)</f>
        <v>31389.476000000002</v>
      </c>
      <c r="AM63" s="186">
        <f>+'P01 2022'!GA44</f>
        <v>37965.623</v>
      </c>
      <c r="AN63" s="1055">
        <f>+'P01 2022'!GX49</f>
        <v>53058.711000000003</v>
      </c>
      <c r="AO63" s="1601"/>
      <c r="AP63" s="1401"/>
      <c r="AQ63" s="1401"/>
      <c r="AR63" s="1401"/>
      <c r="AS63" s="1401"/>
      <c r="AT63" s="1401"/>
      <c r="AU63" s="1401"/>
      <c r="AV63" s="1401"/>
      <c r="AW63" s="1401"/>
      <c r="AX63" s="1401"/>
      <c r="AY63" s="753"/>
      <c r="AZ63" s="1602"/>
      <c r="BA63" s="1398"/>
      <c r="BB63" s="753"/>
      <c r="BC63" s="1610"/>
      <c r="BD63" s="1610"/>
    </row>
    <row r="64" spans="1:56" ht="15" hidden="1" customHeight="1" x14ac:dyDescent="0.25">
      <c r="B64" s="1413" t="s">
        <v>582</v>
      </c>
      <c r="C64" s="800"/>
      <c r="D64" s="182"/>
      <c r="E64" s="17"/>
      <c r="F64" s="17">
        <v>4</v>
      </c>
      <c r="G64" s="17" t="str">
        <f>+CONCATENATE($C$10,"",$D$41,"",$E$63,"00",F64)</f>
        <v>21.02.004.004</v>
      </c>
      <c r="H64" s="1294" t="s">
        <v>35</v>
      </c>
      <c r="I64" s="1147">
        <f>+'P01 2023'!F55</f>
        <v>187398.5</v>
      </c>
      <c r="J64" s="97">
        <f>+'P01 2023'!EF55</f>
        <v>187398.5</v>
      </c>
      <c r="K64" s="97">
        <f ca="1">SUMIF(T$3:$AN51,"ok",T64:AN64)</f>
        <v>185359.609</v>
      </c>
      <c r="L64" s="694">
        <f t="shared" ca="1" si="4"/>
        <v>0.98912002497351903</v>
      </c>
      <c r="M64" s="97">
        <f>+'P01 2023'!EH55</f>
        <v>185359.609</v>
      </c>
      <c r="N64" s="694">
        <f t="shared" si="23"/>
        <v>0.98912002497351903</v>
      </c>
      <c r="O64" s="97">
        <f>+'P01 2023'!EI55</f>
        <v>2038.8910000000001</v>
      </c>
      <c r="P64" s="1156">
        <f t="shared" si="24"/>
        <v>1.0879975026481001E-2</v>
      </c>
      <c r="Q64" s="1733">
        <f>+'P01 2022'!ES51</f>
        <v>213899.30489999999</v>
      </c>
      <c r="R64" s="997">
        <f ca="1">SUMIF(T$3:$AN52,"SI",T64:AN64)</f>
        <v>172570.77270199996</v>
      </c>
      <c r="S64" s="1734">
        <f t="shared" ca="1" si="25"/>
        <v>0.80678510284396898</v>
      </c>
      <c r="T64" s="1721">
        <f>+'P01 2023'!I55</f>
        <v>20521.419000000002</v>
      </c>
      <c r="U64" s="1056">
        <f>+'P01 2022'!F50</f>
        <v>14179.781136999998</v>
      </c>
      <c r="V64" s="1147">
        <f>+'P01 2023'!N37</f>
        <v>20003.036</v>
      </c>
      <c r="W64" s="1176">
        <f>+'P01 2022'!M39</f>
        <v>14179.781136999998</v>
      </c>
      <c r="X64" s="546">
        <f>+'P01 2023'!AD48</f>
        <v>20792.566999999999</v>
      </c>
      <c r="Y64" s="1176">
        <f>+'P01 2022'!AB47</f>
        <v>7876.2963739999996</v>
      </c>
      <c r="Z64" s="1147">
        <f>+'P01 2023'!AT46</f>
        <v>20792.566999999999</v>
      </c>
      <c r="AA64" s="1176">
        <f>+'P01 2022'!AQ47</f>
        <v>30616.935254999997</v>
      </c>
      <c r="AB64" s="1147">
        <f>+'P01 2023'!BJ38</f>
        <v>20564.293000000001</v>
      </c>
      <c r="AC64" s="1176">
        <f>+'P01 2022'!BI38</f>
        <v>21160.524459999997</v>
      </c>
      <c r="AD64" s="1147">
        <f>+'P01 2023'!BZ48</f>
        <v>20564.293000000001</v>
      </c>
      <c r="AE64" s="1176">
        <f>+'P01 2022'!CC48</f>
        <v>21160.524459999997</v>
      </c>
      <c r="AF64" s="1468">
        <f>+'P01 2023'!CP46</f>
        <v>20564.293000000001</v>
      </c>
      <c r="AG64" s="1056">
        <f>+'P01 2022'!CY46</f>
        <v>22339.857054</v>
      </c>
      <c r="AH64" s="546">
        <f>+'P01 2023'!DF37</f>
        <v>18327.027999999998</v>
      </c>
      <c r="AI64" s="1056">
        <f>+'P01 2022'!DR40</f>
        <v>20894.931783999997</v>
      </c>
      <c r="AJ64" s="1584">
        <f>+'P01 2023'!DX48</f>
        <v>23230.113000000001</v>
      </c>
      <c r="AK64" s="18">
        <f>+'P01 2022'!EJ44</f>
        <v>20162.141040999999</v>
      </c>
      <c r="AL64" s="323">
        <f>+'P01 2022'!FC43</f>
        <v>19537.288</v>
      </c>
      <c r="AM64" s="18">
        <f>+'P01 2022'!GA45</f>
        <v>20990.792000000001</v>
      </c>
      <c r="AN64" s="1056">
        <f>+'P01 2022'!GX50</f>
        <v>24045.931</v>
      </c>
      <c r="AY64" s="753"/>
      <c r="AZ64" s="1602"/>
      <c r="BA64" s="1398"/>
      <c r="BB64" s="753"/>
      <c r="BC64" s="1610"/>
      <c r="BD64" s="1610"/>
    </row>
    <row r="65" spans="1:56" s="177" customFormat="1" ht="15" hidden="1" customHeight="1" x14ac:dyDescent="0.25">
      <c r="A65" s="175"/>
      <c r="B65" s="1413" t="s">
        <v>583</v>
      </c>
      <c r="C65" s="800"/>
      <c r="D65" s="182"/>
      <c r="E65" s="17"/>
      <c r="F65" s="17">
        <v>5</v>
      </c>
      <c r="G65" s="17" t="str">
        <f>+CONCATENATE($C$10,"",$D$41,"",$E$63,"00",F65)</f>
        <v>21.02.004.005</v>
      </c>
      <c r="H65" s="1294" t="s">
        <v>805</v>
      </c>
      <c r="I65" s="1147">
        <f>+'P01 2023'!F56</f>
        <v>50000</v>
      </c>
      <c r="J65" s="97">
        <f>+'P01 2023'!EF56</f>
        <v>50000</v>
      </c>
      <c r="K65" s="97">
        <f ca="1">SUMIF(T$3:$AN52,"ok",T65:AN65)</f>
        <v>46392.087000000007</v>
      </c>
      <c r="L65" s="694">
        <f t="shared" ca="1" si="4"/>
        <v>0.92784174000000008</v>
      </c>
      <c r="M65" s="97">
        <f>+'P01 2023'!EH56</f>
        <v>46392.087</v>
      </c>
      <c r="N65" s="694">
        <f t="shared" si="23"/>
        <v>0.92784173999999997</v>
      </c>
      <c r="O65" s="97">
        <f>+'P01 2023'!EI56</f>
        <v>3607.913</v>
      </c>
      <c r="P65" s="1156">
        <f t="shared" si="24"/>
        <v>7.2158260000000002E-2</v>
      </c>
      <c r="Q65" s="1733">
        <f>+'P01 2022'!ES52</f>
        <v>59193.792799999996</v>
      </c>
      <c r="R65" s="997">
        <f ca="1">SUMIF(T$3:$AN53,"SI",T65:AN65)</f>
        <v>28922.851288999995</v>
      </c>
      <c r="S65" s="1734">
        <f t="shared" ca="1" si="25"/>
        <v>0.4886129089028402</v>
      </c>
      <c r="T65" s="1721">
        <f>+'P01 2023'!I56</f>
        <v>695.79399999999998</v>
      </c>
      <c r="U65" s="1056">
        <f>+'P01 2022'!F51</f>
        <v>1906.282152</v>
      </c>
      <c r="V65" s="1147">
        <f>+'P01 2023'!N38</f>
        <v>8433.027</v>
      </c>
      <c r="W65" s="1176">
        <f>+'P01 2022'!M40</f>
        <v>3289.6937379999999</v>
      </c>
      <c r="X65" s="546">
        <f>+'P01 2023'!AD49</f>
        <v>5680.9340000000002</v>
      </c>
      <c r="Y65" s="1176">
        <f>+'P01 2022'!AB48</f>
        <v>1239.3187469999998</v>
      </c>
      <c r="Z65" s="1147">
        <f>+'P01 2023'!AT47</f>
        <v>7324.0870000000004</v>
      </c>
      <c r="AA65" s="1176">
        <f>+'P01 2022'!AQ48</f>
        <v>2584.2678040000001</v>
      </c>
      <c r="AB65" s="1147">
        <f>+'P01 2023'!BJ39</f>
        <v>5000.62</v>
      </c>
      <c r="AC65" s="1176">
        <f>+'P01 2022'!BI39</f>
        <v>1736.517863</v>
      </c>
      <c r="AD65" s="1147">
        <f>+'P01 2023'!BZ49</f>
        <v>4322.8360000000002</v>
      </c>
      <c r="AE65" s="1176">
        <f>+'P01 2022'!CC49</f>
        <v>2561.604644</v>
      </c>
      <c r="AF65" s="1468">
        <f>+'P01 2023'!CP47</f>
        <v>5830.7079999999996</v>
      </c>
      <c r="AG65" s="1056">
        <f>+'P01 2022'!CY47</f>
        <v>4025.3343839999998</v>
      </c>
      <c r="AH65" s="546">
        <f>+'P01 2023'!DF38</f>
        <v>4335.3360000000002</v>
      </c>
      <c r="AI65" s="1056">
        <f>+'P01 2022'!DR41</f>
        <v>6177.9115099999999</v>
      </c>
      <c r="AJ65" s="1584">
        <f>+'P01 2023'!DX49</f>
        <v>4768.7449999999999</v>
      </c>
      <c r="AK65" s="18">
        <f>+'P01 2022'!EJ45</f>
        <v>5401.9204470000004</v>
      </c>
      <c r="AL65" s="323">
        <f>+'P01 2022'!FC44</f>
        <v>4512.7510000000002</v>
      </c>
      <c r="AM65" s="18">
        <f>+'P01 2022'!GA46</f>
        <v>4791.3860000000004</v>
      </c>
      <c r="AN65" s="1056">
        <f>+'P01 2022'!GX51</f>
        <v>17887.877</v>
      </c>
      <c r="AO65" s="1601"/>
      <c r="AP65" s="1401"/>
      <c r="AQ65" s="1401"/>
      <c r="AR65" s="1401"/>
      <c r="AS65" s="1401"/>
      <c r="AT65" s="1401"/>
      <c r="AU65" s="1401"/>
      <c r="AV65" s="1401"/>
      <c r="AW65" s="1401"/>
      <c r="AX65" s="1401"/>
      <c r="AY65" s="753"/>
      <c r="AZ65" s="1602"/>
      <c r="BA65" s="1398"/>
      <c r="BB65" s="753"/>
      <c r="BC65" s="1610"/>
      <c r="BD65" s="1610"/>
    </row>
    <row r="66" spans="1:56" s="177" customFormat="1" ht="15" hidden="1" customHeight="1" x14ac:dyDescent="0.25">
      <c r="A66" s="175"/>
      <c r="B66" s="1413" t="s">
        <v>624</v>
      </c>
      <c r="C66" s="800"/>
      <c r="D66" s="182"/>
      <c r="E66" s="17"/>
      <c r="F66" s="17">
        <v>6</v>
      </c>
      <c r="G66" s="17" t="str">
        <f>+CONCATENATE($C$10,"",$D$41,"",$E$63,"00",F66)</f>
        <v>21.02.004.006</v>
      </c>
      <c r="H66" s="1294" t="s">
        <v>37</v>
      </c>
      <c r="I66" s="1147">
        <f>+'P01 2023'!F57</f>
        <v>52828.031999999999</v>
      </c>
      <c r="J66" s="97">
        <f>+'P01 2023'!EF57</f>
        <v>127317.931</v>
      </c>
      <c r="K66" s="97">
        <f ca="1">SUMIF(T$3:$AN53,"ok",T66:AN66)</f>
        <v>94175.60100000001</v>
      </c>
      <c r="L66" s="694">
        <f t="shared" ca="1" si="4"/>
        <v>0.73968843398813955</v>
      </c>
      <c r="M66" s="97">
        <f>+'P01 2023'!EH57</f>
        <v>94175.600999999995</v>
      </c>
      <c r="N66" s="694">
        <f t="shared" si="23"/>
        <v>0.73968843398813944</v>
      </c>
      <c r="O66" s="97">
        <f>+'P01 2023'!EI57</f>
        <v>33142.33</v>
      </c>
      <c r="P66" s="1156">
        <f t="shared" si="24"/>
        <v>0.26031156601186051</v>
      </c>
      <c r="Q66" s="1733">
        <f>+'P01 2022'!ES53</f>
        <v>101248.624</v>
      </c>
      <c r="R66" s="997">
        <f ca="1">SUMIF(T$3:$AN55,"SI",T66:AN66)</f>
        <v>65654.770579999997</v>
      </c>
      <c r="S66" s="1734">
        <f t="shared" ca="1" si="25"/>
        <v>0.64845099109692594</v>
      </c>
      <c r="T66" s="1721">
        <f>+'P01 2023'!I57</f>
        <v>4917.0810000000001</v>
      </c>
      <c r="U66" s="1056">
        <f>+'P01 2022'!F52</f>
        <v>7760.1625610000001</v>
      </c>
      <c r="V66" s="1147">
        <f>+'P01 2023'!N39</f>
        <v>13785.494000000001</v>
      </c>
      <c r="W66" s="1176">
        <f>+'P01 2022'!M41</f>
        <v>3898.9500619999994</v>
      </c>
      <c r="X66" s="546">
        <f>+'P01 2023'!AD50</f>
        <v>12178.273999999999</v>
      </c>
      <c r="Y66" s="1176">
        <f>+'P01 2022'!AB49</f>
        <v>4724.1261350000004</v>
      </c>
      <c r="Z66" s="1147">
        <f>+'P01 2023'!AT48</f>
        <v>12466.207</v>
      </c>
      <c r="AA66" s="1176">
        <f>+'P01 2022'!AQ49</f>
        <v>2474.6703779999998</v>
      </c>
      <c r="AB66" s="1147">
        <f>+'P01 2023'!BJ40</f>
        <v>9878.18</v>
      </c>
      <c r="AC66" s="1176">
        <f>+'P01 2022'!BI40</f>
        <v>9416.6450280000008</v>
      </c>
      <c r="AD66" s="1147">
        <f>+'P01 2023'!BZ50</f>
        <v>12301.428</v>
      </c>
      <c r="AE66" s="1176">
        <f>+'P01 2022'!CC50</f>
        <v>8386.296135999999</v>
      </c>
      <c r="AF66" s="1468">
        <f>+'P01 2023'!CP48</f>
        <v>7281.7860000000001</v>
      </c>
      <c r="AG66" s="1056">
        <f>+'P01 2022'!CY48</f>
        <v>11490.260387999999</v>
      </c>
      <c r="AH66" s="546">
        <f>+'P01 2023'!DF39</f>
        <v>13060.654</v>
      </c>
      <c r="AI66" s="1056">
        <f>+'P01 2022'!DR42</f>
        <v>10014.248745999999</v>
      </c>
      <c r="AJ66" s="1584">
        <f>+'P01 2023'!DX50</f>
        <v>8306.4969999999994</v>
      </c>
      <c r="AK66" s="18">
        <f>+'P01 2022'!EJ46</f>
        <v>7489.4111460000004</v>
      </c>
      <c r="AL66" s="323">
        <f>+'P01 2022'!FC45</f>
        <v>7339.4369999999999</v>
      </c>
      <c r="AM66" s="18">
        <f>+'P01 2022'!GA47</f>
        <v>12183.445</v>
      </c>
      <c r="AN66" s="1056">
        <f>+'P01 2022'!GX52</f>
        <v>11124.903</v>
      </c>
      <c r="AO66" s="1601"/>
      <c r="AP66" s="1401"/>
      <c r="AQ66" s="1401"/>
      <c r="AR66" s="1401"/>
      <c r="AS66" s="1401"/>
      <c r="AT66" s="1401"/>
      <c r="AU66" s="1401"/>
      <c r="AV66" s="1401"/>
      <c r="AW66" s="1401"/>
      <c r="AX66" s="1401"/>
      <c r="AY66" s="753"/>
      <c r="AZ66" s="1602"/>
      <c r="BA66" s="1398"/>
      <c r="BB66" s="753"/>
      <c r="BC66" s="1610"/>
      <c r="BD66" s="1610"/>
    </row>
    <row r="67" spans="1:56" s="177" customFormat="1" ht="15" hidden="1" customHeight="1" x14ac:dyDescent="0.25">
      <c r="A67" s="175"/>
      <c r="B67" s="1413" t="s">
        <v>993</v>
      </c>
      <c r="C67" s="800"/>
      <c r="D67" s="182"/>
      <c r="E67" s="17"/>
      <c r="F67" s="17">
        <v>7</v>
      </c>
      <c r="G67" s="1048" t="s">
        <v>1002</v>
      </c>
      <c r="H67" s="1294" t="s">
        <v>38</v>
      </c>
      <c r="I67" s="1147">
        <f>+'P01 2023'!F58</f>
        <v>500</v>
      </c>
      <c r="J67" s="97">
        <f>+'P01 2023'!EF58</f>
        <v>500</v>
      </c>
      <c r="K67" s="97">
        <v>0</v>
      </c>
      <c r="L67" s="694">
        <v>0</v>
      </c>
      <c r="M67" s="97">
        <f>+'P01 2023'!EH58</f>
        <v>0</v>
      </c>
      <c r="N67" s="694">
        <v>0</v>
      </c>
      <c r="O67" s="97">
        <f>+'P01 2023'!EI58</f>
        <v>500</v>
      </c>
      <c r="P67" s="1156">
        <v>0</v>
      </c>
      <c r="Q67" s="1733">
        <v>0</v>
      </c>
      <c r="R67" s="997">
        <v>0</v>
      </c>
      <c r="S67" s="1734">
        <v>0</v>
      </c>
      <c r="T67" s="1721">
        <f>+'P01 2023'!I58</f>
        <v>0</v>
      </c>
      <c r="U67" s="1056">
        <v>0</v>
      </c>
      <c r="V67" s="1147">
        <v>0</v>
      </c>
      <c r="W67" s="1176">
        <v>0</v>
      </c>
      <c r="X67" s="546">
        <v>0</v>
      </c>
      <c r="Y67" s="1176">
        <v>0</v>
      </c>
      <c r="Z67" s="1147">
        <v>0</v>
      </c>
      <c r="AA67" s="1176">
        <v>0</v>
      </c>
      <c r="AB67" s="1147">
        <v>0</v>
      </c>
      <c r="AC67" s="1176">
        <v>0</v>
      </c>
      <c r="AD67" s="1147">
        <v>0</v>
      </c>
      <c r="AE67" s="1176">
        <v>0</v>
      </c>
      <c r="AF67" s="1468">
        <v>0</v>
      </c>
      <c r="AG67" s="1056">
        <v>0</v>
      </c>
      <c r="AH67" s="546">
        <v>0</v>
      </c>
      <c r="AI67" s="1056">
        <v>0</v>
      </c>
      <c r="AJ67" s="1584">
        <v>0</v>
      </c>
      <c r="AK67" s="18">
        <v>0</v>
      </c>
      <c r="AL67" s="323"/>
      <c r="AM67" s="18"/>
      <c r="AN67" s="1056"/>
      <c r="AO67" s="1601"/>
      <c r="AP67" s="1401"/>
      <c r="AQ67" s="1401"/>
      <c r="AR67" s="1401"/>
      <c r="AS67" s="1401"/>
      <c r="AT67" s="1401"/>
      <c r="AU67" s="1401"/>
      <c r="AV67" s="1401"/>
      <c r="AW67" s="1401"/>
      <c r="AX67" s="1401"/>
      <c r="AY67" s="753"/>
      <c r="AZ67" s="1602"/>
      <c r="BA67" s="1398"/>
      <c r="BB67" s="753"/>
      <c r="BC67" s="1610"/>
      <c r="BD67" s="1610"/>
    </row>
    <row r="68" spans="1:56" s="1024" customFormat="1" ht="15" hidden="1" customHeight="1" x14ac:dyDescent="0.25">
      <c r="A68" s="175"/>
      <c r="B68" s="1413" t="s">
        <v>372</v>
      </c>
      <c r="C68" s="801"/>
      <c r="D68" s="184"/>
      <c r="E68" s="137" t="s">
        <v>161</v>
      </c>
      <c r="F68" s="137"/>
      <c r="G68" s="137"/>
      <c r="H68" s="1295" t="s">
        <v>34</v>
      </c>
      <c r="I68" s="1145">
        <f>+'P01 2023'!F59</f>
        <v>163673.576</v>
      </c>
      <c r="J68" s="127">
        <f>+'P01 2023'!EF59</f>
        <v>163673.576</v>
      </c>
      <c r="K68" s="127">
        <f ca="1">+K69+K70+K71</f>
        <v>38450.550000000003</v>
      </c>
      <c r="L68" s="783">
        <f t="shared" ca="1" si="4"/>
        <v>0.23492215994596466</v>
      </c>
      <c r="M68" s="127">
        <f>+'P01 2023'!EH59</f>
        <v>38450.550000000003</v>
      </c>
      <c r="N68" s="783">
        <f t="shared" si="23"/>
        <v>0.23492215994596466</v>
      </c>
      <c r="O68" s="127">
        <f>+'P01 2023'!EI59</f>
        <v>125223.026</v>
      </c>
      <c r="P68" s="691">
        <f t="shared" si="24"/>
        <v>0.76507784005403534</v>
      </c>
      <c r="Q68" s="1148">
        <f>+'P01 2022'!ES54</f>
        <v>111718.27789100001</v>
      </c>
      <c r="R68" s="16">
        <f ca="1">SUM(R69:R71)</f>
        <v>59482.485528999998</v>
      </c>
      <c r="S68" s="1290">
        <f t="shared" ca="1" si="25"/>
        <v>0.53243288969272495</v>
      </c>
      <c r="T68" s="217">
        <f>+T71</f>
        <v>0</v>
      </c>
      <c r="U68" s="364">
        <f>+U71</f>
        <v>20941.099999999999</v>
      </c>
      <c r="V68" s="1163">
        <v>0</v>
      </c>
      <c r="W68" s="1177">
        <v>0</v>
      </c>
      <c r="X68" s="1210">
        <f t="shared" ref="X68:AE68" si="38">SUM(X69:X71)</f>
        <v>7659.7020000000002</v>
      </c>
      <c r="Y68" s="1177">
        <f t="shared" si="38"/>
        <v>7596.6476489999995</v>
      </c>
      <c r="Z68" s="1163">
        <f t="shared" si="38"/>
        <v>0</v>
      </c>
      <c r="AA68" s="1177">
        <f t="shared" si="38"/>
        <v>0</v>
      </c>
      <c r="AB68" s="1163">
        <v>0</v>
      </c>
      <c r="AC68" s="1177">
        <f t="shared" si="38"/>
        <v>0</v>
      </c>
      <c r="AD68" s="1163">
        <f>+'P01 2023'!BZ51</f>
        <v>9436.4369999999999</v>
      </c>
      <c r="AE68" s="1177">
        <f t="shared" si="38"/>
        <v>8939.7013770000012</v>
      </c>
      <c r="AF68" s="1219">
        <v>0</v>
      </c>
      <c r="AG68" s="364">
        <f>+AG69+AG70+AG71</f>
        <v>0</v>
      </c>
      <c r="AH68" s="1211">
        <v>0</v>
      </c>
      <c r="AI68" s="364">
        <v>0</v>
      </c>
      <c r="AJ68" s="1585">
        <f>+'P01 2023'!DX51</f>
        <v>21354.411</v>
      </c>
      <c r="AK68" s="3">
        <f>SUM(AK69:AK71)</f>
        <v>22005.036502999999</v>
      </c>
      <c r="AL68" s="3">
        <f>+AL69</f>
        <v>0</v>
      </c>
      <c r="AM68" s="186">
        <f>+'P01 2022'!GA48</f>
        <v>0</v>
      </c>
      <c r="AN68" s="1055">
        <f>+'P01 2022'!GX53</f>
        <v>79968.104000000007</v>
      </c>
      <c r="AO68" s="1601"/>
      <c r="AP68" s="1401"/>
      <c r="AQ68" s="1401"/>
      <c r="AR68" s="1401"/>
      <c r="AS68" s="1401"/>
      <c r="AT68" s="1401"/>
      <c r="AU68" s="1401"/>
      <c r="AV68" s="1401"/>
      <c r="AW68" s="1401"/>
      <c r="AX68" s="1401"/>
      <c r="AY68" s="753"/>
      <c r="AZ68" s="1602"/>
      <c r="BA68" s="1398"/>
      <c r="BB68" s="753"/>
      <c r="BC68" s="1610"/>
      <c r="BD68" s="1610"/>
    </row>
    <row r="69" spans="1:56" s="177" customFormat="1" ht="15" hidden="1" customHeight="1" x14ac:dyDescent="0.25">
      <c r="A69" s="175"/>
      <c r="B69" s="1413" t="s">
        <v>373</v>
      </c>
      <c r="C69" s="800"/>
      <c r="D69" s="182"/>
      <c r="E69" s="17"/>
      <c r="F69" s="17">
        <v>1</v>
      </c>
      <c r="G69" s="17" t="str">
        <f>+CONCATENATE($C$10,"",$D$41,"",$E$68,"00",F69)</f>
        <v>21.02.005.001</v>
      </c>
      <c r="H69" s="1294" t="s">
        <v>95</v>
      </c>
      <c r="I69" s="1147">
        <f>+'P01 2023'!F60</f>
        <v>47688.317999999999</v>
      </c>
      <c r="J69" s="97">
        <f>+'P01 2023'!EF60</f>
        <v>47688.317999999999</v>
      </c>
      <c r="K69" s="97">
        <f ca="1">SUMIF(T$3:$AN58,"ok",T69:AN69)</f>
        <v>21354.411</v>
      </c>
      <c r="L69" s="694">
        <f t="shared" ca="1" si="4"/>
        <v>0.44779123893612688</v>
      </c>
      <c r="M69" s="97">
        <f>+'P01 2023'!EH60</f>
        <v>21354.411</v>
      </c>
      <c r="N69" s="694">
        <f t="shared" si="23"/>
        <v>0.44779123893612688</v>
      </c>
      <c r="O69" s="97">
        <f>+'P01 2023'!EI60</f>
        <v>26333.906999999999</v>
      </c>
      <c r="P69" s="1156">
        <f t="shared" si="24"/>
        <v>0.55220876106387307</v>
      </c>
      <c r="Q69" s="1733">
        <f>+'P01 2022'!ES55</f>
        <v>44010.073005999999</v>
      </c>
      <c r="R69" s="997">
        <f ca="1">SUMIF(T$3:$AN59,"SI",T69:AN69)</f>
        <v>22005.036502999999</v>
      </c>
      <c r="S69" s="1734">
        <f t="shared" ca="1" si="25"/>
        <v>0.5</v>
      </c>
      <c r="T69" s="1721">
        <f>+'P01 2023'!I60</f>
        <v>0</v>
      </c>
      <c r="U69" s="1056">
        <v>0</v>
      </c>
      <c r="V69" s="1147">
        <v>0</v>
      </c>
      <c r="W69" s="1176">
        <v>0</v>
      </c>
      <c r="X69" s="546">
        <v>0</v>
      </c>
      <c r="Y69" s="1176">
        <v>0</v>
      </c>
      <c r="Z69" s="1147">
        <v>0</v>
      </c>
      <c r="AA69" s="1176">
        <f>+'P01 2022'!AQ51</f>
        <v>0</v>
      </c>
      <c r="AB69" s="1147">
        <v>0</v>
      </c>
      <c r="AC69" s="1176">
        <v>0</v>
      </c>
      <c r="AD69" s="1147">
        <v>0</v>
      </c>
      <c r="AE69" s="1176">
        <v>0</v>
      </c>
      <c r="AF69" s="1468">
        <v>0</v>
      </c>
      <c r="AG69" s="1056">
        <v>0</v>
      </c>
      <c r="AH69" s="546">
        <v>0</v>
      </c>
      <c r="AI69" s="1056">
        <v>0</v>
      </c>
      <c r="AJ69" s="1584">
        <f>+'P01 2023'!DX52</f>
        <v>21354.411</v>
      </c>
      <c r="AK69" s="18">
        <f>+'P01 2022'!EJ48</f>
        <v>22005.036502999999</v>
      </c>
      <c r="AL69" s="1189">
        <f>+'P01 2022'!FC47</f>
        <v>0</v>
      </c>
      <c r="AM69" s="18">
        <f>+'P01 2022'!GA49</f>
        <v>0</v>
      </c>
      <c r="AN69" s="1056">
        <f>+'P01 2022'!GX54</f>
        <v>14858.103999999999</v>
      </c>
      <c r="AO69" s="1601"/>
      <c r="AP69" s="1401"/>
      <c r="AQ69" s="1401"/>
      <c r="AR69" s="1401"/>
      <c r="AS69" s="1401"/>
      <c r="AT69" s="1401"/>
      <c r="AU69" s="1401"/>
      <c r="AV69" s="1401"/>
      <c r="AW69" s="1401"/>
      <c r="AX69" s="1401"/>
      <c r="AY69" s="753"/>
      <c r="AZ69" s="1602"/>
      <c r="BA69" s="1398"/>
      <c r="BB69" s="753"/>
      <c r="BC69" s="1610"/>
      <c r="BD69" s="1610"/>
    </row>
    <row r="70" spans="1:56" s="177" customFormat="1" ht="15" hidden="1" customHeight="1" x14ac:dyDescent="0.25">
      <c r="A70" s="175"/>
      <c r="B70" s="1413" t="s">
        <v>482</v>
      </c>
      <c r="C70" s="800"/>
      <c r="D70" s="182"/>
      <c r="E70" s="17"/>
      <c r="F70" s="17">
        <v>2</v>
      </c>
      <c r="G70" s="17" t="str">
        <f>+CONCATENATE($C$10,"",$D$41,"",$E$68,"00",F70)</f>
        <v>21.02.005.002</v>
      </c>
      <c r="H70" s="1294" t="s">
        <v>96</v>
      </c>
      <c r="I70" s="1147">
        <f>+'P01 2023'!F61</f>
        <v>17918.413</v>
      </c>
      <c r="J70" s="97">
        <f>+'P01 2023'!EF61</f>
        <v>17918.413</v>
      </c>
      <c r="K70" s="18">
        <f ca="1">SUMIF(T$3:$AN59,"ok",T70:AN70)</f>
        <v>17096.138999999999</v>
      </c>
      <c r="L70" s="694">
        <f t="shared" ca="1" si="4"/>
        <v>0.95411011008620006</v>
      </c>
      <c r="M70" s="97">
        <f>+'P01 2023'!EH61</f>
        <v>17096.138999999999</v>
      </c>
      <c r="N70" s="694">
        <f t="shared" si="23"/>
        <v>0.95411011008620006</v>
      </c>
      <c r="O70" s="97">
        <f>+'P01 2023'!EI61</f>
        <v>822.274</v>
      </c>
      <c r="P70" s="1156">
        <f t="shared" si="24"/>
        <v>4.5889889913799845E-2</v>
      </c>
      <c r="Q70" s="1733">
        <f>+'P01 2022'!ES56</f>
        <v>16536.349026</v>
      </c>
      <c r="R70" s="997">
        <f ca="1">SUMIF(T$3:$AN60,"SI",T70:AN70)</f>
        <v>16536.349026</v>
      </c>
      <c r="S70" s="1734">
        <f t="shared" ca="1" si="25"/>
        <v>1</v>
      </c>
      <c r="T70" s="1721">
        <f>+'P01 2023'!I61</f>
        <v>0</v>
      </c>
      <c r="U70" s="1056">
        <v>0</v>
      </c>
      <c r="V70" s="1147">
        <v>0</v>
      </c>
      <c r="W70" s="1176">
        <v>0</v>
      </c>
      <c r="X70" s="546">
        <f>+'P01 2023'!AD52</f>
        <v>7659.7020000000002</v>
      </c>
      <c r="Y70" s="1176">
        <f>+'P01 2022'!AB51</f>
        <v>7596.6476489999995</v>
      </c>
      <c r="Z70" s="1147">
        <f>+'P01 2023'!AT50</f>
        <v>0</v>
      </c>
      <c r="AA70" s="1344">
        <v>0</v>
      </c>
      <c r="AB70" s="1346">
        <v>0</v>
      </c>
      <c r="AC70" s="1176">
        <v>0</v>
      </c>
      <c r="AD70" s="1147">
        <f>+'P01 2023'!BZ52</f>
        <v>9436.4369999999999</v>
      </c>
      <c r="AE70" s="1176">
        <f>+'P01 2022'!CC52</f>
        <v>8939.7013770000012</v>
      </c>
      <c r="AF70" s="1468">
        <v>0</v>
      </c>
      <c r="AG70" s="1056">
        <v>0</v>
      </c>
      <c r="AH70" s="546">
        <v>0</v>
      </c>
      <c r="AI70" s="1056">
        <v>0</v>
      </c>
      <c r="AJ70" s="1584">
        <v>0</v>
      </c>
      <c r="AK70" s="18">
        <v>0</v>
      </c>
      <c r="AL70" s="185"/>
      <c r="AM70" s="18">
        <v>0</v>
      </c>
      <c r="AN70" s="1058">
        <v>0</v>
      </c>
      <c r="AO70" s="1601"/>
      <c r="AP70" s="1401"/>
      <c r="AQ70" s="1401"/>
      <c r="AR70" s="1401"/>
      <c r="AS70" s="1401"/>
      <c r="AT70" s="1401"/>
      <c r="AU70" s="1401"/>
      <c r="AV70" s="1401"/>
      <c r="AW70" s="1401"/>
      <c r="AX70" s="1401"/>
      <c r="AY70" s="753"/>
      <c r="AZ70" s="1602"/>
      <c r="BA70" s="1398"/>
      <c r="BB70" s="753"/>
      <c r="BC70" s="1610"/>
      <c r="BD70" s="1610"/>
    </row>
    <row r="71" spans="1:56" s="177" customFormat="1" ht="15" hidden="1" customHeight="1" x14ac:dyDescent="0.25">
      <c r="A71" s="175"/>
      <c r="B71" s="1413" t="s">
        <v>374</v>
      </c>
      <c r="C71" s="800"/>
      <c r="D71" s="182"/>
      <c r="E71" s="17"/>
      <c r="F71" s="17">
        <v>3</v>
      </c>
      <c r="G71" s="17" t="str">
        <f>+CONCATENATE($C$10,"",$D$41,"",$E$68,"00",F71)</f>
        <v>21.02.005.003</v>
      </c>
      <c r="H71" s="1294" t="s">
        <v>97</v>
      </c>
      <c r="I71" s="1147">
        <f>+'P01 2023'!F62</f>
        <v>98066.845000000001</v>
      </c>
      <c r="J71" s="97">
        <f>+'P01 2023'!EF62</f>
        <v>98066.845000000001</v>
      </c>
      <c r="K71" s="18">
        <f ca="1">SUMIF(T$3:$AN60,"ok",T71:AN71)</f>
        <v>0</v>
      </c>
      <c r="L71" s="694">
        <f t="shared" ca="1" si="4"/>
        <v>0</v>
      </c>
      <c r="M71" s="97">
        <f>+'P01 2023'!EH62</f>
        <v>0</v>
      </c>
      <c r="N71" s="694">
        <f t="shared" si="23"/>
        <v>0</v>
      </c>
      <c r="O71" s="97">
        <f>+'P01 2023'!EI62</f>
        <v>98066.845000000001</v>
      </c>
      <c r="P71" s="1156">
        <f t="shared" si="24"/>
        <v>1</v>
      </c>
      <c r="Q71" s="1733">
        <f>+'P01 2022'!ES57</f>
        <v>51171.855858999996</v>
      </c>
      <c r="R71" s="997">
        <f ca="1">SUMIF(T$3:$AN61,"SI",T71:AN71)</f>
        <v>20941.099999999999</v>
      </c>
      <c r="S71" s="1734">
        <f t="shared" ca="1" si="25"/>
        <v>0.40923080956261476</v>
      </c>
      <c r="T71" s="1721">
        <f>+'P01 2023'!I62</f>
        <v>0</v>
      </c>
      <c r="U71" s="1056">
        <f>+'P01 2022'!F56</f>
        <v>20941.099999999999</v>
      </c>
      <c r="V71" s="1147">
        <v>0</v>
      </c>
      <c r="W71" s="1176">
        <v>0</v>
      </c>
      <c r="X71" s="546">
        <v>0</v>
      </c>
      <c r="Y71" s="1176">
        <v>0</v>
      </c>
      <c r="Z71" s="1147">
        <v>0</v>
      </c>
      <c r="AA71" s="1344">
        <v>0</v>
      </c>
      <c r="AB71" s="1346">
        <v>0</v>
      </c>
      <c r="AC71" s="1176">
        <v>0</v>
      </c>
      <c r="AD71" s="1147">
        <v>0</v>
      </c>
      <c r="AE71" s="1176">
        <v>0</v>
      </c>
      <c r="AF71" s="1468">
        <f>+'P01 2023'!CP64</f>
        <v>0</v>
      </c>
      <c r="AG71" s="1056">
        <v>0</v>
      </c>
      <c r="AH71" s="546">
        <v>0</v>
      </c>
      <c r="AI71" s="1056">
        <v>0</v>
      </c>
      <c r="AJ71" s="1584">
        <v>0</v>
      </c>
      <c r="AK71" s="18">
        <v>0</v>
      </c>
      <c r="AL71" s="185"/>
      <c r="AM71" s="18">
        <v>0</v>
      </c>
      <c r="AN71" s="1056">
        <f>+'P01 2022'!GX55</f>
        <v>65110</v>
      </c>
      <c r="AO71" s="1601"/>
      <c r="AP71" s="1401"/>
      <c r="AQ71" s="1401"/>
      <c r="AR71" s="1401"/>
      <c r="AS71" s="1401"/>
      <c r="AT71" s="1401"/>
      <c r="AU71" s="1401"/>
      <c r="AV71" s="1401"/>
      <c r="AW71" s="1401"/>
      <c r="AX71" s="1401"/>
      <c r="AY71" s="753"/>
      <c r="AZ71" s="1602"/>
      <c r="BA71" s="1398"/>
      <c r="BB71" s="753"/>
      <c r="BC71" s="1610"/>
      <c r="BD71" s="1610"/>
    </row>
    <row r="72" spans="1:56" s="1024" customFormat="1" ht="15" hidden="1" customHeight="1" x14ac:dyDescent="0.25">
      <c r="A72" s="175"/>
      <c r="B72" s="1413" t="s">
        <v>375</v>
      </c>
      <c r="C72" s="801"/>
      <c r="D72" s="184" t="s">
        <v>163</v>
      </c>
      <c r="E72" s="137"/>
      <c r="F72" s="137"/>
      <c r="G72" s="137"/>
      <c r="H72" s="1295" t="s">
        <v>102</v>
      </c>
      <c r="I72" s="1145">
        <f>+'P01 2023'!F63</f>
        <v>1509478.3430000001</v>
      </c>
      <c r="J72" s="127">
        <f>+'P01 2023'!EF63</f>
        <v>1509478.3430000001</v>
      </c>
      <c r="K72" s="127">
        <f ca="1">+K73+K76+K77</f>
        <v>874361.11300000013</v>
      </c>
      <c r="L72" s="783">
        <f t="shared" ca="1" si="4"/>
        <v>0.57924720619857217</v>
      </c>
      <c r="M72" s="127">
        <f>+'P01 2023'!EH63</f>
        <v>874361.11300000001</v>
      </c>
      <c r="N72" s="783">
        <f t="shared" si="23"/>
        <v>0.57924720619857206</v>
      </c>
      <c r="O72" s="127">
        <f>+'P01 2023'!EI63</f>
        <v>635117.23</v>
      </c>
      <c r="P72" s="691">
        <f t="shared" si="24"/>
        <v>0.42075279380142783</v>
      </c>
      <c r="Q72" s="1148">
        <f>+'P01 2022'!ES58</f>
        <v>1278747.8704039999</v>
      </c>
      <c r="R72" s="16">
        <f ca="1">+R73+R76+R77</f>
        <v>896136.59760599991</v>
      </c>
      <c r="S72" s="1290">
        <f t="shared" ca="1" si="25"/>
        <v>0.70079225025249103</v>
      </c>
      <c r="T72" s="1723">
        <f t="shared" ref="T72:AE72" si="39">+T73+T76</f>
        <v>87758.681000000011</v>
      </c>
      <c r="U72" s="1075">
        <f t="shared" si="39"/>
        <v>112910.15388500001</v>
      </c>
      <c r="V72" s="1164">
        <f>+'P01 2023'!N40</f>
        <v>95423.414999999994</v>
      </c>
      <c r="W72" s="1179">
        <f t="shared" si="39"/>
        <v>110549.99411899998</v>
      </c>
      <c r="X72" s="1210">
        <f>+X73+X76+X77</f>
        <v>98238.778999999995</v>
      </c>
      <c r="Y72" s="1179">
        <f t="shared" si="39"/>
        <v>112532.33923599999</v>
      </c>
      <c r="Z72" s="1281">
        <f>+Z73+Z76</f>
        <v>97707.120999999999</v>
      </c>
      <c r="AA72" s="1179">
        <f>+AA73+AA76</f>
        <v>90098.334397999992</v>
      </c>
      <c r="AB72" s="1281">
        <f>+AB73+AB76+AB77</f>
        <v>106007.927</v>
      </c>
      <c r="AC72" s="1179">
        <f t="shared" si="39"/>
        <v>108948.99918899999</v>
      </c>
      <c r="AD72" s="1281">
        <f>+'P01 2023'!BZ53</f>
        <v>98598.990999999995</v>
      </c>
      <c r="AE72" s="1179">
        <f t="shared" si="39"/>
        <v>93595.185575999989</v>
      </c>
      <c r="AF72" s="1219">
        <f>+'P01 2023'!CP51</f>
        <v>108090.951</v>
      </c>
      <c r="AG72" s="1073">
        <f>+AG73</f>
        <v>86426.298693999997</v>
      </c>
      <c r="AH72" s="1217">
        <f>+'P01 2023'!DF40</f>
        <v>92294.031000000003</v>
      </c>
      <c r="AI72" s="1073">
        <f>+AI73</f>
        <v>81623.415951999996</v>
      </c>
      <c r="AJ72" s="1587">
        <f>+'P01 2023'!DX53</f>
        <v>90241.217000000004</v>
      </c>
      <c r="AK72" s="187">
        <f>+AK73+AK77+AK76</f>
        <v>99451.876557000011</v>
      </c>
      <c r="AL72" s="187">
        <f>+AL73+AL76</f>
        <v>96157.797000000006</v>
      </c>
      <c r="AM72" s="187">
        <f>+'P01 2022'!GA50</f>
        <v>91311.725000000006</v>
      </c>
      <c r="AN72" s="1055">
        <f>+'P01 2022'!GX56</f>
        <v>103677.69100000001</v>
      </c>
      <c r="AO72" s="1601"/>
      <c r="AP72" s="1401"/>
      <c r="AQ72" s="1401"/>
      <c r="AR72" s="1401"/>
      <c r="AS72" s="1401"/>
      <c r="AT72" s="1401"/>
      <c r="AU72" s="1401"/>
      <c r="AV72" s="1401"/>
      <c r="AW72" s="1401"/>
      <c r="AX72" s="1401"/>
      <c r="AY72" s="753"/>
      <c r="AZ72" s="1602"/>
      <c r="BA72" s="1398"/>
      <c r="BB72" s="753"/>
      <c r="BC72" s="1610"/>
      <c r="BD72" s="1610"/>
    </row>
    <row r="73" spans="1:56" s="1024" customFormat="1" ht="15" hidden="1" customHeight="1" x14ac:dyDescent="0.25">
      <c r="A73" s="175"/>
      <c r="B73" s="1413" t="s">
        <v>584</v>
      </c>
      <c r="C73" s="801"/>
      <c r="D73" s="184"/>
      <c r="E73" s="137" t="s">
        <v>156</v>
      </c>
      <c r="F73" s="137"/>
      <c r="G73" s="137"/>
      <c r="H73" s="1295" t="s">
        <v>41</v>
      </c>
      <c r="I73" s="1145">
        <f>+'P01 2023'!F64</f>
        <v>1472012</v>
      </c>
      <c r="J73" s="127">
        <f>+'P01 2023'!EF64</f>
        <v>1471592</v>
      </c>
      <c r="K73" s="127">
        <f ca="1">+K74+K75</f>
        <v>851485.00100000016</v>
      </c>
      <c r="L73" s="783">
        <f t="shared" ca="1" si="4"/>
        <v>0.57861486132025741</v>
      </c>
      <c r="M73" s="127">
        <f>+'P01 2023'!EH64</f>
        <v>851485.00100000005</v>
      </c>
      <c r="N73" s="783">
        <f t="shared" si="23"/>
        <v>0.5786148613202573</v>
      </c>
      <c r="O73" s="127">
        <f>+'P01 2023'!EI64</f>
        <v>620106.99899999995</v>
      </c>
      <c r="P73" s="691">
        <f t="shared" si="24"/>
        <v>0.4213851386797427</v>
      </c>
      <c r="Q73" s="1148">
        <f>+'P01 2022'!ES59</f>
        <v>1243559.054</v>
      </c>
      <c r="R73" s="16">
        <f ca="1">SUM(R74:R75)</f>
        <v>878357.72913999995</v>
      </c>
      <c r="S73" s="1290">
        <f t="shared" ca="1" si="25"/>
        <v>0.70632570790642968</v>
      </c>
      <c r="T73" s="1724">
        <f t="shared" ref="T73:AE73" si="40">SUM(T74:T75)</f>
        <v>84479.577000000005</v>
      </c>
      <c r="U73" s="1165">
        <f t="shared" si="40"/>
        <v>108586.914814</v>
      </c>
      <c r="V73" s="1164">
        <f>+'P01 2023'!N41</f>
        <v>93783.862999999998</v>
      </c>
      <c r="W73" s="1180">
        <f t="shared" si="40"/>
        <v>107148.24848799998</v>
      </c>
      <c r="X73" s="1210">
        <f>SUM(X74:X75)</f>
        <v>97062.978999999992</v>
      </c>
      <c r="Y73" s="1180">
        <f t="shared" si="40"/>
        <v>107566.24772599999</v>
      </c>
      <c r="Z73" s="1282">
        <f>SUM(Z74:Z75)</f>
        <v>97707.120999999999</v>
      </c>
      <c r="AA73" s="1180">
        <f>SUM(AA74:AA75)</f>
        <v>90098.334397999992</v>
      </c>
      <c r="AB73" s="1282">
        <f>SUM(AB74:AB75)</f>
        <v>106007.927</v>
      </c>
      <c r="AC73" s="1180">
        <f t="shared" si="40"/>
        <v>108948.99918899999</v>
      </c>
      <c r="AD73" s="1281">
        <f>+'P01 2023'!BZ54</f>
        <v>98598.990999999995</v>
      </c>
      <c r="AE73" s="1180">
        <f t="shared" si="40"/>
        <v>93595.185575999989</v>
      </c>
      <c r="AF73" s="1219">
        <f>+'P01 2023'!CP52</f>
        <v>103902.55100000001</v>
      </c>
      <c r="AG73" s="1074">
        <f>SUM(AG74:AG76)</f>
        <v>86426.298693999997</v>
      </c>
      <c r="AH73" s="1217">
        <f>+'P01 2023'!DF41</f>
        <v>87631.438999999998</v>
      </c>
      <c r="AI73" s="1074">
        <f>SUM(AI74:AI76)</f>
        <v>81623.415951999996</v>
      </c>
      <c r="AJ73" s="1587">
        <f>+'P01 2023'!DX54</f>
        <v>82310.553</v>
      </c>
      <c r="AK73" s="1051">
        <f>SUM(AK74:AK75)</f>
        <v>94364.084303000011</v>
      </c>
      <c r="AL73" s="1051">
        <f>SUM(AL74:AL75)</f>
        <v>93156.014999999999</v>
      </c>
      <c r="AM73" s="187">
        <f>+'P01 2022'!GA51</f>
        <v>89027.694000000003</v>
      </c>
      <c r="AN73" s="1055">
        <f>+'P01 2022'!GX57</f>
        <v>98881.232999999993</v>
      </c>
      <c r="AO73" s="1601"/>
      <c r="AP73" s="1401"/>
      <c r="AQ73" s="1401"/>
      <c r="AR73" s="1401"/>
      <c r="AS73" s="1401"/>
      <c r="AT73" s="1401"/>
      <c r="AU73" s="1401"/>
      <c r="AV73" s="1401"/>
      <c r="AW73" s="1401"/>
      <c r="AX73" s="1401"/>
      <c r="AY73" s="753"/>
      <c r="AZ73" s="1602"/>
      <c r="BA73" s="1398"/>
      <c r="BB73" s="753"/>
      <c r="BC73" s="1610"/>
      <c r="BD73" s="1610"/>
    </row>
    <row r="74" spans="1:56" s="177" customFormat="1" ht="15" hidden="1" customHeight="1" x14ac:dyDescent="0.25">
      <c r="A74" s="175"/>
      <c r="B74" s="1413" t="s">
        <v>585</v>
      </c>
      <c r="C74" s="800"/>
      <c r="D74" s="182"/>
      <c r="E74" s="17"/>
      <c r="F74" s="17">
        <v>1</v>
      </c>
      <c r="G74" s="17" t="str">
        <f>+CONCATENATE($C$10,"",$D$72,"",$E$73,"00",F74)</f>
        <v>21.03.001.001</v>
      </c>
      <c r="H74" s="1294" t="s">
        <v>42</v>
      </c>
      <c r="I74" s="1147">
        <f>+'P01 2023'!F65</f>
        <v>1461411.9890000001</v>
      </c>
      <c r="J74" s="97">
        <f>+'P01 2023'!EF65</f>
        <v>1457938.9920000001</v>
      </c>
      <c r="K74" s="18">
        <f ca="1">SUMIF(T$3:$AN65,"ok",T74:AN74)</f>
        <v>840834.68500000017</v>
      </c>
      <c r="L74" s="694">
        <f t="shared" ca="1" si="4"/>
        <v>0.57672830592626068</v>
      </c>
      <c r="M74" s="97">
        <f>+'P01 2023'!EH65</f>
        <v>840834.68500000006</v>
      </c>
      <c r="N74" s="694">
        <f t="shared" si="23"/>
        <v>0.57672830592626056</v>
      </c>
      <c r="O74" s="97">
        <f>+'P01 2023'!EI65</f>
        <v>617104.30700000003</v>
      </c>
      <c r="P74" s="1156">
        <f t="shared" si="24"/>
        <v>0.42327169407373938</v>
      </c>
      <c r="Q74" s="1733">
        <f>+'P01 2022'!ES60</f>
        <v>1230749.9039999999</v>
      </c>
      <c r="R74" s="997">
        <f ca="1">SUMIF(T$3:$AN66,"SI",T74:AN74)</f>
        <v>868811.131299</v>
      </c>
      <c r="S74" s="1734">
        <f t="shared" ca="1" si="25"/>
        <v>0.70592012924422709</v>
      </c>
      <c r="T74" s="1721">
        <f>+'P01 2023'!I65</f>
        <v>83834.885999999999</v>
      </c>
      <c r="U74" s="1056">
        <f>+'P01 2022'!F59</f>
        <v>108058.67503500001</v>
      </c>
      <c r="V74" s="1147">
        <f>+'P01 2023'!N42</f>
        <v>90134.706999999995</v>
      </c>
      <c r="W74" s="1176">
        <f>+'P01 2022'!M44</f>
        <v>107125.96588199999</v>
      </c>
      <c r="X74" s="546">
        <f>+'P01 2023'!AD55</f>
        <v>95274.380999999994</v>
      </c>
      <c r="Y74" s="1176">
        <f>+'P01 2022'!AB54</f>
        <v>107517.88335199999</v>
      </c>
      <c r="Z74" s="1147">
        <f>+'P01 2023'!AT53</f>
        <v>95499.013999999996</v>
      </c>
      <c r="AA74" s="1176">
        <f>+'P01 2022'!AQ54</f>
        <v>89248.359597999995</v>
      </c>
      <c r="AB74" s="1147">
        <f>+'P01 2023'!BJ43</f>
        <v>104682.117</v>
      </c>
      <c r="AC74" s="1176">
        <f>+'P01 2022'!BI43</f>
        <v>107320.67346599999</v>
      </c>
      <c r="AD74" s="1147">
        <f>+'P01 2023'!BZ55</f>
        <v>98373.212</v>
      </c>
      <c r="AE74" s="1176">
        <f>+'P01 2022'!CC55</f>
        <v>92324.355256999988</v>
      </c>
      <c r="AF74" s="1468">
        <f>+'P01 2023'!CP53</f>
        <v>103734.626</v>
      </c>
      <c r="AG74" s="1056">
        <f>+'P01 2022'!CY53</f>
        <v>84431.163560999994</v>
      </c>
      <c r="AH74" s="546">
        <f>+'P01 2023'!DF42</f>
        <v>87408.18</v>
      </c>
      <c r="AI74" s="1056">
        <f>+'P01 2022'!DR45</f>
        <v>79509.326866999996</v>
      </c>
      <c r="AJ74" s="1584">
        <f>+'P01 2023'!DX55</f>
        <v>81893.562000000005</v>
      </c>
      <c r="AK74" s="18">
        <f>+'P01 2022'!EJ51</f>
        <v>93274.728281000003</v>
      </c>
      <c r="AL74" s="323">
        <f>+'P01 2022'!FC50</f>
        <v>92094.542000000001</v>
      </c>
      <c r="AM74" s="18">
        <f>+'P01 2022'!GA52</f>
        <v>87610.634000000005</v>
      </c>
      <c r="AN74" s="1056">
        <f>+'P01 2022'!GX58</f>
        <v>97442.441999999995</v>
      </c>
      <c r="AO74" s="1601"/>
      <c r="AP74" s="1401"/>
      <c r="AQ74" s="1401"/>
      <c r="AR74" s="1401"/>
      <c r="AS74" s="1401"/>
      <c r="AT74" s="1401"/>
      <c r="AU74" s="1401"/>
      <c r="AV74" s="1401"/>
      <c r="AW74" s="1401"/>
      <c r="AX74" s="1401"/>
      <c r="AY74" s="753"/>
      <c r="AZ74" s="1602"/>
      <c r="BA74" s="1398"/>
      <c r="BB74" s="753"/>
      <c r="BC74" s="1610"/>
      <c r="BD74" s="1610"/>
    </row>
    <row r="75" spans="1:56" s="177" customFormat="1" ht="15" hidden="1" customHeight="1" x14ac:dyDescent="0.25">
      <c r="A75" s="175"/>
      <c r="B75" s="1413" t="s">
        <v>586</v>
      </c>
      <c r="C75" s="800"/>
      <c r="D75" s="182"/>
      <c r="E75" s="17"/>
      <c r="F75" s="17">
        <v>2</v>
      </c>
      <c r="G75" s="17" t="str">
        <f>+CONCATENATE($C$10,"",$D$72,"",$E$73,"00",F75)</f>
        <v>21.03.001.002</v>
      </c>
      <c r="H75" s="1294" t="s">
        <v>43</v>
      </c>
      <c r="I75" s="1147">
        <f>+'P01 2023'!F66</f>
        <v>10600.011</v>
      </c>
      <c r="J75" s="97">
        <f>+'P01 2023'!EF66</f>
        <v>13653.008</v>
      </c>
      <c r="K75" s="18">
        <f ca="1">SUMIF(T$3:$AN66,"ok",T75:AN75)</f>
        <v>10650.315999999999</v>
      </c>
      <c r="L75" s="694">
        <f t="shared" ca="1" si="4"/>
        <v>0.78007102903623871</v>
      </c>
      <c r="M75" s="97">
        <f>+'P01 2023'!EH66</f>
        <v>10650.316000000001</v>
      </c>
      <c r="N75" s="694">
        <f t="shared" si="23"/>
        <v>0.78007102903623882</v>
      </c>
      <c r="O75" s="97">
        <f>+'P01 2023'!EI66</f>
        <v>3002.692</v>
      </c>
      <c r="P75" s="1156">
        <f t="shared" si="24"/>
        <v>0.21992897096376124</v>
      </c>
      <c r="Q75" s="1733">
        <f>+'P01 2022'!ES61</f>
        <v>12809.15</v>
      </c>
      <c r="R75" s="997">
        <f ca="1">SUMIF(T$3:$AN68,"SI",T75:AN75)</f>
        <v>9546.5978409999989</v>
      </c>
      <c r="S75" s="1734">
        <f t="shared" ca="1" si="25"/>
        <v>0.74529518672199169</v>
      </c>
      <c r="T75" s="1721">
        <f>+'P01 2023'!I66</f>
        <v>644.69100000000003</v>
      </c>
      <c r="U75" s="1056">
        <f>+'P01 2022'!F60</f>
        <v>528.239779</v>
      </c>
      <c r="V75" s="1147">
        <f>+'P01 2023'!N43</f>
        <v>3649.1559999999999</v>
      </c>
      <c r="W75" s="1176">
        <f>+'P01 2022'!M45</f>
        <v>22.282605999999998</v>
      </c>
      <c r="X75" s="546">
        <f>+'P01 2023'!AD56</f>
        <v>1788.598</v>
      </c>
      <c r="Y75" s="1176">
        <f>+'P01 2022'!AB55</f>
        <v>48.364373999999998</v>
      </c>
      <c r="Z75" s="1147">
        <f>+'P01 2023'!AT54</f>
        <v>2208.107</v>
      </c>
      <c r="AA75" s="1176">
        <f>+'P01 2022'!AQ55</f>
        <v>849.97479999999996</v>
      </c>
      <c r="AB75" s="1147">
        <f>+'P01 2023'!BJ44</f>
        <v>1325.81</v>
      </c>
      <c r="AC75" s="1176">
        <f>+'P01 2022'!BI44</f>
        <v>1628.3257229999999</v>
      </c>
      <c r="AD75" s="1147">
        <f>+'P01 2023'!BZ56</f>
        <v>225.779</v>
      </c>
      <c r="AE75" s="1176">
        <f>+'P01 2022'!CC56</f>
        <v>1270.8303189999999</v>
      </c>
      <c r="AF75" s="1468">
        <f>+'P01 2023'!CP54</f>
        <v>167.92500000000001</v>
      </c>
      <c r="AG75" s="1056">
        <f>+'P01 2022'!CY54</f>
        <v>1995.135133</v>
      </c>
      <c r="AH75" s="546">
        <f>+'P01 2023'!DF43</f>
        <v>223.25899999999999</v>
      </c>
      <c r="AI75" s="1056">
        <f>+'P01 2022'!DR46</f>
        <v>2114.0890850000001</v>
      </c>
      <c r="AJ75" s="1584">
        <f>+'P01 2023'!DX56</f>
        <v>416.99099999999999</v>
      </c>
      <c r="AK75" s="18">
        <f>+'P01 2022'!EJ52</f>
        <v>1089.3560219999999</v>
      </c>
      <c r="AL75" s="323">
        <f>+'P01 2022'!FC51</f>
        <v>1061.473</v>
      </c>
      <c r="AM75" s="18">
        <f>+'P01 2022'!GA53</f>
        <v>1417.06</v>
      </c>
      <c r="AN75" s="1056">
        <f>+'P01 2022'!GX59</f>
        <v>1438.7909999999999</v>
      </c>
      <c r="AO75" s="1601"/>
      <c r="AP75" s="1401"/>
      <c r="AQ75" s="1401"/>
      <c r="AR75" s="1401"/>
      <c r="AS75" s="1401"/>
      <c r="AT75" s="1401"/>
      <c r="AU75" s="1401"/>
      <c r="AV75" s="1401"/>
      <c r="AW75" s="1401"/>
      <c r="AX75" s="1401"/>
      <c r="AY75" s="753"/>
      <c r="AZ75" s="1602"/>
      <c r="BA75" s="1398"/>
      <c r="BB75" s="753"/>
      <c r="BC75" s="1610"/>
      <c r="BD75" s="1610"/>
    </row>
    <row r="76" spans="1:56" s="177" customFormat="1" ht="15" hidden="1" customHeight="1" x14ac:dyDescent="0.25">
      <c r="A76" s="175"/>
      <c r="B76" s="1413" t="s">
        <v>376</v>
      </c>
      <c r="C76" s="800"/>
      <c r="D76" s="182"/>
      <c r="F76" s="17">
        <v>5</v>
      </c>
      <c r="G76" s="17" t="str">
        <f>+CONCATENATE($C$10,"",$D$72,"","00",F76)</f>
        <v>21.03.005</v>
      </c>
      <c r="H76" s="1294" t="s">
        <v>332</v>
      </c>
      <c r="I76" s="1147">
        <f>+'P01 2023'!F67</f>
        <v>37466.343000000001</v>
      </c>
      <c r="J76" s="97">
        <f>+'P01 2023'!EF67</f>
        <v>37466.343000000001</v>
      </c>
      <c r="K76" s="18">
        <f ca="1">SUMIF(T$3:$AN66,"ok",T76:AN76)</f>
        <v>22556.112000000001</v>
      </c>
      <c r="L76" s="694">
        <f t="shared" ca="1" si="4"/>
        <v>0.60203665994303213</v>
      </c>
      <c r="M76" s="97">
        <f>+'P01 2023'!EH67</f>
        <v>22556.112000000001</v>
      </c>
      <c r="N76" s="694">
        <f t="shared" si="23"/>
        <v>0.60203665994303213</v>
      </c>
      <c r="O76" s="97">
        <f>+'P01 2023'!EI67</f>
        <v>14910.231</v>
      </c>
      <c r="P76" s="1156">
        <f t="shared" si="24"/>
        <v>0.39796334005696793</v>
      </c>
      <c r="Q76" s="1733">
        <f>+'P01 2022'!ES62</f>
        <v>34576.528403999997</v>
      </c>
      <c r="R76" s="997">
        <f ca="1">SUMIF(T$3:$AN69,"SI",T76:AN76)</f>
        <v>17357.920466</v>
      </c>
      <c r="S76" s="1734">
        <f t="shared" ca="1" si="25"/>
        <v>0.50201455343307233</v>
      </c>
      <c r="T76" s="1721">
        <f>+'P01 2023'!I67</f>
        <v>3279.1039999999998</v>
      </c>
      <c r="U76" s="1056">
        <f>+'P01 2022'!F61</f>
        <v>4323.239071</v>
      </c>
      <c r="V76" s="1147">
        <f>+'P01 2023'!N44</f>
        <v>1639.5519999999999</v>
      </c>
      <c r="W76" s="1176">
        <f>+'P01 2022'!M46</f>
        <v>3401.7456310000002</v>
      </c>
      <c r="X76" s="546">
        <f>+'P01 2023'!AD57</f>
        <v>1175.8</v>
      </c>
      <c r="Y76" s="1176">
        <f>+'P01 2022'!AB56</f>
        <v>4966.0915100000002</v>
      </c>
      <c r="Z76" s="1147">
        <f>+'P01 2023'!AT55</f>
        <v>0</v>
      </c>
      <c r="AA76" s="1176">
        <f>+'P01 2022'!AQ56</f>
        <v>0</v>
      </c>
      <c r="AB76" s="1147">
        <v>0</v>
      </c>
      <c r="AC76" s="1176">
        <v>0</v>
      </c>
      <c r="AD76" s="1147">
        <v>0</v>
      </c>
      <c r="AE76" s="1176">
        <f>+'P01 2022'!CC57</f>
        <v>0</v>
      </c>
      <c r="AF76" s="1468">
        <f>+'P01 2023'!CP55</f>
        <v>4188.3999999999996</v>
      </c>
      <c r="AG76" s="1056">
        <v>0</v>
      </c>
      <c r="AH76" s="546">
        <f>+'P01 2023'!DF44</f>
        <v>4662.5919999999996</v>
      </c>
      <c r="AI76" s="1056">
        <v>0</v>
      </c>
      <c r="AJ76" s="1584">
        <f>+'P01 2023'!DX57</f>
        <v>7610.6639999999998</v>
      </c>
      <c r="AK76" s="18">
        <f>+'P01 2022'!EJ53</f>
        <v>4666.8442539999996</v>
      </c>
      <c r="AL76" s="323">
        <f>+'P01 2022'!FC52</f>
        <v>3001.7820000000002</v>
      </c>
      <c r="AM76" s="18">
        <f>+'P01 2022'!GA54</f>
        <v>2284.0309999999999</v>
      </c>
      <c r="AN76" s="1056">
        <f>+'P01 2022'!GX60</f>
        <v>4796.4579999999996</v>
      </c>
      <c r="AO76" s="1601"/>
      <c r="AP76" s="1401"/>
      <c r="AQ76" s="1401"/>
      <c r="AR76" s="1401"/>
      <c r="AS76" s="1401"/>
      <c r="AT76" s="1401"/>
      <c r="AU76" s="1401"/>
      <c r="AV76" s="1401"/>
      <c r="AW76" s="1401"/>
      <c r="AX76" s="1401"/>
      <c r="AY76" s="753"/>
      <c r="AZ76" s="1602"/>
      <c r="BA76" s="1398"/>
      <c r="BB76" s="753"/>
      <c r="BC76" s="1610"/>
      <c r="BD76" s="1610"/>
    </row>
    <row r="77" spans="1:56" s="177" customFormat="1" ht="15" hidden="1" customHeight="1" x14ac:dyDescent="0.25">
      <c r="A77" s="175"/>
      <c r="B77" s="1415" t="s">
        <v>377</v>
      </c>
      <c r="C77" s="800"/>
      <c r="D77" s="182"/>
      <c r="E77" s="17"/>
      <c r="F77" s="17"/>
      <c r="G77" s="17" t="s">
        <v>885</v>
      </c>
      <c r="H77" s="1294" t="s">
        <v>318</v>
      </c>
      <c r="I77" s="1147">
        <v>0</v>
      </c>
      <c r="J77" s="97">
        <f>+'P01 2023'!EF68</f>
        <v>420</v>
      </c>
      <c r="K77" s="18">
        <f ca="1">SUMIF(T$3:$AN67,"ok",T77:AN77)</f>
        <v>320</v>
      </c>
      <c r="L77" s="694">
        <f ca="1">IFERROR(K77/J77,"0,00"%)</f>
        <v>0.76190476190476186</v>
      </c>
      <c r="M77" s="97">
        <f>+'P01 2023'!EH68</f>
        <v>320</v>
      </c>
      <c r="N77" s="694">
        <v>0</v>
      </c>
      <c r="O77" s="97">
        <f>+'P01 2023'!EI68</f>
        <v>100</v>
      </c>
      <c r="P77" s="1156">
        <v>0</v>
      </c>
      <c r="Q77" s="1733">
        <f>+'P01 2022'!ES63</f>
        <v>612.28800000000001</v>
      </c>
      <c r="R77" s="997">
        <f ca="1">SUMIF(T$3:$AN70,"SI",T77:AN77)</f>
        <v>420.94799999999998</v>
      </c>
      <c r="S77" s="1734">
        <v>0</v>
      </c>
      <c r="T77" s="1287">
        <v>0</v>
      </c>
      <c r="U77" s="1056">
        <v>0</v>
      </c>
      <c r="V77" s="1147">
        <v>0</v>
      </c>
      <c r="W77" s="1176">
        <v>0</v>
      </c>
      <c r="X77" s="546">
        <v>0</v>
      </c>
      <c r="Y77" s="1176">
        <v>0</v>
      </c>
      <c r="Z77" s="1147">
        <v>0</v>
      </c>
      <c r="AA77" s="1176">
        <v>0</v>
      </c>
      <c r="AB77" s="1147">
        <v>0</v>
      </c>
      <c r="AC77" s="1176">
        <v>0</v>
      </c>
      <c r="AD77" s="1147">
        <v>0</v>
      </c>
      <c r="AE77" s="1176">
        <v>0</v>
      </c>
      <c r="AF77" s="1468">
        <v>0</v>
      </c>
      <c r="AG77" s="1056">
        <v>0</v>
      </c>
      <c r="AH77" s="546">
        <v>0</v>
      </c>
      <c r="AI77" s="1056">
        <v>0</v>
      </c>
      <c r="AJ77" s="1584">
        <f>+'P01 2023'!DX58</f>
        <v>320</v>
      </c>
      <c r="AK77" s="18">
        <f>+'P01 2022'!EJ54</f>
        <v>420.94799999999998</v>
      </c>
      <c r="AL77" s="323">
        <f>+'P01 2022'!FC53</f>
        <v>0</v>
      </c>
      <c r="AM77" s="18">
        <v>0</v>
      </c>
      <c r="AN77" s="1058">
        <v>0</v>
      </c>
      <c r="AO77" s="1601"/>
      <c r="AP77" s="1401"/>
      <c r="AQ77" s="1401"/>
      <c r="AR77" s="1401"/>
      <c r="AS77" s="1401"/>
      <c r="AT77" s="1401"/>
      <c r="AU77" s="1401"/>
      <c r="AV77" s="1401"/>
      <c r="AW77" s="1401"/>
      <c r="AX77" s="1401"/>
      <c r="AY77" s="753"/>
      <c r="AZ77" s="1602"/>
      <c r="BA77" s="1398"/>
      <c r="BB77" s="753"/>
      <c r="BC77" s="1610"/>
      <c r="BD77" s="1610"/>
    </row>
    <row r="78" spans="1:56" s="177" customFormat="1" ht="15" customHeight="1" x14ac:dyDescent="0.25">
      <c r="A78" s="175"/>
      <c r="B78" s="1413" t="s">
        <v>378</v>
      </c>
      <c r="C78" s="801">
        <v>22</v>
      </c>
      <c r="D78" s="184"/>
      <c r="E78" s="137"/>
      <c r="F78" s="137"/>
      <c r="G78" s="137"/>
      <c r="H78" s="1295" t="s">
        <v>15</v>
      </c>
      <c r="I78" s="1148">
        <f>+I79+I83+I85+I98+I107+I115+I118+I125+I130+I133+I138</f>
        <v>2322767.9980000001</v>
      </c>
      <c r="J78" s="127">
        <f>+'P01 2023'!EF69</f>
        <v>4638697</v>
      </c>
      <c r="K78" s="127">
        <f ca="1">SUMIF(T$3:$AN69,"ok",T78:AN78)</f>
        <v>2534536.1550000003</v>
      </c>
      <c r="L78" s="783">
        <f t="shared" ref="L78:L86" ca="1" si="41">IFERROR(K78/J78,"0.00"%)</f>
        <v>0.54638967688555651</v>
      </c>
      <c r="M78" s="127">
        <f>+'P01 2023'!EH69</f>
        <v>3834470.8650000002</v>
      </c>
      <c r="N78" s="783">
        <f t="shared" ref="N78:N87" si="42">+IFERROR(M78/J78,0)</f>
        <v>0.82662671543323485</v>
      </c>
      <c r="O78" s="127">
        <f>+'P01 2023'!EI69</f>
        <v>804226.13500000001</v>
      </c>
      <c r="P78" s="1155">
        <f t="shared" ref="P78:P87" si="43">+IFERROR(O78/J78,0)</f>
        <v>0.17337328456676521</v>
      </c>
      <c r="Q78" s="1148">
        <f>+'P01 2022'!ES64</f>
        <v>2305947.8289999999</v>
      </c>
      <c r="R78" s="1027">
        <f ca="1">+R79+R83+R85+R98+R107+R115+R118+R125+R130+R133+R138</f>
        <v>1766205.2557789998</v>
      </c>
      <c r="S78" s="1732" t="str">
        <f ca="1">IFERROR(R78/#REF!,"0,00%")</f>
        <v>0,00%</v>
      </c>
      <c r="T78" s="217">
        <f t="shared" ref="T78:AK78" si="44">+T79+T83+T85+T98+T107+T115+T118+T125+T130+T133+T138</f>
        <v>117051.287</v>
      </c>
      <c r="U78" s="364">
        <f t="shared" si="44"/>
        <v>42243.261769000004</v>
      </c>
      <c r="V78" s="1163">
        <f>+'P01 2023'!N45</f>
        <v>81155.466</v>
      </c>
      <c r="W78" s="1177">
        <f t="shared" si="44"/>
        <v>56774.177317999987</v>
      </c>
      <c r="X78" s="1211">
        <f>+'P01 2023'!AD58</f>
        <v>291068.60399999999</v>
      </c>
      <c r="Y78" s="1177">
        <f t="shared" si="44"/>
        <v>158890.32093299998</v>
      </c>
      <c r="Z78" s="1163">
        <f>+Z79+Z83+Z85+Z98+Z107+Z115+Z118+Z125+Z130+Z133+Z138</f>
        <v>142889.473</v>
      </c>
      <c r="AA78" s="1177">
        <f>+AA79+AA83+AA85+AA98+AA107+AA115+AA118+AA125+AA130+AA133+AA138</f>
        <v>231631.04845</v>
      </c>
      <c r="AB78" s="1163">
        <f>+AB79+AB83+AB85+AB98+AB107+AB115+AB118+AB125+AB130+AB133+AB138</f>
        <v>158665.057</v>
      </c>
      <c r="AC78" s="1177">
        <f t="shared" si="44"/>
        <v>239013.34002299997</v>
      </c>
      <c r="AD78" s="1163">
        <f>+'P01 2023'!BZ58</f>
        <v>203367.158</v>
      </c>
      <c r="AE78" s="1177">
        <f t="shared" si="44"/>
        <v>172425.43827899997</v>
      </c>
      <c r="AF78" s="1219">
        <f>+'P01 2023'!CP56</f>
        <v>362320.67700000003</v>
      </c>
      <c r="AG78" s="364">
        <f t="shared" si="44"/>
        <v>350111.63379399996</v>
      </c>
      <c r="AH78" s="1211">
        <f>+'P01 2023'!DF45</f>
        <v>637910.98100000003</v>
      </c>
      <c r="AI78" s="364">
        <f t="shared" si="44"/>
        <v>216067.96840499996</v>
      </c>
      <c r="AJ78" s="1587">
        <f>+'P01 2023'!DX59</f>
        <v>540107.45200000005</v>
      </c>
      <c r="AK78" s="3">
        <f t="shared" si="44"/>
        <v>299048.06680800003</v>
      </c>
      <c r="AL78" s="3">
        <f>+AL79+AL83+AL85+AL98+AL107+AL115+AL118+AL125+AL130+AL133+AL138</f>
        <v>214264.17299999998</v>
      </c>
      <c r="AM78" s="186">
        <f>+'P01 2022'!GA55</f>
        <v>229214.02600000001</v>
      </c>
      <c r="AN78" s="1055">
        <f>+'P01 2022'!GX61</f>
        <v>539148.86699999997</v>
      </c>
      <c r="AO78" s="1601"/>
      <c r="AP78" s="1401"/>
      <c r="AQ78" s="1401"/>
      <c r="AR78" s="1401"/>
      <c r="AS78" s="1401"/>
      <c r="AT78" s="1401"/>
      <c r="AU78" s="1401"/>
      <c r="AV78" s="1401"/>
      <c r="AW78" s="1401"/>
      <c r="AX78" s="1401"/>
      <c r="AY78" s="753"/>
      <c r="AZ78" s="1602"/>
      <c r="BA78" s="1398"/>
      <c r="BB78" s="753"/>
      <c r="BC78" s="1610"/>
      <c r="BD78" s="1610"/>
    </row>
    <row r="79" spans="1:56" s="1024" customFormat="1" ht="15" hidden="1" customHeight="1" x14ac:dyDescent="0.25">
      <c r="A79" s="175"/>
      <c r="B79" s="1416" t="s">
        <v>379</v>
      </c>
      <c r="C79" s="1059" t="s">
        <v>337</v>
      </c>
      <c r="D79" s="1032" t="s">
        <v>164</v>
      </c>
      <c r="E79" s="1089"/>
      <c r="F79" s="1033"/>
      <c r="G79" s="1033"/>
      <c r="H79" s="1296" t="s">
        <v>44</v>
      </c>
      <c r="I79" s="1149">
        <f>+I81+I82</f>
        <v>21440</v>
      </c>
      <c r="J79" s="127">
        <f>+'P01 2023'!EF70</f>
        <v>30971.743999999999</v>
      </c>
      <c r="K79" s="127">
        <f ca="1">+K80+K81+K82</f>
        <v>29104.263999999996</v>
      </c>
      <c r="L79" s="783">
        <f t="shared" ca="1" si="41"/>
        <v>0.93970375061862832</v>
      </c>
      <c r="M79" s="127">
        <f>+'P01 2023'!EH70</f>
        <v>30971.736000000001</v>
      </c>
      <c r="N79" s="783">
        <f t="shared" si="42"/>
        <v>0.99999974170004768</v>
      </c>
      <c r="O79" s="127">
        <f>+'P01 2023'!EI70</f>
        <v>8.0000000000000002E-3</v>
      </c>
      <c r="P79" s="1155">
        <f t="shared" si="43"/>
        <v>2.5829995236948881E-7</v>
      </c>
      <c r="Q79" s="1148">
        <f>+'P01 2022'!ES65</f>
        <v>20200.265535999999</v>
      </c>
      <c r="R79" s="1028">
        <f ca="1">+SUM(R81:R82)</f>
        <v>9040.7001959999998</v>
      </c>
      <c r="S79" s="1732">
        <f t="shared" ref="S79:S86" ca="1" si="45">IFERROR(R79/Q79,"0%")</f>
        <v>0.44755353239728818</v>
      </c>
      <c r="T79" s="1286">
        <f>SUM(T80:T82)</f>
        <v>0</v>
      </c>
      <c r="U79" s="1075">
        <v>0</v>
      </c>
      <c r="V79" s="1163">
        <f>+'P01 2023'!N46</f>
        <v>7043.3850000000002</v>
      </c>
      <c r="W79" s="1181">
        <v>0</v>
      </c>
      <c r="X79" s="1211">
        <f>+'P01 2023'!AD59</f>
        <v>0</v>
      </c>
      <c r="Y79" s="1181">
        <f>+SUM(Y81:Y82)</f>
        <v>0</v>
      </c>
      <c r="Z79" s="1164">
        <f>SUM(Z80:Z82)</f>
        <v>7544.23</v>
      </c>
      <c r="AA79" s="1181">
        <f>SUM(AA80:AA82)</f>
        <v>0</v>
      </c>
      <c r="AB79" s="1164">
        <f>SUM(AB80:AB82)</f>
        <v>3829.192</v>
      </c>
      <c r="AC79" s="1181">
        <f>SUM(AC80:AC82)</f>
        <v>0</v>
      </c>
      <c r="AD79" s="1163">
        <f>+'P01 2023'!BZ59</f>
        <v>8312.6839999999993</v>
      </c>
      <c r="AE79" s="1181">
        <f>SUM(AE80:AE82)</f>
        <v>9040.7001959999998</v>
      </c>
      <c r="AF79" s="1219">
        <v>0</v>
      </c>
      <c r="AG79" s="1075">
        <f>+AG81+AG82</f>
        <v>0</v>
      </c>
      <c r="AH79" s="1211">
        <f>+'P01 2023'!DF46</f>
        <v>2032.422</v>
      </c>
      <c r="AI79" s="1075">
        <f>+SUM(AI81:AI82)</f>
        <v>0</v>
      </c>
      <c r="AJ79" s="1587">
        <f>+'P01 2023'!DX60</f>
        <v>342.351</v>
      </c>
      <c r="AK79" s="167">
        <f>+SUM(AK81:AK82)</f>
        <v>0</v>
      </c>
      <c r="AL79" s="167">
        <f>+AL81+AL82+AL80</f>
        <v>359.38</v>
      </c>
      <c r="AM79" s="186">
        <f>+'P01 2022'!GA56</f>
        <v>1319.73</v>
      </c>
      <c r="AN79" s="1055">
        <f>+'P01 2022'!GX62</f>
        <v>8922.1440000000002</v>
      </c>
      <c r="AO79" s="1601"/>
      <c r="AP79" s="1401"/>
      <c r="AQ79" s="1401"/>
      <c r="AR79" s="1401"/>
      <c r="AS79" s="1401"/>
      <c r="AT79" s="1401"/>
      <c r="AU79" s="1401"/>
      <c r="AV79" s="1401"/>
      <c r="AW79" s="1401"/>
      <c r="AX79" s="1401"/>
      <c r="AY79" s="753"/>
      <c r="AZ79" s="1602"/>
      <c r="BA79" s="1398"/>
      <c r="BB79" s="753"/>
      <c r="BC79" s="1610"/>
      <c r="BD79" s="1610"/>
    </row>
    <row r="80" spans="1:56" s="177" customFormat="1" ht="15" hidden="1" customHeight="1" x14ac:dyDescent="0.25">
      <c r="A80" s="175"/>
      <c r="B80" s="1416" t="s">
        <v>587</v>
      </c>
      <c r="C80" s="1060" t="s">
        <v>337</v>
      </c>
      <c r="D80" s="1034"/>
      <c r="E80" s="1090" t="s">
        <v>169</v>
      </c>
      <c r="F80" s="1035"/>
      <c r="G80" s="1035" t="s">
        <v>819</v>
      </c>
      <c r="H80" s="1297" t="s">
        <v>475</v>
      </c>
      <c r="I80" s="1147">
        <v>0</v>
      </c>
      <c r="J80" s="97">
        <v>0</v>
      </c>
      <c r="K80" s="1029">
        <f ca="1">SUMIF(T$3:$AN69,"ok",T80:AN80)</f>
        <v>0</v>
      </c>
      <c r="L80" s="694">
        <f ca="1">IFERROR(K80/J80,"0,00"%)</f>
        <v>0</v>
      </c>
      <c r="M80" s="97">
        <v>0</v>
      </c>
      <c r="N80" s="694">
        <f t="shared" si="42"/>
        <v>0</v>
      </c>
      <c r="O80" s="97">
        <v>0</v>
      </c>
      <c r="P80" s="1156">
        <f t="shared" si="43"/>
        <v>0</v>
      </c>
      <c r="Q80" s="1733">
        <f>+'P01 2022'!ES66</f>
        <v>382.02094</v>
      </c>
      <c r="R80" s="997">
        <f ca="1">SUMIF(T$3:$AN72,"SI",T80:AN80)</f>
        <v>0</v>
      </c>
      <c r="S80" s="1734">
        <f ca="1">IFERROR(R80/Q80,"0,00%")</f>
        <v>0</v>
      </c>
      <c r="T80" s="1287">
        <v>0</v>
      </c>
      <c r="U80" s="1076">
        <v>0</v>
      </c>
      <c r="V80" s="1170">
        <v>0</v>
      </c>
      <c r="W80" s="1182">
        <v>0</v>
      </c>
      <c r="X80" s="1212">
        <v>0</v>
      </c>
      <c r="Y80" s="1182">
        <v>0</v>
      </c>
      <c r="Z80" s="1170">
        <v>0</v>
      </c>
      <c r="AA80" s="1182">
        <v>0</v>
      </c>
      <c r="AB80" s="1170">
        <v>0</v>
      </c>
      <c r="AC80" s="1182">
        <v>0</v>
      </c>
      <c r="AD80" s="1170">
        <v>0</v>
      </c>
      <c r="AE80" s="1182">
        <v>0</v>
      </c>
      <c r="AF80" s="1468">
        <v>0</v>
      </c>
      <c r="AG80" s="1076">
        <v>0</v>
      </c>
      <c r="AH80" s="546">
        <v>0</v>
      </c>
      <c r="AI80" s="1076">
        <v>0</v>
      </c>
      <c r="AJ80" s="1588">
        <v>0</v>
      </c>
      <c r="AK80" s="1030">
        <v>0</v>
      </c>
      <c r="AL80" s="323">
        <f>+'P01 2022'!FC56</f>
        <v>359.38</v>
      </c>
      <c r="AM80" s="18">
        <f>+'P01 2022'!GA57</f>
        <v>0</v>
      </c>
      <c r="AN80" s="1061">
        <v>0</v>
      </c>
      <c r="AO80" s="1601"/>
      <c r="AP80" s="1401"/>
      <c r="AQ80" s="1401"/>
      <c r="AR80" s="1401"/>
      <c r="AS80" s="1401"/>
      <c r="AT80" s="1401"/>
      <c r="AU80" s="1401"/>
      <c r="AV80" s="1401"/>
      <c r="AW80" s="1401"/>
      <c r="AX80" s="1401"/>
      <c r="AY80" s="753"/>
      <c r="AZ80" s="1602"/>
      <c r="BA80" s="1398"/>
      <c r="BB80" s="753"/>
      <c r="BC80" s="1610"/>
      <c r="BD80" s="1610"/>
    </row>
    <row r="81" spans="1:56" s="177" customFormat="1" ht="15" hidden="1" customHeight="1" x14ac:dyDescent="0.25">
      <c r="A81" s="175"/>
      <c r="B81" s="1413" t="s">
        <v>588</v>
      </c>
      <c r="C81" s="800"/>
      <c r="D81" s="182"/>
      <c r="E81" s="17" t="s">
        <v>165</v>
      </c>
      <c r="F81" s="17"/>
      <c r="G81" s="17" t="str">
        <f>+CONCATENATE($C$78,"",$D$79,"",$E$81)</f>
        <v>22.02.002</v>
      </c>
      <c r="H81" s="1294" t="s">
        <v>45</v>
      </c>
      <c r="I81" s="1147">
        <f>+'P01 2023'!F70</f>
        <v>18040</v>
      </c>
      <c r="J81" s="97">
        <f>+'P01 2023'!EF71</f>
        <v>22047.844000000001</v>
      </c>
      <c r="K81" s="1029">
        <f ca="1">SUMIF(T$3:$AN70,"ok",T81:AN81)</f>
        <v>20180.367999999999</v>
      </c>
      <c r="L81" s="694">
        <f t="shared" ca="1" si="41"/>
        <v>0.91529892900185605</v>
      </c>
      <c r="M81" s="97">
        <f>+'P01 2023'!EH71</f>
        <v>22047.84</v>
      </c>
      <c r="N81" s="694">
        <f t="shared" si="42"/>
        <v>0.99999981857636511</v>
      </c>
      <c r="O81" s="97">
        <f>+'P01 2023'!EI71</f>
        <v>4.0000000000000001E-3</v>
      </c>
      <c r="P81" s="1156">
        <f t="shared" si="43"/>
        <v>1.8142363489146604E-7</v>
      </c>
      <c r="Q81" s="1733">
        <f>+'P01 2022'!ES67</f>
        <v>18176.547396000002</v>
      </c>
      <c r="R81" s="997">
        <f ca="1">SUMIF(T$3:$AN73,"SI",T81:AN81)</f>
        <v>7399.0029960000002</v>
      </c>
      <c r="S81" s="1734">
        <f t="shared" ca="1" si="45"/>
        <v>0.40706316963298828</v>
      </c>
      <c r="T81" s="1287">
        <v>0</v>
      </c>
      <c r="U81" s="1056">
        <v>0</v>
      </c>
      <c r="V81" s="1147">
        <f>+'P01 2023'!N47</f>
        <v>750.28</v>
      </c>
      <c r="W81" s="1176">
        <v>0</v>
      </c>
      <c r="X81" s="546">
        <v>0</v>
      </c>
      <c r="Y81" s="1176">
        <v>0</v>
      </c>
      <c r="Z81" s="1147">
        <f>+'P01 2023'!AT58</f>
        <v>6114.45</v>
      </c>
      <c r="AA81" s="1176">
        <f>+'P01 2022'!AQ59</f>
        <v>0</v>
      </c>
      <c r="AB81" s="1147">
        <f>+'P01 2023'!BJ47</f>
        <v>3829.192</v>
      </c>
      <c r="AC81" s="1182">
        <f>+'P01 2022'!BI48</f>
        <v>0</v>
      </c>
      <c r="AD81" s="1170">
        <f>+'P01 2023'!BZ60</f>
        <v>8312.6839999999993</v>
      </c>
      <c r="AE81" s="1176">
        <f>+'P01 2022'!CC60</f>
        <v>7399.0029960000002</v>
      </c>
      <c r="AF81" s="1468">
        <v>0</v>
      </c>
      <c r="AG81" s="1076">
        <f>+'P01 2022'!CY57</f>
        <v>0</v>
      </c>
      <c r="AH81" s="546">
        <f>+'P01 2023'!DF47</f>
        <v>831.41099999999994</v>
      </c>
      <c r="AI81" s="1056">
        <v>0</v>
      </c>
      <c r="AJ81" s="1584">
        <f>+'P01 2023'!DX61</f>
        <v>342.351</v>
      </c>
      <c r="AK81" s="18">
        <v>0</v>
      </c>
      <c r="AL81" s="1190">
        <v>0</v>
      </c>
      <c r="AM81" s="18">
        <f>+'P01 2022'!GA58</f>
        <v>0</v>
      </c>
      <c r="AN81" s="1056">
        <f>+'P01 2022'!GX63</f>
        <v>8922.1440000000002</v>
      </c>
      <c r="AO81" s="1601"/>
      <c r="AP81" s="1401"/>
      <c r="AQ81" s="1401"/>
      <c r="AR81" s="1401"/>
      <c r="AS81" s="1401"/>
      <c r="AT81" s="1401"/>
      <c r="AU81" s="1401"/>
      <c r="AV81" s="1401"/>
      <c r="AW81" s="1401"/>
      <c r="AX81" s="1401"/>
      <c r="AY81" s="753"/>
      <c r="AZ81" s="1602"/>
      <c r="BA81" s="1398"/>
      <c r="BB81" s="753"/>
      <c r="BC81" s="1610"/>
      <c r="BD81" s="1610"/>
    </row>
    <row r="82" spans="1:56" s="177" customFormat="1" ht="15" hidden="1" customHeight="1" x14ac:dyDescent="0.25">
      <c r="A82" s="175"/>
      <c r="B82" s="1413" t="s">
        <v>380</v>
      </c>
      <c r="C82" s="800"/>
      <c r="D82" s="182"/>
      <c r="E82" s="17" t="s">
        <v>166</v>
      </c>
      <c r="F82" s="17"/>
      <c r="G82" s="17" t="str">
        <f>+CONCATENATE($C$78,"",$D$79,"",E82)</f>
        <v>22.02.003</v>
      </c>
      <c r="H82" s="1294" t="s">
        <v>126</v>
      </c>
      <c r="I82" s="1147">
        <f>+'P01 2023'!F71</f>
        <v>3400</v>
      </c>
      <c r="J82" s="97">
        <f>+'P01 2023'!EF72</f>
        <v>8923.9</v>
      </c>
      <c r="K82" s="1029">
        <f ca="1">SUMIF(T$3:$AN71,"ok",T82:AN82)</f>
        <v>8923.8959999999988</v>
      </c>
      <c r="L82" s="694">
        <f t="shared" ca="1" si="41"/>
        <v>0.99999955176548361</v>
      </c>
      <c r="M82" s="97">
        <f>+'P01 2023'!EH72</f>
        <v>8923.8960000000006</v>
      </c>
      <c r="N82" s="694">
        <f t="shared" si="42"/>
        <v>0.99999955176548383</v>
      </c>
      <c r="O82" s="97">
        <f>+'P01 2023'!EI72</f>
        <v>4.0000000000000001E-3</v>
      </c>
      <c r="P82" s="1156">
        <f t="shared" si="43"/>
        <v>4.4823451629892762E-7</v>
      </c>
      <c r="Q82" s="1733">
        <f>+'P01 2022'!ES68</f>
        <v>1641.6972000000001</v>
      </c>
      <c r="R82" s="997">
        <f ca="1">SUMIF(T$3:$AN74,"SI",T82:AN82)</f>
        <v>1641.6972000000001</v>
      </c>
      <c r="S82" s="1734">
        <f t="shared" ca="1" si="45"/>
        <v>1</v>
      </c>
      <c r="T82" s="1287">
        <v>0</v>
      </c>
      <c r="U82" s="1056">
        <v>0</v>
      </c>
      <c r="V82" s="1147">
        <f>+'P01 2023'!N48</f>
        <v>6293.1049999999996</v>
      </c>
      <c r="W82" s="1176">
        <v>0</v>
      </c>
      <c r="X82" s="546">
        <v>0</v>
      </c>
      <c r="Y82" s="1176">
        <v>0</v>
      </c>
      <c r="Z82" s="1147">
        <f>+'P01 2023'!AT59</f>
        <v>1429.78</v>
      </c>
      <c r="AA82" s="1344">
        <v>0</v>
      </c>
      <c r="AB82" s="1346">
        <v>0</v>
      </c>
      <c r="AC82" s="1344">
        <v>0</v>
      </c>
      <c r="AD82" s="1170">
        <f>+'P01 2023'!BZ61</f>
        <v>0</v>
      </c>
      <c r="AE82" s="1176">
        <f>+'P01 2022'!CC61</f>
        <v>1641.6972000000001</v>
      </c>
      <c r="AF82" s="1468">
        <v>0</v>
      </c>
      <c r="AG82" s="1076">
        <f>+'P01 2022'!CY58</f>
        <v>0</v>
      </c>
      <c r="AH82" s="546">
        <f>+'P01 2023'!DF48</f>
        <v>1201.011</v>
      </c>
      <c r="AI82" s="1056">
        <v>0</v>
      </c>
      <c r="AJ82" s="1584">
        <v>0</v>
      </c>
      <c r="AK82" s="18">
        <v>0</v>
      </c>
      <c r="AL82" s="1190">
        <v>0</v>
      </c>
      <c r="AM82" s="18">
        <f>+'P01 2022'!GA59</f>
        <v>1319.73</v>
      </c>
      <c r="AN82" s="1061">
        <v>0</v>
      </c>
      <c r="AO82" s="1601"/>
      <c r="AP82" s="1401"/>
      <c r="AQ82" s="1401"/>
      <c r="AR82" s="1401"/>
      <c r="AS82" s="1401"/>
      <c r="AT82" s="1401"/>
      <c r="AU82" s="1401"/>
      <c r="AV82" s="1401"/>
      <c r="AW82" s="1401"/>
      <c r="AX82" s="1401"/>
      <c r="AY82" s="753"/>
      <c r="AZ82" s="1602"/>
      <c r="BA82" s="1398"/>
      <c r="BB82" s="753"/>
      <c r="BC82" s="1610"/>
      <c r="BD82" s="1610"/>
    </row>
    <row r="83" spans="1:56" s="1024" customFormat="1" ht="15" hidden="1" customHeight="1" x14ac:dyDescent="0.25">
      <c r="A83" s="175"/>
      <c r="B83" s="1413" t="s">
        <v>502</v>
      </c>
      <c r="C83" s="801"/>
      <c r="D83" s="184" t="s">
        <v>167</v>
      </c>
      <c r="E83" s="137"/>
      <c r="F83" s="137"/>
      <c r="G83" s="137"/>
      <c r="H83" s="1298" t="s">
        <v>46</v>
      </c>
      <c r="I83" s="1148">
        <v>0</v>
      </c>
      <c r="J83" s="127">
        <f>+'P01 2023'!EF73</f>
        <v>70000</v>
      </c>
      <c r="K83" s="127">
        <f ca="1">SUMIF(T$3:$AN74,"ok",T83:AN83)</f>
        <v>70000</v>
      </c>
      <c r="L83" s="783">
        <f ca="1">IFERROR(K83/J83,"0,00"%)</f>
        <v>1</v>
      </c>
      <c r="M83" s="127">
        <f>+'P01 2023'!EH73</f>
        <v>70000</v>
      </c>
      <c r="N83" s="783">
        <f t="shared" si="42"/>
        <v>1</v>
      </c>
      <c r="O83" s="127">
        <f>+'P01 2023'!EI73</f>
        <v>0</v>
      </c>
      <c r="P83" s="1155">
        <f t="shared" si="43"/>
        <v>0</v>
      </c>
      <c r="Q83" s="1148">
        <f>+'P01 2022'!ES69</f>
        <v>31890</v>
      </c>
      <c r="R83" s="1027">
        <f ca="1">SUMIF(T$3:$AN75,"SI",T83:AN83)</f>
        <v>31890</v>
      </c>
      <c r="S83" s="1732">
        <f ca="1">IFERROR(R83/Q83,"0,00%")</f>
        <v>1</v>
      </c>
      <c r="T83" s="1286">
        <v>0</v>
      </c>
      <c r="U83" s="364">
        <v>0</v>
      </c>
      <c r="V83" s="1163">
        <v>0</v>
      </c>
      <c r="W83" s="243">
        <v>0</v>
      </c>
      <c r="X83" s="369">
        <v>0</v>
      </c>
      <c r="Y83" s="243">
        <v>0</v>
      </c>
      <c r="Z83" s="1163">
        <f>SUM(Z84)</f>
        <v>0</v>
      </c>
      <c r="AA83" s="1177">
        <f>SUM(AA84)</f>
        <v>0</v>
      </c>
      <c r="AB83" s="1163">
        <f>+AB84</f>
        <v>0</v>
      </c>
      <c r="AC83" s="1177">
        <v>0</v>
      </c>
      <c r="AD83" s="1163">
        <v>0</v>
      </c>
      <c r="AE83" s="1177">
        <v>0</v>
      </c>
      <c r="AF83" s="1219">
        <f>+'P01 2023'!CP60</f>
        <v>35000</v>
      </c>
      <c r="AG83" s="364">
        <v>0</v>
      </c>
      <c r="AH83" s="1211">
        <v>0</v>
      </c>
      <c r="AI83" s="364">
        <f>+AI84</f>
        <v>0</v>
      </c>
      <c r="AJ83" s="1585">
        <f>+'P01 2023'!DX63</f>
        <v>35000</v>
      </c>
      <c r="AK83" s="3">
        <f>+AK84</f>
        <v>31890</v>
      </c>
      <c r="AL83" s="16">
        <v>0</v>
      </c>
      <c r="AM83" s="186">
        <f>+'P01 2022'!GA60</f>
        <v>30000</v>
      </c>
      <c r="AN83" s="1055">
        <v>0</v>
      </c>
      <c r="AO83" s="1601"/>
      <c r="AP83" s="1401"/>
      <c r="AQ83" s="1401"/>
      <c r="AR83" s="1401"/>
      <c r="AS83" s="1401"/>
      <c r="AT83" s="1401"/>
      <c r="AU83" s="1401"/>
      <c r="AV83" s="1401"/>
      <c r="AW83" s="1401"/>
      <c r="AX83" s="1401"/>
      <c r="AY83" s="753"/>
      <c r="AZ83" s="1602"/>
      <c r="BA83" s="1398"/>
      <c r="BB83" s="753"/>
      <c r="BC83" s="1610"/>
      <c r="BD83" s="1610"/>
    </row>
    <row r="84" spans="1:56" s="177" customFormat="1" ht="15" hidden="1" customHeight="1" x14ac:dyDescent="0.25">
      <c r="A84" s="175"/>
      <c r="B84" s="1413" t="s">
        <v>503</v>
      </c>
      <c r="C84" s="800"/>
      <c r="D84" s="182"/>
      <c r="E84" s="17" t="s">
        <v>169</v>
      </c>
      <c r="F84" s="17"/>
      <c r="G84" s="17" t="str">
        <f>+CONCATENATE($C$78,"",$D$83,"",E84)</f>
        <v>22.03.001</v>
      </c>
      <c r="H84" s="1294" t="s">
        <v>103</v>
      </c>
      <c r="I84" s="1147">
        <v>0</v>
      </c>
      <c r="J84" s="97">
        <f>+'P01 2023'!EF74</f>
        <v>70000</v>
      </c>
      <c r="K84" s="1029">
        <f ca="1">SUMIF(T$3:$AN75,"ok",T84:AN84)</f>
        <v>70000</v>
      </c>
      <c r="L84" s="694">
        <f ca="1">IFERROR(K84/J84,"0,00"%)</f>
        <v>1</v>
      </c>
      <c r="M84" s="97">
        <f>+'P01 2023'!EH74</f>
        <v>70000</v>
      </c>
      <c r="N84" s="694">
        <f t="shared" si="42"/>
        <v>1</v>
      </c>
      <c r="O84" s="97">
        <f>+'P01 2023'!EI74</f>
        <v>0</v>
      </c>
      <c r="P84" s="1156">
        <f t="shared" si="43"/>
        <v>0</v>
      </c>
      <c r="Q84" s="1733">
        <f>+'P01 2022'!ES70</f>
        <v>31890</v>
      </c>
      <c r="R84" s="997">
        <f ca="1">SUMIF(T$3:$AN76,"SI",T84:AN84)</f>
        <v>31890</v>
      </c>
      <c r="S84" s="1734">
        <f ca="1">IFERROR(R84/Q84,"0,00%")</f>
        <v>1</v>
      </c>
      <c r="T84" s="1287">
        <v>0</v>
      </c>
      <c r="U84" s="1056">
        <v>0</v>
      </c>
      <c r="V84" s="1147">
        <v>0</v>
      </c>
      <c r="W84" s="1176">
        <v>0</v>
      </c>
      <c r="X84" s="546">
        <v>0</v>
      </c>
      <c r="Y84" s="1176">
        <v>0</v>
      </c>
      <c r="Z84" s="1147">
        <v>0</v>
      </c>
      <c r="AA84" s="1344">
        <v>0</v>
      </c>
      <c r="AB84" s="1346">
        <v>0</v>
      </c>
      <c r="AC84" s="1176">
        <v>0</v>
      </c>
      <c r="AD84" s="1147">
        <v>0</v>
      </c>
      <c r="AE84" s="1176">
        <v>0</v>
      </c>
      <c r="AF84" s="1468">
        <f>+'P01 2023'!CP61</f>
        <v>35000</v>
      </c>
      <c r="AG84" s="1056">
        <v>0</v>
      </c>
      <c r="AH84" s="546">
        <v>0</v>
      </c>
      <c r="AI84" s="1056">
        <v>0</v>
      </c>
      <c r="AJ84" s="1584">
        <f>+'P01 2023'!DX64</f>
        <v>35000</v>
      </c>
      <c r="AK84" s="18">
        <f>+'P01 2022'!EJ59</f>
        <v>31890</v>
      </c>
      <c r="AL84" s="1190">
        <v>0</v>
      </c>
      <c r="AM84" s="18">
        <f>+'P01 2022'!GA61</f>
        <v>30000</v>
      </c>
      <c r="AN84" s="1061">
        <v>0</v>
      </c>
      <c r="AO84" s="1601"/>
      <c r="AP84" s="1401"/>
      <c r="AQ84" s="1401"/>
      <c r="AR84" s="1401"/>
      <c r="AS84" s="1401"/>
      <c r="AT84" s="1401"/>
      <c r="AU84" s="1401"/>
      <c r="AV84" s="1401"/>
      <c r="AW84" s="1401"/>
      <c r="AX84" s="1401"/>
      <c r="AY84" s="753"/>
      <c r="AZ84" s="1602"/>
      <c r="BA84" s="1398"/>
      <c r="BB84" s="753"/>
      <c r="BC84" s="1610"/>
      <c r="BD84" s="1610"/>
    </row>
    <row r="85" spans="1:56" s="1024" customFormat="1" ht="15" hidden="1" customHeight="1" x14ac:dyDescent="0.25">
      <c r="A85" s="175"/>
      <c r="B85" s="1413" t="s">
        <v>381</v>
      </c>
      <c r="C85" s="801"/>
      <c r="D85" s="184" t="s">
        <v>168</v>
      </c>
      <c r="E85" s="137"/>
      <c r="F85" s="137"/>
      <c r="G85" s="137"/>
      <c r="H85" s="1298" t="s">
        <v>47</v>
      </c>
      <c r="I85" s="1148">
        <f>SUM(I86:I97)</f>
        <v>17964.188000000002</v>
      </c>
      <c r="J85" s="127">
        <f>+'P01 2023'!EF75</f>
        <v>73818.565000000002</v>
      </c>
      <c r="K85" s="127">
        <f t="shared" ref="K85" ca="1" si="46">SUM(K86:K97)</f>
        <v>58422.126999999993</v>
      </c>
      <c r="L85" s="783">
        <f t="shared" ca="1" si="41"/>
        <v>0.79142864670967239</v>
      </c>
      <c r="M85" s="127">
        <f>+'P01 2023'!EH75</f>
        <v>61378.046000000002</v>
      </c>
      <c r="N85" s="783">
        <f t="shared" si="42"/>
        <v>0.83147167653557075</v>
      </c>
      <c r="O85" s="127">
        <f>+'P01 2023'!EI75</f>
        <v>12440.519</v>
      </c>
      <c r="P85" s="1155">
        <f t="shared" si="43"/>
        <v>0.16852832346442931</v>
      </c>
      <c r="Q85" s="1148">
        <f>+'P01 2022'!ES71</f>
        <v>52582.116698999998</v>
      </c>
      <c r="R85" s="1027">
        <f ca="1">+SUM(R86:R97)</f>
        <v>48011.278352999987</v>
      </c>
      <c r="S85" s="1732">
        <f t="shared" ca="1" si="45"/>
        <v>0.91307237834936872</v>
      </c>
      <c r="T85" s="217">
        <f t="shared" ref="T85:AI85" si="47">SUM(T86:T97)</f>
        <v>748.69</v>
      </c>
      <c r="U85" s="364">
        <f t="shared" si="47"/>
        <v>433.67317300000002</v>
      </c>
      <c r="V85" s="1163">
        <f>+'P01 2023'!N49</f>
        <v>4658.933</v>
      </c>
      <c r="W85" s="1177">
        <f t="shared" si="47"/>
        <v>2787.13285</v>
      </c>
      <c r="X85" s="1211">
        <f>SUM(X86:X97)</f>
        <v>5586.9179999999997</v>
      </c>
      <c r="Y85" s="1177">
        <f t="shared" si="47"/>
        <v>4141.918909</v>
      </c>
      <c r="Z85" s="1163">
        <f>SUM(Z86:Z97)</f>
        <v>5613.268</v>
      </c>
      <c r="AA85" s="1177">
        <f>SUM(AA86:AA97)</f>
        <v>6246.8715089999996</v>
      </c>
      <c r="AB85" s="1163">
        <f>SUM(AB86:AB97)</f>
        <v>13038.782999999999</v>
      </c>
      <c r="AC85" s="1177">
        <f t="shared" si="47"/>
        <v>8805.6528249999992</v>
      </c>
      <c r="AD85" s="1163">
        <f>+'P01 2023'!BZ62</f>
        <v>5289.415</v>
      </c>
      <c r="AE85" s="1177">
        <f t="shared" si="47"/>
        <v>6217.1106979999995</v>
      </c>
      <c r="AF85" s="1219">
        <f>+'P01 2023'!CP62</f>
        <v>3596.4639999999999</v>
      </c>
      <c r="AG85" s="364">
        <f t="shared" si="47"/>
        <v>1401.5899490000002</v>
      </c>
      <c r="AH85" s="1211">
        <f>+'P01 2023'!DF49</f>
        <v>2886.2570000000001</v>
      </c>
      <c r="AI85" s="364">
        <f t="shared" si="47"/>
        <v>5199.5465069999991</v>
      </c>
      <c r="AJ85" s="1585">
        <f>+'P01 2023'!DX65</f>
        <v>17003.399000000001</v>
      </c>
      <c r="AK85" s="3">
        <f>+AK86+AK87+AK88+AK90+AK92+AK94+AK95+AK96</f>
        <v>12777.781932999998</v>
      </c>
      <c r="AL85" s="16">
        <f>SUM(AL86:AL97)</f>
        <v>4119.9880000000003</v>
      </c>
      <c r="AM85" s="186">
        <f>+'P01 2022'!GA62</f>
        <v>2792.7370000000001</v>
      </c>
      <c r="AN85" s="1055">
        <f>+'P01 2022'!GX64</f>
        <v>18032.29</v>
      </c>
      <c r="AO85" s="1601"/>
      <c r="AP85" s="1401"/>
      <c r="AQ85" s="1401"/>
      <c r="AR85" s="1401"/>
      <c r="AS85" s="1401"/>
      <c r="AT85" s="1401"/>
      <c r="AU85" s="1401"/>
      <c r="AV85" s="1401"/>
      <c r="AW85" s="1401"/>
      <c r="AX85" s="1401"/>
      <c r="AY85" s="753"/>
      <c r="AZ85" s="1602"/>
      <c r="BA85" s="1398"/>
      <c r="BB85" s="753"/>
      <c r="BC85" s="1610"/>
      <c r="BD85" s="1610"/>
    </row>
    <row r="86" spans="1:56" s="177" customFormat="1" ht="15" hidden="1" customHeight="1" x14ac:dyDescent="0.25">
      <c r="A86" s="175"/>
      <c r="B86" s="1413" t="s">
        <v>382</v>
      </c>
      <c r="C86" s="800"/>
      <c r="D86" s="182"/>
      <c r="E86" s="17" t="s">
        <v>169</v>
      </c>
      <c r="F86" s="17"/>
      <c r="G86" s="17" t="str">
        <f>+CONCATENATE($C$78,"",$D$85,"",E86)</f>
        <v>22.04.001</v>
      </c>
      <c r="H86" s="1294" t="s">
        <v>104</v>
      </c>
      <c r="I86" s="1147">
        <f>+'P01 2023'!F73</f>
        <v>3403.8980000000001</v>
      </c>
      <c r="J86" s="97">
        <f>+'P01 2023'!EF76</f>
        <v>12073.163</v>
      </c>
      <c r="K86" s="18">
        <f ca="1">SUMIF(T$3:$AN76,"ok",T86:AN86)</f>
        <v>10866.575000000001</v>
      </c>
      <c r="L86" s="694">
        <f t="shared" ca="1" si="41"/>
        <v>0.90006032387701551</v>
      </c>
      <c r="M86" s="97">
        <f>+'P01 2023'!EH76</f>
        <v>12073.163</v>
      </c>
      <c r="N86" s="694">
        <f t="shared" si="42"/>
        <v>1</v>
      </c>
      <c r="O86" s="97">
        <f>+'P01 2023'!EI76</f>
        <v>0</v>
      </c>
      <c r="P86" s="1156">
        <f t="shared" si="43"/>
        <v>0</v>
      </c>
      <c r="Q86" s="1733">
        <f>+'P01 2022'!ES72</f>
        <v>5470.430797</v>
      </c>
      <c r="R86" s="997">
        <f ca="1">SUMIF(T$3:$AN76,"SI",T86:AN86)</f>
        <v>4756.9866540000003</v>
      </c>
      <c r="S86" s="1734">
        <f t="shared" ca="1" si="45"/>
        <v>0.86958172592344019</v>
      </c>
      <c r="T86" s="1725">
        <f>+'P01 2023'!I73</f>
        <v>6.99</v>
      </c>
      <c r="U86" s="1056">
        <f>+'P01 2022'!F67</f>
        <v>26.13917</v>
      </c>
      <c r="V86" s="1147">
        <f>+'P01 2023'!N50</f>
        <v>290.36</v>
      </c>
      <c r="W86" s="1176">
        <v>0</v>
      </c>
      <c r="X86" s="546">
        <f>+'P01 2023'!AD63</f>
        <v>100</v>
      </c>
      <c r="Y86" s="1176">
        <f>+'P01 2022'!AB59</f>
        <v>251.46328</v>
      </c>
      <c r="Z86" s="1147">
        <f>+'P01 2023'!AT61</f>
        <v>455.38</v>
      </c>
      <c r="AA86" s="1176">
        <f>+'P01 2022'!AQ61</f>
        <v>167.89128299999999</v>
      </c>
      <c r="AB86" s="1147">
        <f>+'P01 2023'!BJ50</f>
        <v>372.03</v>
      </c>
      <c r="AC86" s="1182">
        <f>+'P01 2022'!BI50</f>
        <v>251.982024</v>
      </c>
      <c r="AD86" s="1404">
        <f>+'P01 2023'!BZ63</f>
        <v>2504.462</v>
      </c>
      <c r="AE86" s="1176">
        <f>+'P01 2022'!CC63</f>
        <v>1272.9286810000001</v>
      </c>
      <c r="AF86" s="1468">
        <f>+'P01 2023'!CP63</f>
        <v>497.53899999999999</v>
      </c>
      <c r="AG86" s="1056">
        <f>+'P01 2022'!CY60</f>
        <v>158.65275</v>
      </c>
      <c r="AH86" s="546">
        <v>0</v>
      </c>
      <c r="AI86" s="1056">
        <f>+'P01 2022'!DR53</f>
        <v>2627.9294659999996</v>
      </c>
      <c r="AJ86" s="1584">
        <f>+'P01 2023'!DX66</f>
        <v>6639.8140000000003</v>
      </c>
      <c r="AK86" s="18">
        <v>0</v>
      </c>
      <c r="AL86" s="323">
        <f>+'P01 2022'!FC58</f>
        <v>249.54300000000001</v>
      </c>
      <c r="AM86" s="18">
        <f>+'P01 2022'!GA63</f>
        <v>680.96</v>
      </c>
      <c r="AN86" s="1056">
        <f>+'P01 2022'!GX65</f>
        <v>6399.67</v>
      </c>
      <c r="AO86" s="1601"/>
      <c r="AP86" s="1401"/>
      <c r="AQ86" s="1401"/>
      <c r="AR86" s="1401"/>
      <c r="AS86" s="1401"/>
      <c r="AT86" s="1401"/>
      <c r="AU86" s="1401"/>
      <c r="AV86" s="1401"/>
      <c r="AW86" s="1401"/>
      <c r="AX86" s="1401"/>
      <c r="AY86" s="753"/>
      <c r="AZ86" s="1602"/>
      <c r="BA86" s="1398"/>
      <c r="BB86" s="753"/>
      <c r="BC86" s="1610"/>
      <c r="BD86" s="1610"/>
    </row>
    <row r="87" spans="1:56" s="177" customFormat="1" ht="15" hidden="1" customHeight="1" x14ac:dyDescent="0.25">
      <c r="A87" s="175"/>
      <c r="B87" s="1413" t="s">
        <v>383</v>
      </c>
      <c r="C87" s="800"/>
      <c r="D87" s="182"/>
      <c r="E87" s="17" t="s">
        <v>166</v>
      </c>
      <c r="F87" s="17"/>
      <c r="G87" s="17" t="str">
        <f>+CONCATENATE($C$78,"",$D$85,"",E87)</f>
        <v>22.04.003</v>
      </c>
      <c r="H87" s="1294" t="s">
        <v>207</v>
      </c>
      <c r="I87" s="1147">
        <v>0</v>
      </c>
      <c r="J87" s="97">
        <f>+'P01 2023'!EF77</f>
        <v>0</v>
      </c>
      <c r="K87" s="18">
        <f ca="1">SUMIF(T$3:$AN78,"ok",T87:AN87)</f>
        <v>0</v>
      </c>
      <c r="L87" s="694">
        <f t="shared" ref="L87:L97" ca="1" si="48">IFERROR(K87/J87,"0,00"%)</f>
        <v>0</v>
      </c>
      <c r="M87" s="97">
        <f>+'P01 2023'!EH77</f>
        <v>0</v>
      </c>
      <c r="N87" s="694">
        <f t="shared" si="42"/>
        <v>0</v>
      </c>
      <c r="O87" s="97">
        <f>+'P01 2023'!EI77</f>
        <v>0</v>
      </c>
      <c r="P87" s="1156">
        <f t="shared" si="43"/>
        <v>0</v>
      </c>
      <c r="Q87" s="1733">
        <f>+'P01 2022'!ES73</f>
        <v>229.70366999999999</v>
      </c>
      <c r="R87" s="997">
        <f ca="1">SUMIF(T$3:$AN77,"SI",T87:AN87)</f>
        <v>229.69304</v>
      </c>
      <c r="S87" s="1734" t="str">
        <f ca="1">IFERROR(R87/#REF!,"0,00%")</f>
        <v>0,00%</v>
      </c>
      <c r="T87" s="1287">
        <v>0</v>
      </c>
      <c r="U87" s="1056">
        <v>0</v>
      </c>
      <c r="V87" s="1147">
        <v>0</v>
      </c>
      <c r="W87" s="1176">
        <v>0</v>
      </c>
      <c r="X87" s="546">
        <v>0</v>
      </c>
      <c r="Y87" s="1176">
        <f>+'P01 2022'!AB60</f>
        <v>0</v>
      </c>
      <c r="Z87" s="1147">
        <v>0</v>
      </c>
      <c r="AA87" s="1176">
        <f>+'P01 2022'!AQ62</f>
        <v>121.43711999999999</v>
      </c>
      <c r="AB87" s="1147">
        <v>0</v>
      </c>
      <c r="AC87" s="1182">
        <f>+'P01 2022'!BI51</f>
        <v>12.756</v>
      </c>
      <c r="AD87" s="1170">
        <v>0</v>
      </c>
      <c r="AE87" s="1176">
        <v>0</v>
      </c>
      <c r="AF87" s="1468">
        <v>0</v>
      </c>
      <c r="AG87" s="1056">
        <f>+'P01 2022'!CY61</f>
        <v>0</v>
      </c>
      <c r="AH87" s="546">
        <v>0</v>
      </c>
      <c r="AI87" s="1056">
        <f>+'P01 2022'!DR54</f>
        <v>0</v>
      </c>
      <c r="AJ87" s="1584">
        <v>0</v>
      </c>
      <c r="AK87" s="18">
        <f>+'P01 2022'!EJ62</f>
        <v>95.499920000000003</v>
      </c>
      <c r="AL87" s="323">
        <f>+'P01 2022'!FC59</f>
        <v>0</v>
      </c>
      <c r="AM87" s="18">
        <f>+'P01 2022'!GA64</f>
        <v>0</v>
      </c>
      <c r="AN87" s="1061">
        <v>0</v>
      </c>
      <c r="AO87" s="1601"/>
      <c r="AP87" s="1401"/>
      <c r="AQ87" s="1401"/>
      <c r="AR87" s="1401"/>
      <c r="AS87" s="1401"/>
      <c r="AT87" s="1401"/>
      <c r="AU87" s="1401"/>
      <c r="AV87" s="1401"/>
      <c r="AW87" s="1401"/>
      <c r="AX87" s="1401"/>
      <c r="AY87" s="753"/>
      <c r="AZ87" s="1602"/>
      <c r="BA87" s="1398"/>
      <c r="BB87" s="753"/>
      <c r="BC87" s="1610"/>
      <c r="BD87" s="1610"/>
    </row>
    <row r="88" spans="1:56" s="177" customFormat="1" ht="15" hidden="1" customHeight="1" x14ac:dyDescent="0.25">
      <c r="A88" s="175"/>
      <c r="B88" s="1413" t="s">
        <v>882</v>
      </c>
      <c r="C88" s="800"/>
      <c r="D88" s="182"/>
      <c r="E88" s="17" t="s">
        <v>179</v>
      </c>
      <c r="F88" s="17"/>
      <c r="G88" s="17" t="s">
        <v>883</v>
      </c>
      <c r="H88" s="1294" t="s">
        <v>884</v>
      </c>
      <c r="I88" s="1147">
        <v>0</v>
      </c>
      <c r="J88" s="97">
        <v>0</v>
      </c>
      <c r="K88" s="18">
        <f ca="1">SUMIF(T$3:$AN79,"ok",T88:AN88)</f>
        <v>0</v>
      </c>
      <c r="L88" s="694">
        <f t="shared" ca="1" si="48"/>
        <v>0</v>
      </c>
      <c r="M88" s="97">
        <v>0</v>
      </c>
      <c r="N88" s="694">
        <v>0</v>
      </c>
      <c r="O88" s="97">
        <v>0</v>
      </c>
      <c r="P88" s="1156">
        <v>0</v>
      </c>
      <c r="Q88" s="1733">
        <f>+'P01 2022'!ES74</f>
        <v>9.9390499999999999</v>
      </c>
      <c r="R88" s="997">
        <f ca="1">SUMIF(T$3:$AN78,"SI",T88:AN88)</f>
        <v>9.9390499999999999</v>
      </c>
      <c r="S88" s="1734">
        <v>0</v>
      </c>
      <c r="T88" s="1287">
        <v>0</v>
      </c>
      <c r="U88" s="1056">
        <v>0</v>
      </c>
      <c r="V88" s="1147">
        <v>0</v>
      </c>
      <c r="W88" s="1176">
        <v>0</v>
      </c>
      <c r="X88" s="546">
        <v>0</v>
      </c>
      <c r="Y88" s="1176">
        <v>0</v>
      </c>
      <c r="Z88" s="1147">
        <v>0</v>
      </c>
      <c r="AA88" s="1176">
        <v>0</v>
      </c>
      <c r="AB88" s="1147">
        <v>0</v>
      </c>
      <c r="AC88" s="1176">
        <v>0</v>
      </c>
      <c r="AD88" s="1147">
        <v>0</v>
      </c>
      <c r="AE88" s="1176">
        <v>0</v>
      </c>
      <c r="AF88" s="1468">
        <v>0</v>
      </c>
      <c r="AG88" s="1056">
        <v>0</v>
      </c>
      <c r="AH88" s="546">
        <v>0</v>
      </c>
      <c r="AI88" s="1056">
        <v>0</v>
      </c>
      <c r="AJ88" s="1584">
        <v>0</v>
      </c>
      <c r="AK88" s="18">
        <f>+'P01 2022'!EJ63</f>
        <v>9.9390499999999999</v>
      </c>
      <c r="AL88" s="323">
        <f>+'P01 2022'!FC60</f>
        <v>0</v>
      </c>
      <c r="AM88" s="18">
        <f>+'P01 2022'!GA65</f>
        <v>0</v>
      </c>
      <c r="AN88" s="1056">
        <f>+'P01 2022'!GX66</f>
        <v>504.56</v>
      </c>
      <c r="AO88" s="1601"/>
      <c r="AP88" s="1401"/>
      <c r="AQ88" s="1401"/>
      <c r="AR88" s="1401"/>
      <c r="AS88" s="1401"/>
      <c r="AT88" s="1401"/>
      <c r="AU88" s="1401"/>
      <c r="AV88" s="1401"/>
      <c r="AW88" s="1401"/>
      <c r="AX88" s="1401"/>
      <c r="AY88" s="753"/>
      <c r="AZ88" s="1602"/>
      <c r="BA88" s="1398"/>
      <c r="BB88" s="753"/>
      <c r="BC88" s="1610"/>
      <c r="BD88" s="1610"/>
    </row>
    <row r="89" spans="1:56" s="177" customFormat="1" ht="15" hidden="1" customHeight="1" x14ac:dyDescent="0.25">
      <c r="A89" s="175"/>
      <c r="B89" s="1413" t="s">
        <v>589</v>
      </c>
      <c r="C89" s="800"/>
      <c r="D89" s="182"/>
      <c r="E89" s="1172" t="s">
        <v>180</v>
      </c>
      <c r="F89" s="1173"/>
      <c r="G89" s="1173" t="str">
        <f t="shared" ref="G89:G97" si="49">+CONCATENATE($C$78,"",$D$85,"",E89)</f>
        <v>22.04.005</v>
      </c>
      <c r="H89" s="1299" t="s">
        <v>334</v>
      </c>
      <c r="I89" s="1150">
        <v>0</v>
      </c>
      <c r="J89" s="1140">
        <f>+'P01 2023'!EF78</f>
        <v>2507.047</v>
      </c>
      <c r="K89" s="1139">
        <f ca="1">SUMIF(T$3:$AN79,"ok",T89:AN89)</f>
        <v>2507.047</v>
      </c>
      <c r="L89" s="1141">
        <f t="shared" ca="1" si="48"/>
        <v>1</v>
      </c>
      <c r="M89" s="1140">
        <f>+'P01 2023'!EH78</f>
        <v>2507.047</v>
      </c>
      <c r="N89" s="1141">
        <f t="shared" ref="N89:N120" si="50">+IFERROR(M89/J89,0)</f>
        <v>1</v>
      </c>
      <c r="O89" s="1140">
        <f>+'P01 2023'!EI78</f>
        <v>0</v>
      </c>
      <c r="P89" s="1712">
        <f t="shared" ref="P89:P110" si="51">+IFERROR(O89/J89,0)</f>
        <v>0</v>
      </c>
      <c r="Q89" s="1733">
        <f>+'P01 2022'!ES75</f>
        <v>5891.0418259999997</v>
      </c>
      <c r="R89" s="1142">
        <f ca="1">SUMIF(T$3:$AN79,"SI",T89:AN89)</f>
        <v>5765.9160959999999</v>
      </c>
      <c r="S89" s="1734">
        <f ca="1">IFERROR(R89/Q89,"0%")</f>
        <v>0.97875999972572603</v>
      </c>
      <c r="T89" s="1288">
        <v>0</v>
      </c>
      <c r="U89" s="1143">
        <f>+'P01 2022'!F68</f>
        <v>105.795075</v>
      </c>
      <c r="V89" s="1150">
        <f>+'P01 2023'!N51</f>
        <v>1606.5</v>
      </c>
      <c r="W89" s="1183">
        <f>+'P01 2022'!M50</f>
        <v>813.75094899999999</v>
      </c>
      <c r="X89" s="1213">
        <v>0</v>
      </c>
      <c r="Y89" s="1183">
        <f>+'P01 2022'!AB61</f>
        <v>497.65195399999999</v>
      </c>
      <c r="Z89" s="1147">
        <f>+'P01 2023'!AT62</f>
        <v>0</v>
      </c>
      <c r="AA89" s="1183">
        <f>+'P01 2022'!AQ63</f>
        <v>12.330799999999998</v>
      </c>
      <c r="AB89" s="1150">
        <f>+'P01 2023'!BJ51</f>
        <v>71.400000000000006</v>
      </c>
      <c r="AC89" s="1402">
        <f>+'P01 2022'!BI52</f>
        <v>4336.3873180000001</v>
      </c>
      <c r="AD89" s="1404">
        <f>+'P01 2023'!BZ64</f>
        <v>0</v>
      </c>
      <c r="AE89" s="1183">
        <v>0</v>
      </c>
      <c r="AF89" s="1468">
        <v>0</v>
      </c>
      <c r="AG89" s="1143">
        <f>+'P01 2022'!CY62</f>
        <v>0</v>
      </c>
      <c r="AH89" s="1213">
        <f>+'P01 2023'!DF51</f>
        <v>829.14700000000005</v>
      </c>
      <c r="AI89" s="1143">
        <f>+'P01 2022'!DR55</f>
        <v>0</v>
      </c>
      <c r="AJ89" s="1589">
        <v>0</v>
      </c>
      <c r="AK89" s="1139">
        <v>0</v>
      </c>
      <c r="AL89" s="1191">
        <v>0</v>
      </c>
      <c r="AM89" s="1139">
        <f>+'P01 2022'!GA66</f>
        <v>618.79999999999995</v>
      </c>
      <c r="AN89" s="1143">
        <f>+'P01 2022'!GX67</f>
        <v>910.72500000000002</v>
      </c>
      <c r="AO89" s="1601"/>
      <c r="AP89" s="1401"/>
      <c r="AQ89" s="1401"/>
      <c r="AR89" s="1401"/>
      <c r="AS89" s="1401"/>
      <c r="AT89" s="1401"/>
      <c r="AU89" s="1401"/>
      <c r="AV89" s="1401"/>
      <c r="AW89" s="1401"/>
      <c r="AX89" s="1401"/>
      <c r="AY89" s="753"/>
      <c r="AZ89" s="1602"/>
      <c r="BA89" s="1398"/>
      <c r="BB89" s="753"/>
      <c r="BC89" s="1610"/>
      <c r="BD89" s="1610"/>
    </row>
    <row r="90" spans="1:56" s="177" customFormat="1" ht="15" hidden="1" customHeight="1" x14ac:dyDescent="0.25">
      <c r="A90" s="175"/>
      <c r="B90" s="1413" t="s">
        <v>384</v>
      </c>
      <c r="C90" s="800"/>
      <c r="D90" s="182"/>
      <c r="E90" s="17" t="s">
        <v>170</v>
      </c>
      <c r="F90" s="17"/>
      <c r="G90" s="17" t="str">
        <f t="shared" si="49"/>
        <v>22.04.007</v>
      </c>
      <c r="H90" s="1294" t="s">
        <v>105</v>
      </c>
      <c r="I90" s="1147">
        <f>+'P01 2023'!F76</f>
        <v>5237.07</v>
      </c>
      <c r="J90" s="1140">
        <f>+'P01 2023'!EF79</f>
        <v>26801.65</v>
      </c>
      <c r="K90" s="1139">
        <f ca="1">SUMIF(T$3:$AN80,"ok",T90:AN90)</f>
        <v>26801.649999999994</v>
      </c>
      <c r="L90" s="1141">
        <f t="shared" ca="1" si="48"/>
        <v>0.99999999999999978</v>
      </c>
      <c r="M90" s="1140">
        <f>+'P01 2023'!EH79</f>
        <v>26801.65</v>
      </c>
      <c r="N90" s="1141">
        <f t="shared" si="50"/>
        <v>1</v>
      </c>
      <c r="O90" s="1140">
        <f>+'P01 2023'!EI79</f>
        <v>0</v>
      </c>
      <c r="P90" s="1156">
        <f t="shared" si="51"/>
        <v>0</v>
      </c>
      <c r="Q90" s="1733">
        <f>+'P01 2022'!ES76</f>
        <v>19994.485744000001</v>
      </c>
      <c r="R90" s="997">
        <f ca="1">SUMIF(T$3:$AN80,"SI",T90:AN90)</f>
        <v>18066.797960999997</v>
      </c>
      <c r="S90" s="1734">
        <f ca="1">IFERROR(R90/Q90,"0%")</f>
        <v>0.90358902911126526</v>
      </c>
      <c r="T90" s="1287">
        <v>0</v>
      </c>
      <c r="U90" s="1056">
        <f>+'P01 2022'!F69</f>
        <v>121.44349799999999</v>
      </c>
      <c r="V90" s="1147">
        <v>0</v>
      </c>
      <c r="W90" s="1176">
        <f>+'P01 2022'!M51</f>
        <v>1873.4535229999999</v>
      </c>
      <c r="X90" s="546">
        <f>+'P01 2023'!AD65</f>
        <v>5266.7079999999996</v>
      </c>
      <c r="Y90" s="1176">
        <f>+'P01 2022'!AB62</f>
        <v>2334.8996969999998</v>
      </c>
      <c r="Z90" s="1147">
        <f>+'P01 2023'!AT63</f>
        <v>126.14</v>
      </c>
      <c r="AA90" s="1176">
        <f>+'P01 2022'!AQ64</f>
        <v>139.11906199999999</v>
      </c>
      <c r="AB90" s="1150">
        <f>+'P01 2023'!BJ52</f>
        <v>11713.64</v>
      </c>
      <c r="AC90" s="1182">
        <f>+'P01 2022'!BI53</f>
        <v>1444.7785759999999</v>
      </c>
      <c r="AD90" s="1404">
        <f>+'P01 2023'!BZ65</f>
        <v>1241.134</v>
      </c>
      <c r="AE90" s="1176">
        <f>+'P01 2022'!CC65</f>
        <v>4810.8796909999992</v>
      </c>
      <c r="AF90" s="1468">
        <v>0</v>
      </c>
      <c r="AG90" s="1056">
        <f>+'P01 2022'!CY63</f>
        <v>19.909990000000001</v>
      </c>
      <c r="AH90" s="1213">
        <f>+'P01 2023'!DF52</f>
        <v>90</v>
      </c>
      <c r="AI90" s="1056">
        <f>+'P01 2022'!DR56</f>
        <v>0</v>
      </c>
      <c r="AJ90" s="1584">
        <f>+'P01 2023'!DX68</f>
        <v>8364.0280000000002</v>
      </c>
      <c r="AK90" s="18">
        <f>+'P01 2022'!EJ64</f>
        <v>7322.3139239999991</v>
      </c>
      <c r="AL90" s="323">
        <f>+'P01 2022'!FC61</f>
        <v>1795.568</v>
      </c>
      <c r="AM90" s="18">
        <f>+'P01 2022'!GA67</f>
        <v>666.4</v>
      </c>
      <c r="AN90" s="1056">
        <f>+'P01 2022'!GX68</f>
        <v>931.06799999999998</v>
      </c>
      <c r="AO90" s="1601"/>
      <c r="AP90" s="1401"/>
      <c r="AQ90" s="1401"/>
      <c r="AR90" s="1401"/>
      <c r="AS90" s="1401"/>
      <c r="AT90" s="1401"/>
      <c r="AU90" s="1401"/>
      <c r="AV90" s="1401"/>
      <c r="AW90" s="1401"/>
      <c r="AX90" s="1401"/>
      <c r="AY90" s="753"/>
      <c r="AZ90" s="1602"/>
      <c r="BA90" s="1398"/>
      <c r="BB90" s="753"/>
      <c r="BC90" s="1610"/>
      <c r="BD90" s="1610"/>
    </row>
    <row r="91" spans="1:56" s="177" customFormat="1" ht="15" hidden="1" customHeight="1" x14ac:dyDescent="0.25">
      <c r="A91" s="175"/>
      <c r="B91" s="1413" t="s">
        <v>590</v>
      </c>
      <c r="C91" s="800"/>
      <c r="D91" s="182"/>
      <c r="E91" s="17" t="s">
        <v>171</v>
      </c>
      <c r="F91" s="17"/>
      <c r="G91" s="17" t="str">
        <f t="shared" si="49"/>
        <v>22.04.008</v>
      </c>
      <c r="H91" s="1294" t="s">
        <v>106</v>
      </c>
      <c r="I91" s="1147">
        <v>0</v>
      </c>
      <c r="J91" s="1140">
        <f>+'P01 2023'!EF80</f>
        <v>582.26700000000005</v>
      </c>
      <c r="K91" s="1139">
        <f ca="1">SUMIF(T$3:$AN81,"ok",T91:AN91)</f>
        <v>582.26700000000005</v>
      </c>
      <c r="L91" s="1141">
        <f t="shared" ca="1" si="48"/>
        <v>1</v>
      </c>
      <c r="M91" s="1140">
        <f>+'P01 2023'!EH80</f>
        <v>582.26700000000005</v>
      </c>
      <c r="N91" s="1141">
        <f t="shared" si="50"/>
        <v>1</v>
      </c>
      <c r="O91" s="1140">
        <f>+'P01 2023'!EI80</f>
        <v>0</v>
      </c>
      <c r="P91" s="1156">
        <f t="shared" si="51"/>
        <v>0</v>
      </c>
      <c r="Q91" s="1733">
        <f>+'P01 2022'!ES77</f>
        <v>0</v>
      </c>
      <c r="R91" s="997">
        <f ca="1">SUMIF(T$3:$AN81,"SI",T91:AN91)</f>
        <v>0</v>
      </c>
      <c r="S91" s="1734" t="str">
        <f ca="1">IFERROR(R91/#REF!,"0,00%")</f>
        <v>0,00%</v>
      </c>
      <c r="T91" s="1287">
        <v>0</v>
      </c>
      <c r="U91" s="1056">
        <v>0</v>
      </c>
      <c r="V91" s="1147">
        <v>0</v>
      </c>
      <c r="W91" s="1176">
        <v>0</v>
      </c>
      <c r="X91" s="546">
        <v>0</v>
      </c>
      <c r="Y91" s="1176">
        <v>0</v>
      </c>
      <c r="Z91" s="1147">
        <f>+'P01 2023'!AT64</f>
        <v>582.26700000000005</v>
      </c>
      <c r="AA91" s="1176">
        <f>+'P01 2022'!AQ65</f>
        <v>0</v>
      </c>
      <c r="AB91" s="1147">
        <v>0</v>
      </c>
      <c r="AC91" s="1182">
        <v>0</v>
      </c>
      <c r="AD91" s="1404">
        <v>0</v>
      </c>
      <c r="AE91" s="1176">
        <v>0</v>
      </c>
      <c r="AF91" s="1468">
        <v>0</v>
      </c>
      <c r="AG91" s="1056">
        <v>0</v>
      </c>
      <c r="AH91" s="546">
        <v>0</v>
      </c>
      <c r="AI91" s="1056">
        <v>0</v>
      </c>
      <c r="AJ91" s="1584">
        <v>0</v>
      </c>
      <c r="AK91" s="18">
        <v>0</v>
      </c>
      <c r="AL91" s="1190">
        <v>0</v>
      </c>
      <c r="AM91" s="18">
        <v>0</v>
      </c>
      <c r="AN91" s="1061">
        <v>0</v>
      </c>
      <c r="AO91" s="1601"/>
      <c r="AP91" s="1401"/>
      <c r="AQ91" s="1401"/>
      <c r="AR91" s="1401"/>
      <c r="AS91" s="1401"/>
      <c r="AT91" s="1401"/>
      <c r="AU91" s="1401"/>
      <c r="AV91" s="1401"/>
      <c r="AW91" s="1401"/>
      <c r="AX91" s="1401"/>
      <c r="AY91" s="753"/>
      <c r="AZ91" s="1602"/>
      <c r="BA91" s="1398"/>
      <c r="BB91" s="753"/>
      <c r="BC91" s="1610"/>
      <c r="BD91" s="1610"/>
    </row>
    <row r="92" spans="1:56" s="177" customFormat="1" ht="15" hidden="1" customHeight="1" x14ac:dyDescent="0.25">
      <c r="A92" s="175"/>
      <c r="B92" s="1413" t="s">
        <v>591</v>
      </c>
      <c r="C92" s="800"/>
      <c r="D92" s="182"/>
      <c r="E92" s="17" t="s">
        <v>172</v>
      </c>
      <c r="F92" s="17"/>
      <c r="G92" s="17" t="str">
        <f t="shared" si="49"/>
        <v>22.04.009</v>
      </c>
      <c r="H92" s="1294" t="s">
        <v>48</v>
      </c>
      <c r="I92" s="1147">
        <f>+'P01 2023'!F77</f>
        <v>3600</v>
      </c>
      <c r="J92" s="1140">
        <f>+'P01 2023'!EF81</f>
        <v>13898.135</v>
      </c>
      <c r="K92" s="1139">
        <f ca="1">SUMIF(T$3:$AN82,"ok",T92:AN92)</f>
        <v>3296.1950000000002</v>
      </c>
      <c r="L92" s="1141">
        <f t="shared" ca="1" si="48"/>
        <v>0.23716815241757258</v>
      </c>
      <c r="M92" s="1140">
        <f>+'P01 2023'!EH81</f>
        <v>4398.1350000000002</v>
      </c>
      <c r="N92" s="1141">
        <f t="shared" si="50"/>
        <v>0.31645504954441728</v>
      </c>
      <c r="O92" s="1140">
        <f>+'P01 2023'!EI81</f>
        <v>9500</v>
      </c>
      <c r="P92" s="1156">
        <f t="shared" si="51"/>
        <v>0.68354495045558272</v>
      </c>
      <c r="Q92" s="1733">
        <f>+'P01 2022'!ES78</f>
        <v>3085.4637999999995</v>
      </c>
      <c r="R92" s="997">
        <f ca="1">SUMIF(T$3:$AN82,"SI",T92:AN92)</f>
        <v>2059.061827</v>
      </c>
      <c r="S92" s="1734" t="str">
        <f ca="1">IFERROR(R92/#REF!,"0,00%")</f>
        <v>0,00%</v>
      </c>
      <c r="T92" s="1287">
        <v>0</v>
      </c>
      <c r="U92" s="1056">
        <v>0</v>
      </c>
      <c r="V92" s="1147">
        <f>+'P01 2023'!N52</f>
        <v>940.33799999999997</v>
      </c>
      <c r="W92" s="1176">
        <v>0</v>
      </c>
      <c r="X92" s="546">
        <f>+'P01 2023'!AD67</f>
        <v>70.209999999999994</v>
      </c>
      <c r="Y92" s="1176">
        <v>0</v>
      </c>
      <c r="Z92" s="1147">
        <f>+'P01 2023'!AT65</f>
        <v>158.27000000000001</v>
      </c>
      <c r="AA92" s="1176">
        <f>+'P01 2022'!AQ66</f>
        <v>0</v>
      </c>
      <c r="AB92" s="1147">
        <v>0</v>
      </c>
      <c r="AC92" s="1182">
        <f>+'P01 2022'!BI54</f>
        <v>1465.49432</v>
      </c>
      <c r="AD92" s="1404">
        <v>0</v>
      </c>
      <c r="AE92" s="1176">
        <v>0</v>
      </c>
      <c r="AF92" s="1468">
        <f>+'P01 2023'!CP67</f>
        <v>579.14700000000005</v>
      </c>
      <c r="AG92" s="1056">
        <v>0</v>
      </c>
      <c r="AH92" s="546">
        <f>+'P01 2023'!DF53</f>
        <v>1548.23</v>
      </c>
      <c r="AI92" s="1056">
        <f>+'P01 2022'!DR57</f>
        <v>25.469480000000001</v>
      </c>
      <c r="AJ92" s="1584">
        <v>0</v>
      </c>
      <c r="AK92" s="18">
        <f>+'P01 2022'!EJ65</f>
        <v>568.09802699999989</v>
      </c>
      <c r="AL92" s="323">
        <f>+'P01 2022'!FC62</f>
        <v>1906.73</v>
      </c>
      <c r="AM92" s="18">
        <f>+'P01 2022'!GA68</f>
        <v>262.67500000000001</v>
      </c>
      <c r="AN92" s="1056">
        <f>+'P01 2022'!GX69</f>
        <v>6755.8090000000002</v>
      </c>
      <c r="AO92" s="1601"/>
      <c r="AP92" s="1401"/>
      <c r="AQ92" s="1401"/>
      <c r="AR92" s="1401"/>
      <c r="AS92" s="1401"/>
      <c r="AT92" s="1401"/>
      <c r="AU92" s="1401"/>
      <c r="AV92" s="1401"/>
      <c r="AW92" s="1401"/>
      <c r="AX92" s="1401"/>
      <c r="AY92" s="753"/>
      <c r="AZ92" s="1602"/>
      <c r="BA92" s="1398"/>
      <c r="BB92" s="753"/>
      <c r="BC92" s="1610"/>
      <c r="BD92" s="1610"/>
    </row>
    <row r="93" spans="1:56" s="177" customFormat="1" ht="15" hidden="1" customHeight="1" x14ac:dyDescent="0.25">
      <c r="A93" s="175"/>
      <c r="B93" s="1413" t="s">
        <v>592</v>
      </c>
      <c r="C93" s="800"/>
      <c r="D93" s="182"/>
      <c r="E93" s="17" t="s">
        <v>173</v>
      </c>
      <c r="F93" s="17"/>
      <c r="G93" s="17" t="str">
        <f t="shared" si="49"/>
        <v>22.04.010</v>
      </c>
      <c r="H93" s="1294" t="s">
        <v>49</v>
      </c>
      <c r="I93" s="1147">
        <f>+'P01 2023'!F78</f>
        <v>500</v>
      </c>
      <c r="J93" s="97">
        <v>0</v>
      </c>
      <c r="K93" s="1139">
        <f ca="1">SUMIF(T$3:$AN83,"ok",T93:AN93)</f>
        <v>0</v>
      </c>
      <c r="L93" s="1141">
        <f t="shared" ca="1" si="48"/>
        <v>0</v>
      </c>
      <c r="M93" s="97">
        <v>0</v>
      </c>
      <c r="N93" s="694">
        <f t="shared" si="50"/>
        <v>0</v>
      </c>
      <c r="O93" s="97">
        <v>0</v>
      </c>
      <c r="P93" s="1156">
        <f t="shared" si="51"/>
        <v>0</v>
      </c>
      <c r="Q93" s="1733">
        <f>+'P01 2022'!ES79</f>
        <v>350.47535199999999</v>
      </c>
      <c r="R93" s="997">
        <f ca="1">SUMIF(T$3:$AN83,"SI",T93:AN93)</f>
        <v>350.47535199999999</v>
      </c>
      <c r="S93" s="1734">
        <f t="shared" ref="S93:S107" ca="1" si="52">IFERROR(R93/Q93,"0%")</f>
        <v>1</v>
      </c>
      <c r="T93" s="1287">
        <v>0</v>
      </c>
      <c r="U93" s="1056">
        <v>0</v>
      </c>
      <c r="V93" s="1147">
        <v>0</v>
      </c>
      <c r="W93" s="1176">
        <v>0</v>
      </c>
      <c r="X93" s="546">
        <v>0</v>
      </c>
      <c r="Y93" s="1176">
        <v>0</v>
      </c>
      <c r="Z93" s="1147">
        <f>+'P01 2023'!AT66</f>
        <v>0</v>
      </c>
      <c r="AA93" s="1176">
        <f>+'P01 2022'!AQ67</f>
        <v>20.34582</v>
      </c>
      <c r="AB93" s="1147">
        <v>0</v>
      </c>
      <c r="AC93" s="1182">
        <f>+'P01 2022'!BI55</f>
        <v>0</v>
      </c>
      <c r="AD93" s="1404">
        <v>0</v>
      </c>
      <c r="AE93" s="1176">
        <v>0</v>
      </c>
      <c r="AF93" s="1468">
        <v>0</v>
      </c>
      <c r="AG93" s="1056">
        <f>+'P01 2022'!CY64</f>
        <v>330.12953199999998</v>
      </c>
      <c r="AH93" s="546">
        <v>0</v>
      </c>
      <c r="AI93" s="1056">
        <v>0</v>
      </c>
      <c r="AJ93" s="1584">
        <v>0</v>
      </c>
      <c r="AK93" s="18">
        <v>0</v>
      </c>
      <c r="AL93" s="323">
        <f>+'P01 2022'!FC63</f>
        <v>0</v>
      </c>
      <c r="AM93" s="18">
        <v>0</v>
      </c>
      <c r="AN93" s="1056">
        <f>+'P01 2022'!GX70</f>
        <v>77.67</v>
      </c>
      <c r="AO93" s="1601"/>
      <c r="AP93" s="1401"/>
      <c r="AQ93" s="1401"/>
      <c r="AR93" s="1401"/>
      <c r="AS93" s="1401"/>
      <c r="AT93" s="1401"/>
      <c r="AU93" s="1401"/>
      <c r="AV93" s="1401"/>
      <c r="AW93" s="1401"/>
      <c r="AX93" s="1401"/>
      <c r="AY93" s="753"/>
      <c r="AZ93" s="1602"/>
      <c r="BA93" s="1398"/>
      <c r="BB93" s="753"/>
      <c r="BC93" s="1610"/>
      <c r="BD93" s="1610"/>
    </row>
    <row r="94" spans="1:56" s="177" customFormat="1" ht="15" hidden="1" customHeight="1" x14ac:dyDescent="0.25">
      <c r="A94" s="175"/>
      <c r="B94" s="1413" t="s">
        <v>593</v>
      </c>
      <c r="C94" s="800"/>
      <c r="D94" s="182"/>
      <c r="E94" s="17" t="s">
        <v>174</v>
      </c>
      <c r="F94" s="17"/>
      <c r="G94" s="17" t="str">
        <f t="shared" si="49"/>
        <v>22.04.011</v>
      </c>
      <c r="H94" s="1294" t="s">
        <v>50</v>
      </c>
      <c r="I94" s="1147">
        <f>+'P01 2023'!F79</f>
        <v>5147.8999999999996</v>
      </c>
      <c r="J94" s="97">
        <f>+'P01 2023'!EF83</f>
        <v>6948.04</v>
      </c>
      <c r="K94" s="1139">
        <f ca="1">SUMIF(T$3:$AN84,"ok",T94:AN94)</f>
        <v>4272.8060000000005</v>
      </c>
      <c r="L94" s="1141">
        <f t="shared" ca="1" si="48"/>
        <v>0.61496565938019943</v>
      </c>
      <c r="M94" s="97">
        <f>+'P01 2023'!EH83</f>
        <v>4272.8059999999996</v>
      </c>
      <c r="N94" s="694">
        <f t="shared" si="50"/>
        <v>0.6149656593801992</v>
      </c>
      <c r="O94" s="97">
        <f>+'P01 2023'!EI83</f>
        <v>2675.2339999999999</v>
      </c>
      <c r="P94" s="1156">
        <f t="shared" si="51"/>
        <v>0.38503434061980069</v>
      </c>
      <c r="Q94" s="1733">
        <f>+'P01 2022'!ES80</f>
        <v>3270.3917839999999</v>
      </c>
      <c r="R94" s="997">
        <f ca="1">SUMIF(T$3:$AN84,"SI",T94:AN94)</f>
        <v>2670.9639579999998</v>
      </c>
      <c r="S94" s="1734">
        <f t="shared" ca="1" si="52"/>
        <v>0.81671069841459698</v>
      </c>
      <c r="T94" s="218">
        <f>+'P01 2023'!I79</f>
        <v>741.7</v>
      </c>
      <c r="U94" s="1056">
        <f>+'P01 2022'!F72</f>
        <v>91.077840000000009</v>
      </c>
      <c r="V94" s="1147">
        <f>+'P01 2023'!N53</f>
        <v>386</v>
      </c>
      <c r="W94" s="1176">
        <v>0</v>
      </c>
      <c r="X94" s="546">
        <f>+'P01 2023'!AD69</f>
        <v>150</v>
      </c>
      <c r="Y94" s="1176">
        <f>+'P01 2022'!AB64</f>
        <v>583.54022799999996</v>
      </c>
      <c r="Z94" s="1147">
        <f>+'P01 2023'!AT67</f>
        <v>0</v>
      </c>
      <c r="AA94" s="1176">
        <f>+'P01 2022'!AQ68</f>
        <v>0</v>
      </c>
      <c r="AB94" s="1147">
        <f>+'P01 2023'!BJ55</f>
        <v>881.71299999999997</v>
      </c>
      <c r="AC94" s="1182">
        <f>+'P01 2022'!BI56</f>
        <v>613.98135899999988</v>
      </c>
      <c r="AD94" s="1404">
        <f>+'P01 2023'!BZ68</f>
        <v>518.84</v>
      </c>
      <c r="AE94" s="1176">
        <v>0</v>
      </c>
      <c r="AF94" s="1468">
        <f>+'P01 2023'!CP69</f>
        <v>1175.673</v>
      </c>
      <c r="AG94" s="1056">
        <f>+'P01 2022'!CY65</f>
        <v>571.68033699999989</v>
      </c>
      <c r="AH94" s="546">
        <f>+'P01 2023'!DF54</f>
        <v>418.88</v>
      </c>
      <c r="AI94" s="1056">
        <v>0</v>
      </c>
      <c r="AJ94" s="1584">
        <v>0</v>
      </c>
      <c r="AK94" s="18">
        <f>+'P01 2022'!EJ66</f>
        <v>810.68419400000005</v>
      </c>
      <c r="AL94" s="1190">
        <v>0</v>
      </c>
      <c r="AM94" s="18">
        <f>+'P01 2022'!GA69</f>
        <v>563.90200000000004</v>
      </c>
      <c r="AN94" s="1056">
        <f>+'P01 2022'!GX71</f>
        <v>869.52099999999996</v>
      </c>
      <c r="AO94" s="1601"/>
      <c r="AP94" s="1401"/>
      <c r="AQ94" s="1401"/>
      <c r="AR94" s="1401"/>
      <c r="AS94" s="1401"/>
      <c r="AT94" s="1401"/>
      <c r="AU94" s="1401"/>
      <c r="AV94" s="1401"/>
      <c r="AW94" s="1401"/>
      <c r="AX94" s="1401"/>
      <c r="AY94" s="753"/>
      <c r="AZ94" s="1602"/>
      <c r="BA94" s="1398"/>
      <c r="BB94" s="753"/>
      <c r="BC94" s="1610"/>
      <c r="BD94" s="1610"/>
    </row>
    <row r="95" spans="1:56" s="177" customFormat="1" ht="15" hidden="1" customHeight="1" x14ac:dyDescent="0.25">
      <c r="A95" s="175"/>
      <c r="B95" s="1413" t="s">
        <v>594</v>
      </c>
      <c r="C95" s="800"/>
      <c r="D95" s="182"/>
      <c r="E95" s="17" t="s">
        <v>175</v>
      </c>
      <c r="F95" s="17"/>
      <c r="G95" s="17" t="str">
        <f t="shared" si="49"/>
        <v>22.04.012</v>
      </c>
      <c r="H95" s="1294" t="s">
        <v>107</v>
      </c>
      <c r="I95" s="1147">
        <v>0</v>
      </c>
      <c r="J95" s="97">
        <f>+'P01 2023'!EF84</f>
        <v>715.428</v>
      </c>
      <c r="K95" s="1139">
        <f ca="1">SUMIF(T$3:$AN85,"ok",T95:AN95)</f>
        <v>715.428</v>
      </c>
      <c r="L95" s="1141">
        <f t="shared" ca="1" si="48"/>
        <v>1</v>
      </c>
      <c r="M95" s="97">
        <f>+'P01 2023'!EH84</f>
        <v>715.428</v>
      </c>
      <c r="N95" s="694">
        <f t="shared" si="50"/>
        <v>1</v>
      </c>
      <c r="O95" s="97">
        <f>+'P01 2023'!EI84</f>
        <v>0</v>
      </c>
      <c r="P95" s="1156">
        <f t="shared" si="51"/>
        <v>0</v>
      </c>
      <c r="Q95" s="1733">
        <f>+'P01 2022'!ES81</f>
        <v>1781.5582359999999</v>
      </c>
      <c r="R95" s="1142">
        <f ca="1">SUMIF(T$3:$AN85,"SI",T95:AN95)</f>
        <v>1602.8179749999997</v>
      </c>
      <c r="S95" s="1735">
        <f t="shared" ca="1" si="52"/>
        <v>0.89967195156004987</v>
      </c>
      <c r="T95" s="218">
        <v>0</v>
      </c>
      <c r="U95" s="1056">
        <f>+'P01 2022'!F73</f>
        <v>6.9945399999999998</v>
      </c>
      <c r="V95" s="1147">
        <v>0</v>
      </c>
      <c r="W95" s="1176">
        <v>0</v>
      </c>
      <c r="X95" s="546">
        <v>0</v>
      </c>
      <c r="Y95" s="1176">
        <v>0</v>
      </c>
      <c r="Z95" s="1147">
        <f>+'P01 2023'!AT68</f>
        <v>715.428</v>
      </c>
      <c r="AA95" s="1176">
        <f>+'P01 2022'!AQ69</f>
        <v>0</v>
      </c>
      <c r="AB95" s="1147">
        <v>0</v>
      </c>
      <c r="AC95" s="1182">
        <v>0</v>
      </c>
      <c r="AD95" s="1170">
        <v>0</v>
      </c>
      <c r="AE95" s="1176">
        <v>0</v>
      </c>
      <c r="AF95" s="1468">
        <v>0</v>
      </c>
      <c r="AG95" s="1056">
        <f>+'P01 2022'!CY66</f>
        <v>0</v>
      </c>
      <c r="AH95" s="546">
        <v>0</v>
      </c>
      <c r="AI95" s="1056">
        <f>+'P01 2022'!DR60</f>
        <v>1595.8234349999998</v>
      </c>
      <c r="AJ95" s="1584">
        <v>0</v>
      </c>
      <c r="AK95" s="18">
        <f>+'P01 2022'!EJ67</f>
        <v>0</v>
      </c>
      <c r="AL95" s="323">
        <f>+'P01 2022'!FC64</f>
        <v>168.14699999999999</v>
      </c>
      <c r="AM95" s="18">
        <f>+'P01 2022'!GA70</f>
        <v>0</v>
      </c>
      <c r="AN95" s="1056">
        <f>+'P01 2022'!GX72</f>
        <v>558.00699999999995</v>
      </c>
      <c r="AO95" s="1601"/>
      <c r="AP95" s="1401"/>
      <c r="AQ95" s="1401"/>
      <c r="AR95" s="1401"/>
      <c r="AS95" s="1401"/>
      <c r="AT95" s="1401"/>
      <c r="AU95" s="1401"/>
      <c r="AV95" s="1401"/>
      <c r="AW95" s="1401"/>
      <c r="AX95" s="1401"/>
      <c r="AY95" s="753"/>
      <c r="AZ95" s="1602"/>
      <c r="BA95" s="1398"/>
      <c r="BB95" s="753"/>
      <c r="BC95" s="1610"/>
      <c r="BD95" s="1610"/>
    </row>
    <row r="96" spans="1:56" s="177" customFormat="1" ht="15" hidden="1" customHeight="1" x14ac:dyDescent="0.25">
      <c r="A96" s="175"/>
      <c r="B96" s="1413" t="s">
        <v>385</v>
      </c>
      <c r="C96" s="800"/>
      <c r="D96" s="182"/>
      <c r="E96" s="17" t="s">
        <v>176</v>
      </c>
      <c r="F96" s="17"/>
      <c r="G96" s="17" t="str">
        <f t="shared" si="49"/>
        <v>22.04.013</v>
      </c>
      <c r="H96" s="1294" t="s">
        <v>108</v>
      </c>
      <c r="I96" s="1147">
        <f>+'P01 2023'!F80</f>
        <v>40</v>
      </c>
      <c r="J96" s="97">
        <f>+'P01 2023'!EF85</f>
        <v>9939.4050000000007</v>
      </c>
      <c r="K96" s="1139">
        <f ca="1">SUMIF(T$3:$AN86,"ok",T96:AN96)</f>
        <v>9380.1590000000015</v>
      </c>
      <c r="L96" s="1141">
        <f t="shared" ca="1" si="48"/>
        <v>0.94373445895403207</v>
      </c>
      <c r="M96" s="97">
        <f>+'P01 2023'!EH85</f>
        <v>9674.1200000000008</v>
      </c>
      <c r="N96" s="694">
        <f t="shared" si="50"/>
        <v>0.97330977055467605</v>
      </c>
      <c r="O96" s="97">
        <f>+'P01 2023'!EI85</f>
        <v>265.28500000000003</v>
      </c>
      <c r="P96" s="1156">
        <f t="shared" si="51"/>
        <v>2.669022944532394E-2</v>
      </c>
      <c r="Q96" s="1733">
        <f>+'P01 2022'!ES82</f>
        <v>7870.2595970000002</v>
      </c>
      <c r="R96" s="1142">
        <f ca="1">SUMIF(T$3:$AN86,"SI",T96:AN96)</f>
        <v>7870.2595970000002</v>
      </c>
      <c r="S96" s="1735">
        <f t="shared" ca="1" si="52"/>
        <v>1</v>
      </c>
      <c r="T96" s="218">
        <f>+'P01 2023'!I80</f>
        <v>0</v>
      </c>
      <c r="U96" s="1056">
        <v>0</v>
      </c>
      <c r="V96" s="1147">
        <f>+'P01 2023'!N54</f>
        <v>1435.7349999999999</v>
      </c>
      <c r="W96" s="1176">
        <f>+'P01 2022'!M56</f>
        <v>95.505234999999999</v>
      </c>
      <c r="X96" s="546">
        <v>0</v>
      </c>
      <c r="Y96" s="1176">
        <v>0</v>
      </c>
      <c r="Z96" s="1147">
        <f>+'P01 2023'!AT69</f>
        <v>3575.7829999999999</v>
      </c>
      <c r="AA96" s="1176">
        <f>+'P01 2022'!AQ70</f>
        <v>1740.373364</v>
      </c>
      <c r="AB96" s="1147">
        <v>0</v>
      </c>
      <c r="AC96" s="1182">
        <f>+'P01 2022'!BI57</f>
        <v>665.72075799999993</v>
      </c>
      <c r="AD96" s="1170">
        <f>+'P01 2023'!BZ69</f>
        <v>1024.979</v>
      </c>
      <c r="AE96" s="1176">
        <f>+'P01 2022'!CC69</f>
        <v>133.30232599999999</v>
      </c>
      <c r="AF96" s="1468">
        <f>+'P01 2023'!CP70</f>
        <v>1344.105</v>
      </c>
      <c r="AG96" s="1056">
        <f>+'P01 2022'!CY67</f>
        <v>313.78697</v>
      </c>
      <c r="AH96" s="546">
        <v>0</v>
      </c>
      <c r="AI96" s="1056">
        <f>+'P01 2022'!DR61</f>
        <v>950.32412599999986</v>
      </c>
      <c r="AJ96" s="1584">
        <f>+'P01 2023'!DX71</f>
        <v>1999.557</v>
      </c>
      <c r="AK96" s="18">
        <f>+'P01 2022'!EJ68</f>
        <v>3971.2468179999996</v>
      </c>
      <c r="AL96" s="323">
        <f>+'P01 2022'!FC65</f>
        <v>0</v>
      </c>
      <c r="AM96" s="18">
        <f>+'P01 2022'!GA71</f>
        <v>0</v>
      </c>
      <c r="AN96" s="1056">
        <f>+'P01 2022'!GX73</f>
        <v>662.39</v>
      </c>
      <c r="AO96" s="1601"/>
      <c r="AP96" s="1401"/>
      <c r="AQ96" s="1401"/>
      <c r="AR96" s="1401"/>
      <c r="AS96" s="1401"/>
      <c r="AT96" s="1401"/>
      <c r="AU96" s="1401"/>
      <c r="AV96" s="1401"/>
      <c r="AW96" s="1401"/>
      <c r="AX96" s="1401"/>
      <c r="AY96" s="753"/>
      <c r="AZ96" s="1602"/>
      <c r="BA96" s="1398"/>
      <c r="BB96" s="753"/>
      <c r="BC96" s="1610"/>
      <c r="BD96" s="1610"/>
    </row>
    <row r="97" spans="1:56" s="177" customFormat="1" ht="15" hidden="1" customHeight="1" x14ac:dyDescent="0.25">
      <c r="A97" s="175"/>
      <c r="B97" s="1413" t="s">
        <v>386</v>
      </c>
      <c r="C97" s="800"/>
      <c r="D97" s="182"/>
      <c r="E97" s="17" t="s">
        <v>177</v>
      </c>
      <c r="F97" s="17"/>
      <c r="G97" s="17" t="str">
        <f t="shared" si="49"/>
        <v>22.04.999</v>
      </c>
      <c r="H97" s="1294" t="s">
        <v>109</v>
      </c>
      <c r="I97" s="1147">
        <f>+'P01 2023'!F81</f>
        <v>35.32</v>
      </c>
      <c r="J97" s="97">
        <f>+'P01 2023'!EF86</f>
        <v>353.43</v>
      </c>
      <c r="K97" s="1139">
        <f ca="1">SUMIF(T$3:$AN87,"ok",T97:AN97)</f>
        <v>0</v>
      </c>
      <c r="L97" s="1141">
        <f t="shared" ca="1" si="48"/>
        <v>0</v>
      </c>
      <c r="M97" s="97">
        <f>+'P01 2023'!EH86</f>
        <v>353.43</v>
      </c>
      <c r="N97" s="694">
        <f t="shared" si="50"/>
        <v>1</v>
      </c>
      <c r="O97" s="97">
        <v>0</v>
      </c>
      <c r="P97" s="1156">
        <f t="shared" si="51"/>
        <v>0</v>
      </c>
      <c r="Q97" s="1733">
        <f>+'P01 2022'!ES83</f>
        <v>4628.3668429999998</v>
      </c>
      <c r="R97" s="1142">
        <f ca="1">SUMIF(T$3:$AN87,"SI",T97:AN97)</f>
        <v>4628.3668429999989</v>
      </c>
      <c r="S97" s="1735">
        <f t="shared" ca="1" si="52"/>
        <v>0.99999999999999978</v>
      </c>
      <c r="T97" s="218">
        <f>+'P01 2023'!I81</f>
        <v>0</v>
      </c>
      <c r="U97" s="1056">
        <f>+'P01 2022'!F75</f>
        <v>82.223049999999986</v>
      </c>
      <c r="V97" s="1147">
        <v>0</v>
      </c>
      <c r="W97" s="1176">
        <f>+'P01 2022'!M57</f>
        <v>4.4231429999999996</v>
      </c>
      <c r="X97" s="546">
        <v>0</v>
      </c>
      <c r="Y97" s="1176">
        <f>+'P01 2022'!AB66</f>
        <v>474.36374999999998</v>
      </c>
      <c r="Z97" s="1147">
        <f>+'P01 2023'!AT70</f>
        <v>0</v>
      </c>
      <c r="AA97" s="1176">
        <f>+'P01 2022'!AQ71</f>
        <v>4045.3740599999996</v>
      </c>
      <c r="AB97" s="1147">
        <v>0</v>
      </c>
      <c r="AC97" s="1182">
        <f>+'P01 2022'!BI58</f>
        <v>14.55247</v>
      </c>
      <c r="AD97" s="1170">
        <v>0</v>
      </c>
      <c r="AE97" s="1176">
        <f>+'P01 2022'!CC70</f>
        <v>0</v>
      </c>
      <c r="AF97" s="1468">
        <v>0</v>
      </c>
      <c r="AG97" s="1056">
        <f>+'P01 2022'!CY68</f>
        <v>7.4303699999999999</v>
      </c>
      <c r="AH97" s="546">
        <v>0</v>
      </c>
      <c r="AI97" s="1056">
        <v>0</v>
      </c>
      <c r="AJ97" s="1584">
        <f>+'P01 2023'!DX72</f>
        <v>0</v>
      </c>
      <c r="AK97" s="18">
        <v>0</v>
      </c>
      <c r="AL97" s="185">
        <v>0</v>
      </c>
      <c r="AM97" s="18">
        <v>0</v>
      </c>
      <c r="AN97" s="1056">
        <f>+'P01 2022'!GX74</f>
        <v>362.87</v>
      </c>
      <c r="AO97" s="1601"/>
      <c r="AP97" s="1401"/>
      <c r="AQ97" s="1401"/>
      <c r="AR97" s="1401"/>
      <c r="AS97" s="1401"/>
      <c r="AT97" s="1401"/>
      <c r="AU97" s="1401"/>
      <c r="AV97" s="1401"/>
      <c r="AW97" s="1401"/>
      <c r="AX97" s="1401"/>
      <c r="AY97" s="753"/>
      <c r="AZ97" s="1602"/>
      <c r="BA97" s="1398"/>
      <c r="BB97" s="753"/>
      <c r="BC97" s="1610"/>
      <c r="BD97" s="1610"/>
    </row>
    <row r="98" spans="1:56" s="1024" customFormat="1" ht="15" hidden="1" customHeight="1" x14ac:dyDescent="0.25">
      <c r="A98" s="175"/>
      <c r="B98" s="1413" t="s">
        <v>387</v>
      </c>
      <c r="C98" s="801"/>
      <c r="D98" s="184" t="s">
        <v>178</v>
      </c>
      <c r="E98" s="137"/>
      <c r="F98" s="137"/>
      <c r="G98" s="137"/>
      <c r="H98" s="1298" t="s">
        <v>52</v>
      </c>
      <c r="I98" s="1148">
        <f>+'P01 2023'!F82</f>
        <v>168529.769</v>
      </c>
      <c r="J98" s="16">
        <f>+'P01 2023'!EF87</f>
        <v>167437.16099999999</v>
      </c>
      <c r="K98" s="16">
        <f ca="1">SUM(K99:K106)</f>
        <v>114874.24399999999</v>
      </c>
      <c r="L98" s="783">
        <f t="shared" ref="L98:L109" ca="1" si="53">IFERROR(K98/J98,"0.00"%)</f>
        <v>0.68607376829567723</v>
      </c>
      <c r="M98" s="16">
        <f>+'P01 2023'!EH87</f>
        <v>166187.16099999999</v>
      </c>
      <c r="N98" s="693">
        <f t="shared" si="50"/>
        <v>0.99253451269398907</v>
      </c>
      <c r="O98" s="16">
        <f>+'P01 2023'!EI87</f>
        <v>1250</v>
      </c>
      <c r="P98" s="691">
        <f t="shared" si="51"/>
        <v>7.4654873060108805E-3</v>
      </c>
      <c r="Q98" s="1148">
        <f>+'P01 2022'!ES84</f>
        <v>156572.11883999998</v>
      </c>
      <c r="R98" s="16">
        <f ca="1">SUM(R99:R106)</f>
        <v>112943.3248</v>
      </c>
      <c r="S98" s="1290">
        <f t="shared" ca="1" si="52"/>
        <v>0.72135017164464665</v>
      </c>
      <c r="T98" s="219">
        <f>SUM(T99:T106)</f>
        <v>7648.0689999999995</v>
      </c>
      <c r="U98" s="1071">
        <f>SUM(U99:U106)</f>
        <v>10786.398127</v>
      </c>
      <c r="V98" s="1163">
        <f>+'P01 2023'!N56</f>
        <v>9494.5720000000001</v>
      </c>
      <c r="W98" s="1177">
        <f t="shared" ref="W98:AC98" si="54">SUM(W99:W106)</f>
        <v>11530.651199</v>
      </c>
      <c r="X98" s="1211">
        <f t="shared" si="54"/>
        <v>11024.495999999999</v>
      </c>
      <c r="Y98" s="1177">
        <f t="shared" si="54"/>
        <v>11009.054107</v>
      </c>
      <c r="Z98" s="1163">
        <f t="shared" si="54"/>
        <v>12443.245999999999</v>
      </c>
      <c r="AA98" s="1177">
        <f t="shared" si="54"/>
        <v>14883.239458000002</v>
      </c>
      <c r="AB98" s="1163">
        <f t="shared" si="54"/>
        <v>8122.3919999999998</v>
      </c>
      <c r="AC98" s="1177">
        <f t="shared" si="54"/>
        <v>11726.613122999999</v>
      </c>
      <c r="AD98" s="1163">
        <f>+'P01 2023'!BZ70</f>
        <v>15024.782999999999</v>
      </c>
      <c r="AE98" s="1177">
        <f>SUM(AE99:AE106)</f>
        <v>12879.745955999999</v>
      </c>
      <c r="AF98" s="1219">
        <f>+'P01 2023'!CP71</f>
        <v>13221.700999999999</v>
      </c>
      <c r="AG98" s="364">
        <f>SUM(AG99:AG106)</f>
        <v>14304.553950999998</v>
      </c>
      <c r="AH98" s="1211">
        <f>+'P01 2023'!DF56</f>
        <v>20315.330000000002</v>
      </c>
      <c r="AI98" s="364">
        <f>SUM(AI99:AI106)</f>
        <v>12291.364825999999</v>
      </c>
      <c r="AJ98" s="3">
        <f>+'P01 2023'!DX73</f>
        <v>17579.654999999999</v>
      </c>
      <c r="AK98" s="3">
        <f>SUM(AK99:AK106)</f>
        <v>13531.704053000001</v>
      </c>
      <c r="AL98" s="3">
        <f>SUM(AL99:AL106)</f>
        <v>11700.272000000001</v>
      </c>
      <c r="AM98" s="3">
        <f>+'P01 2022'!GA72</f>
        <v>10214.295</v>
      </c>
      <c r="AN98" s="364">
        <f>+'P01 2022'!GX75</f>
        <v>11025.548000000001</v>
      </c>
      <c r="AO98" s="1601"/>
      <c r="AP98" s="1401"/>
      <c r="AQ98" s="1401"/>
      <c r="AR98" s="1401"/>
      <c r="AS98" s="1401"/>
      <c r="AT98" s="1401"/>
      <c r="AU98" s="1401"/>
      <c r="AV98" s="1401"/>
      <c r="AW98" s="1401"/>
      <c r="AX98" s="1401"/>
      <c r="AY98" s="753"/>
      <c r="AZ98" s="1602"/>
      <c r="BA98" s="1398"/>
      <c r="BB98" s="753"/>
      <c r="BC98" s="1610"/>
      <c r="BD98" s="1610"/>
    </row>
    <row r="99" spans="1:56" s="177" customFormat="1" ht="15" hidden="1" customHeight="1" x14ac:dyDescent="0.25">
      <c r="A99" s="175"/>
      <c r="B99" s="1413" t="s">
        <v>388</v>
      </c>
      <c r="C99" s="800"/>
      <c r="D99" s="182"/>
      <c r="E99" s="17" t="s">
        <v>169</v>
      </c>
      <c r="F99" s="17"/>
      <c r="G99" s="17" t="str">
        <f t="shared" ref="G99:G106" si="55">+CONCATENATE($C$78,"",$D$98,"",E99)</f>
        <v>22.05.001</v>
      </c>
      <c r="H99" s="1294" t="s">
        <v>53</v>
      </c>
      <c r="I99" s="1147">
        <f>+'P01 2023'!F83</f>
        <v>13278</v>
      </c>
      <c r="J99" s="97">
        <f>+'P01 2023'!EF88</f>
        <v>11504</v>
      </c>
      <c r="K99" s="18">
        <f ca="1">SUMIF(T$3:$AN89,"ok",T99:AN99)</f>
        <v>8349.7989999999991</v>
      </c>
      <c r="L99" s="694">
        <f t="shared" ca="1" si="53"/>
        <v>0.72581702016689842</v>
      </c>
      <c r="M99" s="97">
        <f>+'P01 2023'!EH88</f>
        <v>11504</v>
      </c>
      <c r="N99" s="694">
        <f t="shared" si="50"/>
        <v>1</v>
      </c>
      <c r="O99" s="97">
        <f>+'P01 2023'!EI88</f>
        <v>0</v>
      </c>
      <c r="P99" s="1156">
        <f t="shared" si="51"/>
        <v>0</v>
      </c>
      <c r="Q99" s="1733">
        <f>+'P01 2022'!ES85</f>
        <v>9965.625</v>
      </c>
      <c r="R99" s="997">
        <f ca="1">SUMIF(T$3:$AN90,"SI",T99:AN99)</f>
        <v>7587.9066000000012</v>
      </c>
      <c r="S99" s="1734">
        <f t="shared" ca="1" si="52"/>
        <v>0.76140800000000008</v>
      </c>
      <c r="T99" s="218">
        <f>+'P01 2023'!I83</f>
        <v>429.9</v>
      </c>
      <c r="U99" s="1056">
        <f>+'P01 2022'!F77</f>
        <v>391.71549999999996</v>
      </c>
      <c r="V99" s="1147">
        <f>+'P01 2023'!N57</f>
        <v>670.2</v>
      </c>
      <c r="W99" s="1176">
        <f>+'P01 2022'!M59</f>
        <v>410.42430000000002</v>
      </c>
      <c r="X99" s="546">
        <f>+'P01 2023'!AD73</f>
        <v>1111.1400000000001</v>
      </c>
      <c r="Y99" s="1176">
        <f>+'P01 2022'!AB68</f>
        <v>265.43109999999996</v>
      </c>
      <c r="Z99" s="1147">
        <f>+'P01 2023'!AT72</f>
        <v>592</v>
      </c>
      <c r="AA99" s="1176">
        <f>+'P01 2022'!AQ73</f>
        <v>1269.7535</v>
      </c>
      <c r="AB99" s="1147">
        <f>+'P01 2023'!BJ59</f>
        <v>1029.53</v>
      </c>
      <c r="AC99" s="1182">
        <f>+'P01 2022'!BI60</f>
        <v>527.03539999999998</v>
      </c>
      <c r="AD99" s="1147">
        <f>+'P01 2023'!BZ71</f>
        <v>824.14599999999996</v>
      </c>
      <c r="AE99" s="1176">
        <f>+'P01 2022'!CC72</f>
        <v>998.15699999999993</v>
      </c>
      <c r="AF99" s="1468">
        <f>+'P01 2023'!CP72</f>
        <v>1085.4770000000001</v>
      </c>
      <c r="AG99" s="1056">
        <f>+'P01 2022'!CY70</f>
        <v>1205.0167999999999</v>
      </c>
      <c r="AH99" s="546">
        <f>+'P01 2023'!DF57</f>
        <v>1666.867</v>
      </c>
      <c r="AI99" s="1056">
        <f>+'P01 2022'!DR64</f>
        <v>1338.4232999999999</v>
      </c>
      <c r="AJ99" s="1584">
        <f>+'P01 2023'!DX74</f>
        <v>940.53899999999999</v>
      </c>
      <c r="AK99" s="18">
        <f>+'P01 2022'!EJ70</f>
        <v>1181.9497000000001</v>
      </c>
      <c r="AL99" s="323">
        <f>+'P01 2022'!FC67</f>
        <v>948.5</v>
      </c>
      <c r="AM99" s="18">
        <f>+'P01 2022'!GA73</f>
        <v>631.6</v>
      </c>
      <c r="AN99" s="1056">
        <f>+'P01 2022'!GX76</f>
        <v>937.54200000000003</v>
      </c>
      <c r="AO99" s="1601"/>
      <c r="AP99" s="1401"/>
      <c r="AQ99" s="1401"/>
      <c r="AR99" s="1401"/>
      <c r="AS99" s="1401"/>
      <c r="AT99" s="1401"/>
      <c r="AU99" s="1401"/>
      <c r="AV99" s="1401"/>
      <c r="AW99" s="1401"/>
      <c r="AX99" s="1401"/>
      <c r="AY99" s="753"/>
      <c r="AZ99" s="1602"/>
      <c r="BA99" s="1398"/>
      <c r="BB99" s="753"/>
      <c r="BC99" s="1610"/>
      <c r="BD99" s="1610"/>
    </row>
    <row r="100" spans="1:56" s="177" customFormat="1" ht="15" hidden="1" customHeight="1" x14ac:dyDescent="0.25">
      <c r="A100" s="175"/>
      <c r="B100" s="1413" t="s">
        <v>389</v>
      </c>
      <c r="C100" s="800"/>
      <c r="D100" s="182"/>
      <c r="E100" s="17" t="s">
        <v>165</v>
      </c>
      <c r="F100" s="17"/>
      <c r="G100" s="17" t="str">
        <f t="shared" si="55"/>
        <v>22.05.002</v>
      </c>
      <c r="H100" s="1294" t="s">
        <v>54</v>
      </c>
      <c r="I100" s="1147">
        <f>+'P01 2023'!F84</f>
        <v>16584</v>
      </c>
      <c r="J100" s="97">
        <f>+'P01 2023'!EF89</f>
        <v>18983.955000000002</v>
      </c>
      <c r="K100" s="18">
        <f ca="1">SUMIF(T$3:$AN90,"ok",T100:AN100)</f>
        <v>10160.328000000001</v>
      </c>
      <c r="L100" s="694">
        <f t="shared" ca="1" si="53"/>
        <v>0.53520607270718878</v>
      </c>
      <c r="M100" s="97">
        <f>+'P01 2023'!EH89</f>
        <v>18983.955000000002</v>
      </c>
      <c r="N100" s="694">
        <f t="shared" si="50"/>
        <v>1</v>
      </c>
      <c r="O100" s="97">
        <f>+'P01 2023'!EI89</f>
        <v>0</v>
      </c>
      <c r="P100" s="1156">
        <f t="shared" si="51"/>
        <v>0</v>
      </c>
      <c r="Q100" s="1733">
        <f>+'P01 2022'!ES86</f>
        <v>12029.417176999999</v>
      </c>
      <c r="R100" s="997">
        <f ca="1">SUMIF(T$3:$AN91,"SI",T100:AN100)</f>
        <v>7891.028491</v>
      </c>
      <c r="S100" s="1734">
        <f t="shared" ca="1" si="52"/>
        <v>0.65597762342863009</v>
      </c>
      <c r="T100" s="218">
        <f>+'P01 2023'!I84</f>
        <v>96.325999999999993</v>
      </c>
      <c r="U100" s="1056">
        <f>+'P01 2022'!F78</f>
        <v>323.69200399999994</v>
      </c>
      <c r="V100" s="1147">
        <f>+'P01 2023'!N58</f>
        <v>2390.08</v>
      </c>
      <c r="W100" s="1176">
        <f>+'P01 2022'!M60</f>
        <v>606.15236399999992</v>
      </c>
      <c r="X100" s="546">
        <f>+'P01 2023'!AD74</f>
        <v>1010.37</v>
      </c>
      <c r="Y100" s="1176">
        <f>+'P01 2022'!AB69</f>
        <v>375.49837200000002</v>
      </c>
      <c r="Z100" s="1147">
        <f>+'P01 2023'!AT73</f>
        <v>870.48299999999995</v>
      </c>
      <c r="AA100" s="1176">
        <f>+'P01 2022'!AQ74</f>
        <v>2302.2454000000002</v>
      </c>
      <c r="AB100" s="1147">
        <f>+'P01 2023'!BJ60</f>
        <v>1487.866</v>
      </c>
      <c r="AC100" s="1182">
        <f>+'P01 2022'!BI61</f>
        <v>920.41768400000001</v>
      </c>
      <c r="AD100" s="1147">
        <f>+'P01 2023'!BZ72</f>
        <v>837.61099999999999</v>
      </c>
      <c r="AE100" s="1176">
        <f>+'P01 2022'!CC73</f>
        <v>197.63614899999999</v>
      </c>
      <c r="AF100" s="1468">
        <f>+'P01 2023'!CP73</f>
        <v>1452.367</v>
      </c>
      <c r="AG100" s="1056">
        <f>+'P01 2022'!CY71</f>
        <v>1696.1398079999999</v>
      </c>
      <c r="AH100" s="546">
        <f>+'P01 2023'!DF58</f>
        <v>1342.865</v>
      </c>
      <c r="AI100" s="1056">
        <f>+'P01 2022'!DR65</f>
        <v>251.41650799999996</v>
      </c>
      <c r="AJ100" s="1584">
        <f>+'P01 2023'!DX75</f>
        <v>672.36</v>
      </c>
      <c r="AK100" s="18">
        <f>+'P01 2022'!EJ71</f>
        <v>1217.8302019999999</v>
      </c>
      <c r="AL100" s="323">
        <f>+'P01 2022'!FC68</f>
        <v>770.69799999999998</v>
      </c>
      <c r="AM100" s="18">
        <f>+'P01 2022'!GA74</f>
        <v>243.18</v>
      </c>
      <c r="AN100" s="1056">
        <f>+'P01 2022'!GX77</f>
        <v>1477.0719999999999</v>
      </c>
      <c r="AO100" s="1601"/>
      <c r="AP100" s="1401"/>
      <c r="AQ100" s="1401"/>
      <c r="AR100" s="1401"/>
      <c r="AS100" s="1401"/>
      <c r="AT100" s="1401"/>
      <c r="AU100" s="1401"/>
      <c r="AV100" s="1401"/>
      <c r="AW100" s="1401"/>
      <c r="AX100" s="1401"/>
      <c r="AY100" s="753"/>
      <c r="AZ100" s="1602"/>
      <c r="BA100" s="1398"/>
      <c r="BB100" s="753"/>
      <c r="BC100" s="1610"/>
      <c r="BD100" s="1610"/>
    </row>
    <row r="101" spans="1:56" s="177" customFormat="1" ht="15" hidden="1" customHeight="1" x14ac:dyDescent="0.25">
      <c r="A101" s="175"/>
      <c r="B101" s="1413" t="s">
        <v>390</v>
      </c>
      <c r="C101" s="800"/>
      <c r="D101" s="182"/>
      <c r="E101" s="17" t="s">
        <v>166</v>
      </c>
      <c r="F101" s="17"/>
      <c r="G101" s="17" t="str">
        <f t="shared" si="55"/>
        <v>22.05.003</v>
      </c>
      <c r="H101" s="1294" t="s">
        <v>55</v>
      </c>
      <c r="I101" s="1147">
        <f>+'P01 2023'!F85</f>
        <v>2930</v>
      </c>
      <c r="J101" s="97">
        <f>+'P01 2023'!EF90</f>
        <v>3287.25</v>
      </c>
      <c r="K101" s="18">
        <f ca="1">SUMIF(T$3:$AN91,"ok",T101:AN101)</f>
        <v>1109.1500000000001</v>
      </c>
      <c r="L101" s="694">
        <f t="shared" ca="1" si="53"/>
        <v>0.33740968894973006</v>
      </c>
      <c r="M101" s="97">
        <f>+'P01 2023'!EH90</f>
        <v>2037.25</v>
      </c>
      <c r="N101" s="694">
        <f t="shared" si="50"/>
        <v>0.6197429462316526</v>
      </c>
      <c r="O101" s="97">
        <f>+'P01 2023'!EI90</f>
        <v>1250</v>
      </c>
      <c r="P101" s="1156">
        <f t="shared" si="51"/>
        <v>0.3802570537683474</v>
      </c>
      <c r="Q101" s="1733">
        <f>+'P01 2022'!ES87</f>
        <v>2128.4353329999999</v>
      </c>
      <c r="R101" s="997">
        <f ca="1">SUMIF(T$3:$AN92,"SI",T101:AN101)</f>
        <v>2098.724483</v>
      </c>
      <c r="S101" s="1734">
        <f t="shared" ca="1" si="52"/>
        <v>0.9860409900459024</v>
      </c>
      <c r="T101" s="218">
        <f>+'P01 2023'!I85</f>
        <v>60.25</v>
      </c>
      <c r="U101" s="1056">
        <f>+'P01 2022'!F79</f>
        <v>0</v>
      </c>
      <c r="V101" s="1147">
        <f>+'P01 2023'!N59</f>
        <v>69.25</v>
      </c>
      <c r="W101" s="1176">
        <f>+'P01 2022'!M61</f>
        <v>168.32604999999998</v>
      </c>
      <c r="X101" s="546">
        <v>0</v>
      </c>
      <c r="Y101" s="1176">
        <f>+'P01 2022'!AB70</f>
        <v>90.248699999999999</v>
      </c>
      <c r="Z101" s="1147">
        <f>+'P01 2023'!AT74</f>
        <v>84.55</v>
      </c>
      <c r="AA101" s="1344">
        <v>0</v>
      </c>
      <c r="AB101" s="1147">
        <f>+'P01 2023'!BJ61</f>
        <v>119.85</v>
      </c>
      <c r="AC101" s="1182">
        <f>+'P01 2022'!BI62</f>
        <v>123.7332</v>
      </c>
      <c r="AD101" s="1147">
        <f>+'P01 2023'!BZ73</f>
        <v>115.85</v>
      </c>
      <c r="AE101" s="1176">
        <f>+'P01 2022'!CC74</f>
        <v>133.93799999999999</v>
      </c>
      <c r="AF101" s="1468">
        <f>+'P01 2023'!CP74</f>
        <v>302.14999999999998</v>
      </c>
      <c r="AG101" s="1056">
        <f>+'P01 2022'!CY72</f>
        <v>1248.165033</v>
      </c>
      <c r="AH101" s="546">
        <f>+'P01 2023'!DF59</f>
        <v>357.25</v>
      </c>
      <c r="AI101" s="1056">
        <f>+'P01 2022'!DR66</f>
        <v>334.31349999999998</v>
      </c>
      <c r="AJ101" s="1584">
        <f>+'P01 2023'!DX76</f>
        <v>0</v>
      </c>
      <c r="AK101" s="18">
        <f>+'P01 2022'!EJ72</f>
        <v>0</v>
      </c>
      <c r="AL101" s="185">
        <v>0</v>
      </c>
      <c r="AM101" s="18">
        <f>+'P01 2022'!GA75</f>
        <v>234.45</v>
      </c>
      <c r="AN101" s="1056">
        <f>+'P01 2022'!GX78</f>
        <v>157.35</v>
      </c>
      <c r="AO101" s="1601"/>
      <c r="AP101" s="1401"/>
      <c r="AQ101" s="1401"/>
      <c r="AR101" s="1401"/>
      <c r="AS101" s="1401"/>
      <c r="AT101" s="1401"/>
      <c r="AU101" s="1401"/>
      <c r="AV101" s="1401"/>
      <c r="AW101" s="1401"/>
      <c r="AX101" s="1401"/>
      <c r="AY101" s="753"/>
      <c r="AZ101" s="1602"/>
      <c r="BA101" s="1398"/>
      <c r="BB101" s="753"/>
      <c r="BC101" s="1610"/>
      <c r="BD101" s="1610"/>
    </row>
    <row r="102" spans="1:56" s="177" customFormat="1" ht="15" hidden="1" customHeight="1" x14ac:dyDescent="0.25">
      <c r="A102" s="175"/>
      <c r="B102" s="1413" t="s">
        <v>391</v>
      </c>
      <c r="C102" s="800"/>
      <c r="D102" s="182"/>
      <c r="E102" s="17" t="s">
        <v>179</v>
      </c>
      <c r="F102" s="17"/>
      <c r="G102" s="17" t="str">
        <f t="shared" si="55"/>
        <v>22.05.004</v>
      </c>
      <c r="H102" s="1294" t="s">
        <v>56</v>
      </c>
      <c r="I102" s="1147">
        <f>+'P01 2023'!F86</f>
        <v>18000</v>
      </c>
      <c r="J102" s="97">
        <f>+'P01 2023'!EF91</f>
        <v>16240</v>
      </c>
      <c r="K102" s="18">
        <f ca="1">SUMIF(T$3:$AN92,"ok",T102:AN102)</f>
        <v>10720.637999999999</v>
      </c>
      <c r="L102" s="694">
        <f t="shared" ca="1" si="53"/>
        <v>0.66013780788177334</v>
      </c>
      <c r="M102" s="97">
        <f>+'P01 2023'!EH91</f>
        <v>16240</v>
      </c>
      <c r="N102" s="694">
        <f t="shared" si="50"/>
        <v>1</v>
      </c>
      <c r="O102" s="97">
        <f>+'P01 2023'!EI91</f>
        <v>0</v>
      </c>
      <c r="P102" s="1156">
        <f t="shared" si="51"/>
        <v>0</v>
      </c>
      <c r="Q102" s="1733">
        <f>+'P01 2022'!ES88</f>
        <v>16803.12801</v>
      </c>
      <c r="R102" s="997">
        <f ca="1">SUMIF(T$3:$AN93,"SI",T102:AN102)</f>
        <v>9198.8490839999995</v>
      </c>
      <c r="S102" s="1734">
        <f t="shared" ca="1" si="52"/>
        <v>0.54744861067091277</v>
      </c>
      <c r="T102" s="218">
        <f>+'P01 2023'!I86</f>
        <v>1596.4469999999999</v>
      </c>
      <c r="U102" s="1056">
        <f>+'P01 2022'!F80</f>
        <v>418.52010799999999</v>
      </c>
      <c r="V102" s="1147">
        <f>+'P01 2023'!N60</f>
        <v>899.89599999999996</v>
      </c>
      <c r="W102" s="1176">
        <f>+'P01 2022'!M62</f>
        <v>958.51985599999989</v>
      </c>
      <c r="X102" s="546">
        <f>+'P01 2023'!AD76</f>
        <v>591.93799999999999</v>
      </c>
      <c r="Y102" s="1176">
        <f>+'P01 2022'!AB71</f>
        <v>758.05081199999995</v>
      </c>
      <c r="Z102" s="1147">
        <f>+'P01 2023'!AT75</f>
        <v>1488.7950000000001</v>
      </c>
      <c r="AA102" s="1176">
        <f>+'P01 2022'!AQ75</f>
        <v>1791.437758</v>
      </c>
      <c r="AB102" s="1147">
        <f>+'P01 2023'!BJ62</f>
        <v>20</v>
      </c>
      <c r="AC102" s="1182">
        <f>+'P01 2022'!BI63</f>
        <v>768.1982099999999</v>
      </c>
      <c r="AD102" s="1147">
        <f>+'P01 2023'!BZ74</f>
        <v>1510.4179999999999</v>
      </c>
      <c r="AE102" s="1176">
        <f>+'P01 2022'!CC75</f>
        <v>1882.1424849999999</v>
      </c>
      <c r="AF102" s="1468">
        <f>+'P01 2023'!CP75</f>
        <v>1306.4380000000001</v>
      </c>
      <c r="AG102" s="1056">
        <f>+'P01 2022'!CY73</f>
        <v>552.95878099999993</v>
      </c>
      <c r="AH102" s="546">
        <f>+'P01 2023'!DF60</f>
        <v>1933.616</v>
      </c>
      <c r="AI102" s="1056">
        <f>+'P01 2022'!DR67</f>
        <v>979.982889</v>
      </c>
      <c r="AJ102" s="1584">
        <f>+'P01 2023'!DX77</f>
        <v>1373.09</v>
      </c>
      <c r="AK102" s="18">
        <f>+'P01 2022'!EJ73</f>
        <v>1089.0381849999999</v>
      </c>
      <c r="AL102" s="323">
        <f>+'P01 2022'!FC69</f>
        <v>990.02800000000002</v>
      </c>
      <c r="AM102" s="18">
        <f>+'P01 2022'!GA76</f>
        <v>753.99</v>
      </c>
      <c r="AN102" s="1056">
        <f>+'P01 2022'!GX79</f>
        <v>2668.1120000000001</v>
      </c>
      <c r="AO102" s="1601"/>
      <c r="AP102" s="1401"/>
      <c r="AQ102" s="1401"/>
      <c r="AR102" s="1401"/>
      <c r="AS102" s="1401"/>
      <c r="AT102" s="1401"/>
      <c r="AU102" s="1401"/>
      <c r="AV102" s="1401"/>
      <c r="AW102" s="1401"/>
      <c r="AX102" s="1401"/>
      <c r="AY102" s="753"/>
      <c r="AZ102" s="1602"/>
      <c r="BA102" s="1398"/>
      <c r="BB102" s="753"/>
      <c r="BC102" s="1610"/>
      <c r="BD102" s="1610"/>
    </row>
    <row r="103" spans="1:56" s="177" customFormat="1" ht="15" hidden="1" customHeight="1" x14ac:dyDescent="0.25">
      <c r="A103" s="175"/>
      <c r="B103" s="1413" t="s">
        <v>392</v>
      </c>
      <c r="C103" s="800"/>
      <c r="D103" s="182"/>
      <c r="E103" s="17" t="s">
        <v>180</v>
      </c>
      <c r="F103" s="17"/>
      <c r="G103" s="17" t="str">
        <f t="shared" si="55"/>
        <v>22.05.005</v>
      </c>
      <c r="H103" s="1294" t="s">
        <v>57</v>
      </c>
      <c r="I103" s="1147">
        <f>+'P01 2023'!F87</f>
        <v>65582</v>
      </c>
      <c r="J103" s="97">
        <f>+'P01 2023'!EF92</f>
        <v>65581.751999999993</v>
      </c>
      <c r="K103" s="18">
        <f ca="1">SUMIF(T$3:$AN93,"ok",T103:AN103)</f>
        <v>49186.313999999998</v>
      </c>
      <c r="L103" s="694">
        <f t="shared" ca="1" si="53"/>
        <v>0.75</v>
      </c>
      <c r="M103" s="97">
        <f>+'P01 2023'!EH92</f>
        <v>65581.751999999993</v>
      </c>
      <c r="N103" s="694">
        <f t="shared" si="50"/>
        <v>1</v>
      </c>
      <c r="O103" s="97">
        <f>+'P01 2023'!EI92</f>
        <v>0</v>
      </c>
      <c r="P103" s="1156">
        <f t="shared" si="51"/>
        <v>0</v>
      </c>
      <c r="Q103" s="1733">
        <f>+'P01 2022'!ES89</f>
        <v>69713.402375999984</v>
      </c>
      <c r="R103" s="997">
        <f ca="1">SUMIF(T$3:$AN94,"SI",T103:AN103)</f>
        <v>52285.051781999995</v>
      </c>
      <c r="S103" s="1734">
        <f t="shared" ca="1" si="52"/>
        <v>0.75000000000000011</v>
      </c>
      <c r="T103" s="218">
        <f>+'P01 2023'!I87</f>
        <v>5465.1459999999997</v>
      </c>
      <c r="U103" s="1056">
        <f>+'P01 2022'!F81</f>
        <v>5809.4501979999995</v>
      </c>
      <c r="V103" s="1147">
        <f>+'P01 2023'!N61</f>
        <v>5465.1459999999997</v>
      </c>
      <c r="W103" s="1176">
        <f>+'P01 2022'!M63</f>
        <v>5809.4501979999995</v>
      </c>
      <c r="X103" s="546">
        <f>+'P01 2023'!AD77</f>
        <v>5465.1459999999997</v>
      </c>
      <c r="Y103" s="1176">
        <f>+'P01 2022'!AB72</f>
        <v>5809.4501979999995</v>
      </c>
      <c r="Z103" s="1147">
        <f>+'P01 2023'!AT76</f>
        <v>0</v>
      </c>
      <c r="AA103" s="1176">
        <f>+'P01 2022'!AQ76</f>
        <v>5809.4501979999995</v>
      </c>
      <c r="AB103" s="1147">
        <f>+'P01 2023'!BJ63</f>
        <v>5465.1459999999997</v>
      </c>
      <c r="AC103" s="1182">
        <f>+'P01 2022'!BI64</f>
        <v>5809.4501979999995</v>
      </c>
      <c r="AD103" s="1147">
        <f>+'P01 2023'!BZ75</f>
        <v>5465.1459999999997</v>
      </c>
      <c r="AE103" s="1176">
        <f>+'P01 2022'!CC76</f>
        <v>5809.4501979999995</v>
      </c>
      <c r="AF103" s="1468">
        <f>+'P01 2023'!CP76</f>
        <v>5465.1459999999997</v>
      </c>
      <c r="AG103" s="1056">
        <f>+'P01 2022'!CY74</f>
        <v>5809.4501979999995</v>
      </c>
      <c r="AH103" s="546">
        <f>+'P01 2023'!DF61</f>
        <v>10930.291999999999</v>
      </c>
      <c r="AI103" s="1056">
        <f>+'P01 2022'!DR68</f>
        <v>5809.4501979999995</v>
      </c>
      <c r="AJ103" s="1584">
        <f>+'P01 2023'!DX78</f>
        <v>5465.1459999999997</v>
      </c>
      <c r="AK103" s="18">
        <f>+'P01 2022'!EJ74</f>
        <v>5809.4501979999995</v>
      </c>
      <c r="AL103" s="323">
        <f>+'P01 2022'!FC70</f>
        <v>5465.1459999999997</v>
      </c>
      <c r="AM103" s="18">
        <f>+'P01 2022'!GA77</f>
        <v>5465.1459999999997</v>
      </c>
      <c r="AN103" s="1056">
        <f>+'P01 2022'!GX80</f>
        <v>5465.1459999999997</v>
      </c>
      <c r="AO103" s="1601"/>
      <c r="AP103" s="1401"/>
      <c r="AQ103" s="1401"/>
      <c r="AR103" s="1401"/>
      <c r="AS103" s="1401"/>
      <c r="AT103" s="1401"/>
      <c r="AU103" s="1401"/>
      <c r="AV103" s="1401"/>
      <c r="AW103" s="1401"/>
      <c r="AX103" s="1401"/>
      <c r="AY103" s="753"/>
      <c r="AZ103" s="1602"/>
      <c r="BA103" s="1398"/>
      <c r="BB103" s="753"/>
      <c r="BC103" s="1610"/>
      <c r="BD103" s="1610"/>
    </row>
    <row r="104" spans="1:56" s="177" customFormat="1" ht="15" hidden="1" customHeight="1" x14ac:dyDescent="0.25">
      <c r="A104" s="175"/>
      <c r="B104" s="1413" t="s">
        <v>393</v>
      </c>
      <c r="C104" s="800"/>
      <c r="D104" s="182"/>
      <c r="E104" s="17" t="s">
        <v>181</v>
      </c>
      <c r="F104" s="17"/>
      <c r="G104" s="17" t="str">
        <f t="shared" si="55"/>
        <v>22.05.006</v>
      </c>
      <c r="H104" s="1294" t="s">
        <v>58</v>
      </c>
      <c r="I104" s="1147">
        <f>+'P01 2023'!F88</f>
        <v>7155.7690000000002</v>
      </c>
      <c r="J104" s="97">
        <f>+'P01 2023'!EF93</f>
        <v>7095.7690000000002</v>
      </c>
      <c r="K104" s="18">
        <f ca="1">SUMIF(T$3:$AN94,"ok",T104:AN104)</f>
        <v>5044.08</v>
      </c>
      <c r="L104" s="694">
        <f t="shared" ca="1" si="53"/>
        <v>0.71085741376304667</v>
      </c>
      <c r="M104" s="97">
        <f>+'P01 2023'!EH93</f>
        <v>7095.7690000000002</v>
      </c>
      <c r="N104" s="694">
        <f t="shared" si="50"/>
        <v>1</v>
      </c>
      <c r="O104" s="97">
        <f>+'P01 2023'!EI93</f>
        <v>0</v>
      </c>
      <c r="P104" s="1156">
        <f t="shared" si="51"/>
        <v>0</v>
      </c>
      <c r="Q104" s="1733">
        <f>+'P01 2022'!ES90</f>
        <v>2461.5402019999997</v>
      </c>
      <c r="R104" s="997">
        <f ca="1">SUMIF(T$3:$AN95,"SI",T104:AN104)</f>
        <v>1466.713581</v>
      </c>
      <c r="S104" s="1734">
        <f t="shared" ca="1" si="52"/>
        <v>0.59585197097666587</v>
      </c>
      <c r="T104" s="218">
        <f>+'P01 2023'!I88</f>
        <v>0</v>
      </c>
      <c r="U104" s="1056">
        <f>+'P01 2022'!F82</f>
        <v>265.24188599999997</v>
      </c>
      <c r="V104" s="1147">
        <v>0</v>
      </c>
      <c r="W104" s="1176">
        <f>+'P01 2022'!M64</f>
        <v>0</v>
      </c>
      <c r="X104" s="546">
        <f>+'P01 2023'!AD78</f>
        <v>0</v>
      </c>
      <c r="Y104" s="1176">
        <f>+'P01 2022'!AB73</f>
        <v>132.59649399999998</v>
      </c>
      <c r="Z104" s="1147">
        <v>0</v>
      </c>
      <c r="AA104" s="1176">
        <f>+'P01 2022'!AQ77</f>
        <v>132.57417099999998</v>
      </c>
      <c r="AB104" s="1147">
        <v>0</v>
      </c>
      <c r="AC104" s="1182">
        <f>+'P01 2022'!BI65</f>
        <v>0</v>
      </c>
      <c r="AD104" s="1170">
        <v>0</v>
      </c>
      <c r="AE104" s="1176">
        <f>+'P01 2022'!CC77</f>
        <v>280.64369299999998</v>
      </c>
      <c r="AF104" s="1468">
        <v>0</v>
      </c>
      <c r="AG104" s="1056">
        <f>+'P01 2022'!CY75</f>
        <v>0</v>
      </c>
      <c r="AH104" s="546">
        <v>0</v>
      </c>
      <c r="AI104" s="1056">
        <f>+'P01 2022'!DR69</f>
        <v>0</v>
      </c>
      <c r="AJ104" s="1584">
        <f>+'P01 2023'!DX79</f>
        <v>5044.08</v>
      </c>
      <c r="AK104" s="18">
        <f>+'P01 2022'!EJ75</f>
        <v>655.65733699999998</v>
      </c>
      <c r="AL104" s="323">
        <f>+'P01 2022'!FC71</f>
        <v>160.16300000000001</v>
      </c>
      <c r="AM104" s="18">
        <f>+'P01 2022'!GA78</f>
        <v>0</v>
      </c>
      <c r="AN104" s="1056">
        <f>+'P01 2022'!GX81</f>
        <v>320.32600000000002</v>
      </c>
      <c r="AO104" s="1601"/>
      <c r="AP104" s="1401"/>
      <c r="AQ104" s="1401"/>
      <c r="AR104" s="1401"/>
      <c r="AS104" s="1401"/>
      <c r="AT104" s="1401"/>
      <c r="AU104" s="1401"/>
      <c r="AV104" s="1401"/>
      <c r="AW104" s="1401"/>
      <c r="AX104" s="1401"/>
      <c r="AY104" s="753"/>
      <c r="AZ104" s="1602"/>
      <c r="BA104" s="1398"/>
      <c r="BB104" s="753"/>
      <c r="BC104" s="1610"/>
      <c r="BD104" s="1610"/>
    </row>
    <row r="105" spans="1:56" s="177" customFormat="1" ht="15" hidden="1" customHeight="1" x14ac:dyDescent="0.25">
      <c r="A105" s="175"/>
      <c r="B105" s="1413" t="s">
        <v>394</v>
      </c>
      <c r="C105" s="800"/>
      <c r="D105" s="182"/>
      <c r="E105" s="17" t="s">
        <v>170</v>
      </c>
      <c r="F105" s="17"/>
      <c r="G105" s="17" t="str">
        <f t="shared" si="55"/>
        <v>22.05.007</v>
      </c>
      <c r="H105" s="1294" t="s">
        <v>59</v>
      </c>
      <c r="I105" s="1147">
        <f>+'P01 2023'!F89</f>
        <v>6600</v>
      </c>
      <c r="J105" s="97">
        <f>+'P01 2023'!EF94</f>
        <v>7114.7629999999999</v>
      </c>
      <c r="K105" s="18">
        <f ca="1">SUMIF(T$3:$AN95,"ok",T105:AN105)</f>
        <v>5217.4870000000001</v>
      </c>
      <c r="L105" s="694">
        <f t="shared" ca="1" si="53"/>
        <v>0.73333250875679201</v>
      </c>
      <c r="M105" s="97">
        <f>+'P01 2023'!EH94</f>
        <v>7114.7629999999999</v>
      </c>
      <c r="N105" s="694">
        <f t="shared" si="50"/>
        <v>1</v>
      </c>
      <c r="O105" s="97">
        <f>+'P01 2023'!EI94</f>
        <v>0</v>
      </c>
      <c r="P105" s="1156">
        <f t="shared" si="51"/>
        <v>0</v>
      </c>
      <c r="Q105" s="1733">
        <f>+'P01 2022'!ES91</f>
        <v>6108.7580449999996</v>
      </c>
      <c r="R105" s="997">
        <f ca="1">SUMIF(T$3:$AN96,"SI",T105:AN105)</f>
        <v>4590.3231359999991</v>
      </c>
      <c r="S105" s="1734">
        <f t="shared" ca="1" si="52"/>
        <v>0.75143312309728238</v>
      </c>
      <c r="T105" s="218">
        <f>+'P01 2023'!I89</f>
        <v>0</v>
      </c>
      <c r="U105" s="1056">
        <f>+'P01 2022'!F83</f>
        <v>510.03590399999996</v>
      </c>
      <c r="V105" s="1147">
        <v>0</v>
      </c>
      <c r="W105" s="1176">
        <f>+'P01 2022'!M65</f>
        <v>510.03590399999996</v>
      </c>
      <c r="X105" s="546">
        <f>+'P01 2023'!AD79</f>
        <v>2845.902</v>
      </c>
      <c r="Y105" s="1176">
        <f>+'P01 2022'!AB74</f>
        <v>510.03590399999996</v>
      </c>
      <c r="Z105" s="1147">
        <v>0</v>
      </c>
      <c r="AA105" s="1176">
        <f>+'P01 2022'!AQ78</f>
        <v>510.03590399999996</v>
      </c>
      <c r="AB105" s="1147">
        <v>0</v>
      </c>
      <c r="AC105" s="1182">
        <f>+'P01 2022'!BI66</f>
        <v>510.03590399999996</v>
      </c>
      <c r="AD105" s="1170">
        <v>0</v>
      </c>
      <c r="AE105" s="1176">
        <f>+'P01 2022'!CC78</f>
        <v>510.03590399999996</v>
      </c>
      <c r="AF105" s="1468">
        <f>+'P01 2023'!CP77</f>
        <v>474.31700000000001</v>
      </c>
      <c r="AG105" s="1056">
        <f>+'P01 2022'!CY76</f>
        <v>510.03590399999996</v>
      </c>
      <c r="AH105" s="546">
        <f>+'P01 2023'!DF62</f>
        <v>948.63400000000001</v>
      </c>
      <c r="AI105" s="1056">
        <f>+'P01 2022'!DR70</f>
        <v>510.03590399999996</v>
      </c>
      <c r="AJ105" s="1584">
        <f>+'P01 2023'!DX80</f>
        <v>948.63400000000001</v>
      </c>
      <c r="AK105" s="18">
        <f>+'P01 2022'!EJ76</f>
        <v>510.03590399999996</v>
      </c>
      <c r="AL105" s="323">
        <f>+'P01 2022'!FC72</f>
        <v>479.80799999999999</v>
      </c>
      <c r="AM105" s="18">
        <f>+'P01 2022'!GA79</f>
        <v>0</v>
      </c>
      <c r="AN105" s="1057">
        <v>0</v>
      </c>
      <c r="AO105" s="1601"/>
      <c r="AP105" s="1401"/>
      <c r="AQ105" s="1401"/>
      <c r="AR105" s="1401"/>
      <c r="AS105" s="1401"/>
      <c r="AT105" s="1401"/>
      <c r="AU105" s="1401"/>
      <c r="AV105" s="1401"/>
      <c r="AW105" s="1401"/>
      <c r="AX105" s="1401"/>
      <c r="AY105" s="753"/>
      <c r="AZ105" s="1602"/>
      <c r="BA105" s="1398"/>
      <c r="BB105" s="753"/>
      <c r="BC105" s="1610"/>
      <c r="BD105" s="1610"/>
    </row>
    <row r="106" spans="1:56" s="177" customFormat="1" ht="15" hidden="1" customHeight="1" x14ac:dyDescent="0.25">
      <c r="A106" s="175"/>
      <c r="B106" s="1413" t="s">
        <v>595</v>
      </c>
      <c r="C106" s="800"/>
      <c r="D106" s="182"/>
      <c r="E106" s="17" t="s">
        <v>171</v>
      </c>
      <c r="F106" s="17"/>
      <c r="G106" s="17" t="str">
        <f t="shared" si="55"/>
        <v>22.05.008</v>
      </c>
      <c r="H106" s="1294" t="s">
        <v>60</v>
      </c>
      <c r="I106" s="1147">
        <f>+'P01 2023'!F90</f>
        <v>38400</v>
      </c>
      <c r="J106" s="97">
        <f>+'P01 2023'!EF95</f>
        <v>37629.671999999999</v>
      </c>
      <c r="K106" s="18">
        <f ca="1">SUMIF(T$3:$AN96,"ok",T106:AN106)</f>
        <v>25086.448</v>
      </c>
      <c r="L106" s="694">
        <f t="shared" ca="1" si="53"/>
        <v>0.66666666666666674</v>
      </c>
      <c r="M106" s="97">
        <f>+'P01 2023'!EH95</f>
        <v>37629.671999999999</v>
      </c>
      <c r="N106" s="694">
        <f t="shared" si="50"/>
        <v>1</v>
      </c>
      <c r="O106" s="97">
        <f>+'P01 2023'!EI95</f>
        <v>0</v>
      </c>
      <c r="P106" s="1156">
        <f t="shared" si="51"/>
        <v>0</v>
      </c>
      <c r="Q106" s="1733">
        <f>+'P01 2022'!ES92</f>
        <v>37361.812697000001</v>
      </c>
      <c r="R106" s="997">
        <f ca="1">SUMIF(T$3:$AN97,"SI",T106:AN106)</f>
        <v>27824.727642999995</v>
      </c>
      <c r="S106" s="1734">
        <f t="shared" ca="1" si="52"/>
        <v>0.74473708940878569</v>
      </c>
      <c r="T106" s="218">
        <f>+'P01 2023'!I90</f>
        <v>0</v>
      </c>
      <c r="U106" s="1056">
        <f>+'P01 2022'!F84</f>
        <v>3067.7425269999999</v>
      </c>
      <c r="V106" s="1147">
        <v>0</v>
      </c>
      <c r="W106" s="1176">
        <f>+'P01 2022'!M66</f>
        <v>3067.7425269999999</v>
      </c>
      <c r="X106" s="546">
        <f>+'P01 2023'!AD80</f>
        <v>0</v>
      </c>
      <c r="Y106" s="1176">
        <f>+'P01 2022'!AB75</f>
        <v>3067.7425269999999</v>
      </c>
      <c r="Z106" s="1147">
        <f>+'P01 2023'!AT77</f>
        <v>9407.4179999999997</v>
      </c>
      <c r="AA106" s="1176">
        <f>+'P01 2022'!AQ79</f>
        <v>3067.7425269999999</v>
      </c>
      <c r="AB106" s="1147">
        <v>0</v>
      </c>
      <c r="AC106" s="1182">
        <f>+'P01 2022'!BI67</f>
        <v>3067.7425269999999</v>
      </c>
      <c r="AD106" s="1170">
        <f>+'P01 2023'!BZ76</f>
        <v>6271.6120000000001</v>
      </c>
      <c r="AE106" s="1176">
        <f>+'P01 2022'!CC79</f>
        <v>3067.7425269999999</v>
      </c>
      <c r="AF106" s="1468">
        <f>+'P01 2023'!CP78</f>
        <v>3135.806</v>
      </c>
      <c r="AG106" s="1056">
        <f>+'P01 2022'!CY77</f>
        <v>3282.7874269999998</v>
      </c>
      <c r="AH106" s="546">
        <f>+'P01 2023'!DF63</f>
        <v>3135.806</v>
      </c>
      <c r="AI106" s="1056">
        <f>+'P01 2022'!DR71</f>
        <v>3067.7425269999999</v>
      </c>
      <c r="AJ106" s="1584">
        <f>+'P01 2023'!DX81</f>
        <v>3135.806</v>
      </c>
      <c r="AK106" s="18">
        <f>+'P01 2022'!EJ77</f>
        <v>3067.7425269999999</v>
      </c>
      <c r="AL106" s="323">
        <f>+'P01 2022'!FC73</f>
        <v>2885.9290000000001</v>
      </c>
      <c r="AM106" s="18">
        <f>+'P01 2022'!GA80</f>
        <v>2885.9290000000001</v>
      </c>
      <c r="AN106" s="1057">
        <v>0</v>
      </c>
      <c r="AO106" s="1601"/>
      <c r="AP106" s="1401"/>
      <c r="AQ106" s="1401"/>
      <c r="AR106" s="1401"/>
      <c r="AS106" s="1401"/>
      <c r="AT106" s="1401"/>
      <c r="AU106" s="1401"/>
      <c r="AV106" s="1401"/>
      <c r="AW106" s="1401"/>
      <c r="AX106" s="1401"/>
      <c r="AY106" s="753"/>
      <c r="AZ106" s="1602"/>
      <c r="BA106" s="1398"/>
      <c r="BB106" s="753"/>
      <c r="BC106" s="1610"/>
      <c r="BD106" s="1610"/>
    </row>
    <row r="107" spans="1:56" s="1024" customFormat="1" ht="15" hidden="1" customHeight="1" x14ac:dyDescent="0.25">
      <c r="A107" s="175"/>
      <c r="B107" s="1413" t="s">
        <v>395</v>
      </c>
      <c r="C107" s="801"/>
      <c r="D107" s="184" t="s">
        <v>182</v>
      </c>
      <c r="E107" s="137"/>
      <c r="F107" s="137"/>
      <c r="G107" s="137"/>
      <c r="H107" s="1295" t="s">
        <v>110</v>
      </c>
      <c r="I107" s="1148">
        <f>+'P01 2023'!F91</f>
        <v>64128.5</v>
      </c>
      <c r="J107" s="16">
        <f>+'P01 2023'!EF96</f>
        <v>111058.91099999999</v>
      </c>
      <c r="K107" s="16">
        <f ca="1">SUM(K108:K114)</f>
        <v>72550.921999999991</v>
      </c>
      <c r="L107" s="783">
        <f t="shared" ca="1" si="53"/>
        <v>0.65326520264546806</v>
      </c>
      <c r="M107" s="16">
        <f>+'P01 2023'!EH96</f>
        <v>74045.506999999998</v>
      </c>
      <c r="N107" s="693">
        <f t="shared" si="50"/>
        <v>0.66672279003348056</v>
      </c>
      <c r="O107" s="16">
        <f>+'P01 2023'!EI96</f>
        <v>37013.404000000002</v>
      </c>
      <c r="P107" s="1155">
        <f t="shared" si="51"/>
        <v>0.33327720996651955</v>
      </c>
      <c r="Q107" s="1148">
        <f>+'P01 2022'!ES93</f>
        <v>26668.292068999999</v>
      </c>
      <c r="R107" s="1027">
        <f ca="1">SUMIF(T$3:$AN99,"SI",T107:AN107)</f>
        <v>23358.753183999997</v>
      </c>
      <c r="S107" s="1732">
        <f t="shared" ca="1" si="52"/>
        <v>0.87589985603738363</v>
      </c>
      <c r="T107" s="1070">
        <f>+'P01 2023'!I91</f>
        <v>14879.873</v>
      </c>
      <c r="U107" s="364">
        <v>0</v>
      </c>
      <c r="V107" s="1163">
        <f>+'P01 2023'!N62</f>
        <v>5617.1890000000003</v>
      </c>
      <c r="W107" s="1177">
        <f t="shared" ref="W107:AC107" si="56">SUM(W108:W114)</f>
        <v>736.00100299999997</v>
      </c>
      <c r="X107" s="1211">
        <f t="shared" si="56"/>
        <v>2683.9990000000003</v>
      </c>
      <c r="Y107" s="1177">
        <f t="shared" si="56"/>
        <v>3184.7076059999995</v>
      </c>
      <c r="Z107" s="1163">
        <f t="shared" si="56"/>
        <v>4051.5420000000004</v>
      </c>
      <c r="AA107" s="1177">
        <f t="shared" si="56"/>
        <v>1732.6219680000002</v>
      </c>
      <c r="AB107" s="1163">
        <f t="shared" si="56"/>
        <v>22712.478999999999</v>
      </c>
      <c r="AC107" s="1177">
        <f t="shared" si="56"/>
        <v>1312.4616509999996</v>
      </c>
      <c r="AD107" s="1163">
        <f>+'P01 2023'!BZ77</f>
        <v>5766.9949999999999</v>
      </c>
      <c r="AE107" s="1177">
        <f>SUM(AE108:AE114)</f>
        <v>1175.1666969999999</v>
      </c>
      <c r="AF107" s="1219">
        <f>+'P01 2023'!CP79</f>
        <v>13413.147000000001</v>
      </c>
      <c r="AG107" s="364">
        <f>SUM(AG108:AG114)</f>
        <v>1273.7684509999999</v>
      </c>
      <c r="AH107" s="1211">
        <f>+'P01 2023'!DF64</f>
        <v>3128.1979999999999</v>
      </c>
      <c r="AI107" s="364">
        <f>SUM(AI108:AI114)</f>
        <v>10908.942892999999</v>
      </c>
      <c r="AJ107" s="3">
        <f>+'P01 2023'!DX82</f>
        <v>297.5</v>
      </c>
      <c r="AK107" s="3">
        <f>+AK108+AK109+AK113</f>
        <v>3035.082915</v>
      </c>
      <c r="AL107" s="3">
        <f>SUM(AL108:AL114)</f>
        <v>1299.77</v>
      </c>
      <c r="AM107" s="3">
        <f>+'P01 2022'!GA81</f>
        <v>3583.3380000000002</v>
      </c>
      <c r="AN107" s="364">
        <f>+'P01 2022'!GX82</f>
        <v>13902.290999999999</v>
      </c>
      <c r="AO107" s="1601"/>
      <c r="AP107" s="1401"/>
      <c r="AQ107" s="1401"/>
      <c r="AR107" s="1401"/>
      <c r="AS107" s="1401"/>
      <c r="AT107" s="1401"/>
      <c r="AU107" s="1401"/>
      <c r="AV107" s="1401"/>
      <c r="AW107" s="1401"/>
      <c r="AX107" s="1401"/>
      <c r="AY107" s="753"/>
      <c r="AZ107" s="1602"/>
      <c r="BA107" s="1398"/>
      <c r="BB107" s="753"/>
      <c r="BC107" s="1610"/>
      <c r="BD107" s="1610"/>
    </row>
    <row r="108" spans="1:56" s="177" customFormat="1" ht="15" hidden="1" customHeight="1" x14ac:dyDescent="0.25">
      <c r="A108" s="175"/>
      <c r="B108" s="1413" t="s">
        <v>596</v>
      </c>
      <c r="C108" s="800"/>
      <c r="D108" s="182"/>
      <c r="E108" s="17" t="s">
        <v>169</v>
      </c>
      <c r="F108" s="17"/>
      <c r="G108" s="17" t="str">
        <f>+CONCATENATE($C$78,"",$D$107,"",E108)</f>
        <v>22.06.001</v>
      </c>
      <c r="H108" s="1294" t="s">
        <v>111</v>
      </c>
      <c r="I108" s="1147">
        <f>+'P01 2023'!F92</f>
        <v>26300</v>
      </c>
      <c r="J108" s="97">
        <f>+'P01 2023'!EF97</f>
        <v>90872.881999999998</v>
      </c>
      <c r="K108" s="18">
        <f ca="1">SUMIF(T$3:$AN99,"ok",T108:AN108)</f>
        <v>55872.881999999991</v>
      </c>
      <c r="L108" s="694">
        <f t="shared" ca="1" si="53"/>
        <v>0.61484659416876419</v>
      </c>
      <c r="M108" s="97">
        <f>+'P01 2023'!EH97</f>
        <v>55872.881999999998</v>
      </c>
      <c r="N108" s="694">
        <f t="shared" si="50"/>
        <v>0.61484659416876419</v>
      </c>
      <c r="O108" s="97">
        <f>+'P01 2023'!EI97</f>
        <v>35000</v>
      </c>
      <c r="P108" s="1156">
        <f t="shared" si="51"/>
        <v>0.38515340583123581</v>
      </c>
      <c r="Q108" s="1733">
        <f>+'P01 2022'!ES94</f>
        <v>5226.9697809999998</v>
      </c>
      <c r="R108" s="1142">
        <f ca="1">SUMIF(T$3:$AN100,"SI",T108:AN108)</f>
        <v>5226.9697809999998</v>
      </c>
      <c r="S108" s="1735">
        <f ca="1">IFERROR(R108/Q108,"0,00%")</f>
        <v>1</v>
      </c>
      <c r="T108" s="218">
        <f>+'P01 2023'!I92</f>
        <v>13197.645</v>
      </c>
      <c r="U108" s="1056">
        <v>0</v>
      </c>
      <c r="V108" s="1147">
        <f>+'P01 2023'!N63</f>
        <v>4581</v>
      </c>
      <c r="W108" s="1176">
        <v>0</v>
      </c>
      <c r="X108" s="546">
        <f>+'P01 2023'!AD82</f>
        <v>0</v>
      </c>
      <c r="Y108" s="1176">
        <f>+'P01 2022'!AB77</f>
        <v>88.547899999999998</v>
      </c>
      <c r="Z108" s="1147">
        <f>+'P01 2023'!AT79</f>
        <v>1729.9739999999999</v>
      </c>
      <c r="AA108" s="1176">
        <f>+'P01 2022'!AQ81</f>
        <v>278.29340000000002</v>
      </c>
      <c r="AB108" s="1147">
        <f>+'P01 2023'!BJ67</f>
        <v>20289.010999999999</v>
      </c>
      <c r="AC108" s="1176">
        <f>+'P01 2022'!BI69</f>
        <v>86.623869999999997</v>
      </c>
      <c r="AD108" s="1170">
        <f>+'P01 2023'!BZ78</f>
        <v>3529.915</v>
      </c>
      <c r="AE108" s="1176">
        <f>+'P01 2022'!CC81</f>
        <v>148.82</v>
      </c>
      <c r="AF108" s="1468">
        <f>+'P01 2023'!CP80</f>
        <v>10944.191999999999</v>
      </c>
      <c r="AG108" s="1056">
        <f>+'P01 2022'!CY79</f>
        <v>0</v>
      </c>
      <c r="AH108" s="546">
        <f>+'P01 2023'!DF65</f>
        <v>1601.145</v>
      </c>
      <c r="AI108" s="1056">
        <f>+'P01 2022'!DR73</f>
        <v>2479.482579</v>
      </c>
      <c r="AJ108" s="1584">
        <f>+'P01 2023'!DX83</f>
        <v>0</v>
      </c>
      <c r="AK108" s="18">
        <f>+'P01 2022'!EJ79</f>
        <v>2145.2020320000001</v>
      </c>
      <c r="AL108" s="323">
        <f>+'P01 2022'!FC75</f>
        <v>0</v>
      </c>
      <c r="AM108" s="18">
        <v>0</v>
      </c>
      <c r="AN108" s="1056">
        <f>+'P01 2022'!GX83</f>
        <v>12599.601000000001</v>
      </c>
      <c r="AO108" s="1601"/>
      <c r="AP108" s="1401"/>
      <c r="AQ108" s="1401"/>
      <c r="AR108" s="1401"/>
      <c r="AS108" s="1401"/>
      <c r="AT108" s="1401"/>
      <c r="AU108" s="1401"/>
      <c r="AV108" s="1401"/>
      <c r="AW108" s="1401"/>
      <c r="AX108" s="1401"/>
      <c r="AY108" s="753"/>
      <c r="AZ108" s="1602"/>
      <c r="BA108" s="1398"/>
      <c r="BB108" s="753"/>
      <c r="BC108" s="1610"/>
      <c r="BD108" s="1610"/>
    </row>
    <row r="109" spans="1:56" s="177" customFormat="1" ht="15" hidden="1" customHeight="1" x14ac:dyDescent="0.25">
      <c r="A109" s="175"/>
      <c r="B109" s="1413" t="s">
        <v>597</v>
      </c>
      <c r="C109" s="800"/>
      <c r="D109" s="182"/>
      <c r="E109" s="17" t="s">
        <v>165</v>
      </c>
      <c r="F109" s="17"/>
      <c r="G109" s="17" t="str">
        <f>+CONCATENATE($C$78,"",$D$107,"",E109)</f>
        <v>22.06.002</v>
      </c>
      <c r="H109" s="1294" t="s">
        <v>61</v>
      </c>
      <c r="I109" s="1147">
        <f>+'P01 2023'!F93</f>
        <v>26512.2</v>
      </c>
      <c r="J109" s="97">
        <f>+'P01 2023'!EF98</f>
        <v>13217.822</v>
      </c>
      <c r="K109" s="18">
        <f ca="1">SUMIF(T$3:$AN100,"ok",T109:AN109)</f>
        <v>12246.192999999999</v>
      </c>
      <c r="L109" s="694">
        <f t="shared" ca="1" si="53"/>
        <v>0.92649099072449292</v>
      </c>
      <c r="M109" s="97">
        <f>+'P01 2023'!EH98</f>
        <v>12804.418</v>
      </c>
      <c r="N109" s="694">
        <f t="shared" si="50"/>
        <v>0.96872374283751128</v>
      </c>
      <c r="O109" s="97">
        <f>+'P01 2023'!EI98</f>
        <v>413.404</v>
      </c>
      <c r="P109" s="1156">
        <f t="shared" si="51"/>
        <v>3.1276257162488642E-2</v>
      </c>
      <c r="Q109" s="1733">
        <f>+'P01 2022'!ES95</f>
        <v>10656.698307999999</v>
      </c>
      <c r="R109" s="997">
        <f ca="1">SUMIF(T$3:$AN101,"SI",T109:AN109)</f>
        <v>8735.8466779999981</v>
      </c>
      <c r="S109" s="1734">
        <f ca="1">IFERROR(R109/Q109,"0%")</f>
        <v>0.81975171160114246</v>
      </c>
      <c r="T109" s="218">
        <f>+'P01 2023'!I93</f>
        <v>297.74900000000002</v>
      </c>
      <c r="U109" s="1056">
        <v>0</v>
      </c>
      <c r="V109" s="1147">
        <f>+'P01 2023'!N64</f>
        <v>1036.1890000000001</v>
      </c>
      <c r="W109" s="1176">
        <f>+'P01 2022'!M68</f>
        <v>288.41316</v>
      </c>
      <c r="X109" s="546">
        <f>+'P01 2023'!AD83</f>
        <v>2215.8200000000002</v>
      </c>
      <c r="Y109" s="1176">
        <f>+'P01 2022'!AB78</f>
        <v>3096.1597059999995</v>
      </c>
      <c r="Z109" s="1147">
        <f>+'P01 2023'!AT80</f>
        <v>2321.5680000000002</v>
      </c>
      <c r="AA109" s="1176">
        <f>+'P01 2022'!AQ82</f>
        <v>1006.740725</v>
      </c>
      <c r="AB109" s="1147">
        <f>+'P01 2023'!BJ68</f>
        <v>2221.1680000000001</v>
      </c>
      <c r="AC109" s="1176">
        <f>+'P01 2022'!BI70</f>
        <v>1225.8377809999997</v>
      </c>
      <c r="AD109" s="1170">
        <f>+'P01 2023'!BZ79</f>
        <v>780.57</v>
      </c>
      <c r="AE109" s="1176">
        <f>+'P01 2022'!CC82</f>
        <v>578.75885399999993</v>
      </c>
      <c r="AF109" s="1468">
        <f>+'P01 2023'!CP81</f>
        <v>2000.7760000000001</v>
      </c>
      <c r="AG109" s="1056">
        <f>+'P01 2022'!CY80</f>
        <v>826.18060800000001</v>
      </c>
      <c r="AH109" s="546">
        <f>+'P01 2023'!DF66</f>
        <v>1074.8530000000001</v>
      </c>
      <c r="AI109" s="1056">
        <f>+'P01 2022'!DR74</f>
        <v>1271.4628039999998</v>
      </c>
      <c r="AJ109" s="1584">
        <f>+'P01 2023'!DX84</f>
        <v>297.5</v>
      </c>
      <c r="AK109" s="18">
        <f>+'P01 2022'!EJ80</f>
        <v>442.29303999999996</v>
      </c>
      <c r="AL109" s="323">
        <f>+'P01 2022'!FC76</f>
        <v>414.45</v>
      </c>
      <c r="AM109" s="18">
        <f>+'P01 2022'!GA82</f>
        <v>3162.277</v>
      </c>
      <c r="AN109" s="1056">
        <f>+'P01 2022'!GX84</f>
        <v>1302.69</v>
      </c>
      <c r="AO109" s="1601"/>
      <c r="AP109" s="1401"/>
      <c r="AQ109" s="1401"/>
      <c r="AR109" s="1401"/>
      <c r="AS109" s="1401"/>
      <c r="AT109" s="1401"/>
      <c r="AU109" s="1401"/>
      <c r="AV109" s="1401"/>
      <c r="AW109" s="1401"/>
      <c r="AX109" s="1401"/>
      <c r="AY109" s="753"/>
      <c r="AZ109" s="1602"/>
      <c r="BA109" s="1398"/>
      <c r="BB109" s="753"/>
      <c r="BC109" s="1610"/>
      <c r="BD109" s="1610"/>
    </row>
    <row r="110" spans="1:56" s="177" customFormat="1" ht="15" hidden="1" customHeight="1" x14ac:dyDescent="0.25">
      <c r="A110" s="175"/>
      <c r="B110" s="1413" t="s">
        <v>598</v>
      </c>
      <c r="C110" s="800"/>
      <c r="D110" s="182"/>
      <c r="E110" s="17" t="s">
        <v>166</v>
      </c>
      <c r="F110" s="17"/>
      <c r="G110" s="17" t="str">
        <f>+CONCATENATE($C$78,"",$D$107,"",E110)</f>
        <v>22.06.003</v>
      </c>
      <c r="H110" s="1294" t="s">
        <v>112</v>
      </c>
      <c r="I110" s="1147">
        <f>+'P01 2023'!F94</f>
        <v>2000</v>
      </c>
      <c r="J110" s="97">
        <f>+'P01 2023'!EF99</f>
        <v>452.2</v>
      </c>
      <c r="K110" s="18">
        <f ca="1">SUMIF(T$3:$AN101,"ok",T110:AN110)</f>
        <v>452.2</v>
      </c>
      <c r="L110" s="694">
        <v>0</v>
      </c>
      <c r="M110" s="97">
        <f>+'P01 2023'!EH99</f>
        <v>452.2</v>
      </c>
      <c r="N110" s="694">
        <f t="shared" si="50"/>
        <v>1</v>
      </c>
      <c r="O110" s="97">
        <f>+'P01 2023'!EI99</f>
        <v>0</v>
      </c>
      <c r="P110" s="1156">
        <f t="shared" si="51"/>
        <v>0</v>
      </c>
      <c r="Q110" s="1733">
        <f>+'P01 2022'!ES96</f>
        <v>796.93110000000001</v>
      </c>
      <c r="R110" s="997">
        <f ca="1">SUMIF(T$3:$AN102,"SI",T110:AN110)</f>
        <v>0</v>
      </c>
      <c r="S110" s="1734" t="str">
        <f ca="1">IFERROR(R110/#REF!,"0,00%")</f>
        <v>0,00%</v>
      </c>
      <c r="T110" s="218">
        <f>+'P01 2023'!I94</f>
        <v>0</v>
      </c>
      <c r="U110" s="1056">
        <v>0</v>
      </c>
      <c r="V110" s="1147">
        <v>0</v>
      </c>
      <c r="W110" s="1176">
        <v>0</v>
      </c>
      <c r="X110" s="546">
        <f>+'P01 2023'!AD84</f>
        <v>0</v>
      </c>
      <c r="Y110" s="1176">
        <v>0</v>
      </c>
      <c r="Z110" s="1147">
        <v>0</v>
      </c>
      <c r="AA110" s="1176">
        <f>+'P01 2022'!AQ83</f>
        <v>0</v>
      </c>
      <c r="AB110" s="1147">
        <v>0</v>
      </c>
      <c r="AC110" s="1176">
        <v>0</v>
      </c>
      <c r="AD110" s="1147">
        <v>0</v>
      </c>
      <c r="AE110" s="1176">
        <v>0</v>
      </c>
      <c r="AF110" s="1468">
        <v>0</v>
      </c>
      <c r="AG110" s="1056">
        <v>0</v>
      </c>
      <c r="AH110" s="546">
        <f>+'P01 2023'!DF67</f>
        <v>452.2</v>
      </c>
      <c r="AI110" s="1056">
        <v>0</v>
      </c>
      <c r="AJ110" s="1584">
        <f>+'P01 2023'!DX85</f>
        <v>0</v>
      </c>
      <c r="AK110" s="18">
        <v>0</v>
      </c>
      <c r="AL110" s="323">
        <f>+'P01 2022'!FC77</f>
        <v>749.7</v>
      </c>
      <c r="AM110" s="18">
        <f>+'P01 2022'!GA83</f>
        <v>0</v>
      </c>
      <c r="AN110" s="1057">
        <v>0</v>
      </c>
      <c r="AO110" s="1601"/>
      <c r="AP110" s="1401"/>
      <c r="AQ110" s="1401"/>
      <c r="AR110" s="1401"/>
      <c r="AS110" s="1401"/>
      <c r="AT110" s="1401"/>
      <c r="AU110" s="1401"/>
      <c r="AV110" s="1401"/>
      <c r="AW110" s="1401"/>
      <c r="AX110" s="1401"/>
      <c r="AY110" s="753"/>
      <c r="AZ110" s="1602"/>
      <c r="BA110" s="1398"/>
      <c r="BB110" s="753"/>
      <c r="BC110" s="1610"/>
      <c r="BD110" s="1610"/>
    </row>
    <row r="111" spans="1:56" s="177" customFormat="1" ht="16.5" hidden="1" customHeight="1" x14ac:dyDescent="0.25">
      <c r="A111" s="175"/>
      <c r="B111" s="1417" t="s">
        <v>599</v>
      </c>
      <c r="C111" s="800"/>
      <c r="D111" s="182"/>
      <c r="E111" s="17" t="s">
        <v>179</v>
      </c>
      <c r="F111" s="17"/>
      <c r="G111" s="17" t="s">
        <v>879</v>
      </c>
      <c r="H111" s="1300" t="s">
        <v>651</v>
      </c>
      <c r="I111" s="1147">
        <f>+'P01 2023'!F95</f>
        <v>916.3</v>
      </c>
      <c r="J111" s="97">
        <f>+'P01 2023'!EF100</f>
        <v>1118.5999999999999</v>
      </c>
      <c r="K111" s="18">
        <f ca="1">SUMIF(T$3:$AN102,"ok",T111:AN111)</f>
        <v>1118.5999999999999</v>
      </c>
      <c r="L111" s="694">
        <f ca="1">IFERROR(K111/J111,"0.00"%)</f>
        <v>1</v>
      </c>
      <c r="M111" s="97">
        <f>+'P01 2023'!EH100</f>
        <v>1118.5999999999999</v>
      </c>
      <c r="N111" s="694">
        <f t="shared" si="50"/>
        <v>1</v>
      </c>
      <c r="O111" s="97">
        <f>+'P01 2023'!EI100</f>
        <v>0</v>
      </c>
      <c r="P111" s="1156">
        <v>0</v>
      </c>
      <c r="Q111" s="1162">
        <v>0</v>
      </c>
      <c r="R111" s="997">
        <f ca="1">SUMIF(T$3:$AN103,"SI",T111:AN111)</f>
        <v>0</v>
      </c>
      <c r="S111" s="1734" t="str">
        <f ca="1">IFERROR(R111/Q111,"0,00%")</f>
        <v>0,00%</v>
      </c>
      <c r="T111" s="218">
        <f>+'P01 2023'!I95</f>
        <v>916.3</v>
      </c>
      <c r="U111" s="1056">
        <v>0</v>
      </c>
      <c r="V111" s="1147">
        <v>0</v>
      </c>
      <c r="W111" s="1176">
        <v>0</v>
      </c>
      <c r="X111" s="546">
        <v>0</v>
      </c>
      <c r="Y111" s="1176">
        <v>0</v>
      </c>
      <c r="Z111" s="1147">
        <v>0</v>
      </c>
      <c r="AA111" s="1176">
        <v>0</v>
      </c>
      <c r="AB111" s="1147">
        <f>+'P01 2023'!BJ69</f>
        <v>202.3</v>
      </c>
      <c r="AC111" s="1176">
        <v>0</v>
      </c>
      <c r="AD111" s="1147">
        <v>0</v>
      </c>
      <c r="AE111" s="1176">
        <v>0</v>
      </c>
      <c r="AF111" s="1468">
        <v>0</v>
      </c>
      <c r="AG111" s="1056">
        <v>0</v>
      </c>
      <c r="AH111" s="546">
        <v>0</v>
      </c>
      <c r="AI111" s="1056">
        <v>0</v>
      </c>
      <c r="AJ111" s="1584">
        <v>0</v>
      </c>
      <c r="AK111" s="18">
        <v>0</v>
      </c>
      <c r="AL111" s="185">
        <v>0</v>
      </c>
      <c r="AM111" s="18">
        <v>0</v>
      </c>
      <c r="AN111" s="1057">
        <v>0</v>
      </c>
      <c r="AO111" s="1601"/>
      <c r="AP111" s="1401"/>
      <c r="AQ111" s="1401"/>
      <c r="AR111" s="1401"/>
      <c r="AS111" s="1401"/>
      <c r="AT111" s="1401"/>
      <c r="AU111" s="1401"/>
      <c r="AV111" s="1401"/>
      <c r="AW111" s="1401"/>
      <c r="AX111" s="1401"/>
      <c r="AY111" s="753"/>
      <c r="AZ111" s="1602"/>
      <c r="BA111" s="1398"/>
      <c r="BB111" s="753"/>
      <c r="BC111" s="1610"/>
      <c r="BD111" s="1610"/>
    </row>
    <row r="112" spans="1:56" s="177" customFormat="1" ht="15" hidden="1" customHeight="1" x14ac:dyDescent="0.25">
      <c r="A112" s="175"/>
      <c r="B112" s="1413" t="s">
        <v>717</v>
      </c>
      <c r="C112" s="800"/>
      <c r="D112" s="182"/>
      <c r="E112" s="17" t="s">
        <v>181</v>
      </c>
      <c r="F112" s="17"/>
      <c r="G112" s="17" t="str">
        <f>+CONCATENATE($C$78,"",$D$107,"",E112)</f>
        <v>22.06.006</v>
      </c>
      <c r="H112" s="1294" t="s">
        <v>719</v>
      </c>
      <c r="I112" s="1147">
        <v>0</v>
      </c>
      <c r="J112" s="97">
        <v>0</v>
      </c>
      <c r="K112" s="18">
        <f ca="1">SUMIF(T$3:$AN102,"ok",T112:AN112)</f>
        <v>0</v>
      </c>
      <c r="L112" s="694">
        <v>0</v>
      </c>
      <c r="M112" s="97">
        <v>0</v>
      </c>
      <c r="N112" s="694">
        <f t="shared" si="50"/>
        <v>0</v>
      </c>
      <c r="O112" s="97">
        <v>0</v>
      </c>
      <c r="P112" s="1156">
        <f t="shared" ref="P112:P147" si="57">+IFERROR(O112/J112,0)</f>
        <v>0</v>
      </c>
      <c r="Q112" s="1162">
        <v>0</v>
      </c>
      <c r="R112" s="997">
        <f ca="1">SUMIF(T$3:$AN104,"SI",T112:AN112)</f>
        <v>0</v>
      </c>
      <c r="S112" s="1734" t="str">
        <f ca="1">IFERROR(R112/Q112,"0,00%")</f>
        <v>0,00%</v>
      </c>
      <c r="T112" s="218">
        <v>0</v>
      </c>
      <c r="U112" s="1056">
        <v>0</v>
      </c>
      <c r="V112" s="1147">
        <v>0</v>
      </c>
      <c r="W112" s="1176">
        <v>0</v>
      </c>
      <c r="X112" s="546">
        <v>0</v>
      </c>
      <c r="Y112" s="1176">
        <v>0</v>
      </c>
      <c r="Z112" s="1147">
        <v>0</v>
      </c>
      <c r="AA112" s="1344">
        <v>0</v>
      </c>
      <c r="AB112" s="1346">
        <v>0</v>
      </c>
      <c r="AC112" s="1176">
        <v>0</v>
      </c>
      <c r="AD112" s="1147">
        <v>0</v>
      </c>
      <c r="AE112" s="1176">
        <v>0</v>
      </c>
      <c r="AF112" s="1468">
        <v>0</v>
      </c>
      <c r="AG112" s="1056">
        <f>+'P01 2022'!CY81</f>
        <v>0</v>
      </c>
      <c r="AH112" s="546">
        <v>0</v>
      </c>
      <c r="AI112" s="1056">
        <v>0</v>
      </c>
      <c r="AJ112" s="1584">
        <v>0</v>
      </c>
      <c r="AK112" s="18">
        <v>0</v>
      </c>
      <c r="AL112" s="185">
        <v>0</v>
      </c>
      <c r="AM112" s="18">
        <v>0</v>
      </c>
      <c r="AN112" s="1057">
        <v>0</v>
      </c>
      <c r="AO112" s="1601"/>
      <c r="AP112" s="1401"/>
      <c r="AQ112" s="1401"/>
      <c r="AR112" s="1401"/>
      <c r="AS112" s="1401"/>
      <c r="AT112" s="1401"/>
      <c r="AU112" s="1401"/>
      <c r="AV112" s="1401"/>
      <c r="AW112" s="1401"/>
      <c r="AX112" s="1401"/>
      <c r="AY112" s="753"/>
      <c r="AZ112" s="1602"/>
      <c r="BA112" s="1398"/>
      <c r="BB112" s="753"/>
      <c r="BC112" s="1610"/>
      <c r="BD112" s="1610"/>
    </row>
    <row r="113" spans="1:56" s="177" customFormat="1" ht="15" hidden="1" customHeight="1" x14ac:dyDescent="0.25">
      <c r="A113" s="175"/>
      <c r="B113" s="1413" t="s">
        <v>600</v>
      </c>
      <c r="C113" s="800"/>
      <c r="D113" s="182"/>
      <c r="E113" s="17" t="s">
        <v>170</v>
      </c>
      <c r="F113" s="17"/>
      <c r="G113" s="17" t="str">
        <f>+CONCATENATE($C$78,"",$D$107,"",E113)</f>
        <v>22.06.007</v>
      </c>
      <c r="H113" s="1294" t="s">
        <v>63</v>
      </c>
      <c r="I113" s="1147">
        <f>+'P01 2023'!F96</f>
        <v>8400</v>
      </c>
      <c r="J113" s="97">
        <f>+'P01 2023'!EF101</f>
        <v>5397.4070000000002</v>
      </c>
      <c r="K113" s="18">
        <f ca="1">SUMIF(T$3:$AN103,"ok",T113:AN113)</f>
        <v>2861.047</v>
      </c>
      <c r="L113" s="694">
        <f ca="1">IFERROR(K113/J113,"0.00"%)</f>
        <v>0.53007805414711173</v>
      </c>
      <c r="M113" s="97">
        <f>+'P01 2023'!EH101</f>
        <v>3797.4070000000002</v>
      </c>
      <c r="N113" s="694">
        <f t="shared" si="50"/>
        <v>0.70356135825962351</v>
      </c>
      <c r="O113" s="97">
        <f>+'P01 2023'!EI101</f>
        <v>1600</v>
      </c>
      <c r="P113" s="1156">
        <f t="shared" si="57"/>
        <v>0.29643864174037643</v>
      </c>
      <c r="Q113" s="1733">
        <f>+'P01 2022'!ES98</f>
        <v>9987.6928800000005</v>
      </c>
      <c r="R113" s="997">
        <f ca="1">SUMIF(T$3:$AN105,"SI",T113:AN113)</f>
        <v>9395.9367249999996</v>
      </c>
      <c r="S113" s="1734">
        <f ca="1">IFERROR(R113/Q113,"0%")</f>
        <v>0.94075146661898545</v>
      </c>
      <c r="T113" s="218">
        <f>+'P01 2023'!I96</f>
        <v>468.17899999999997</v>
      </c>
      <c r="U113" s="1056">
        <v>0</v>
      </c>
      <c r="V113" s="1147">
        <v>0</v>
      </c>
      <c r="W113" s="1176">
        <f>+'P01 2022'!M69</f>
        <v>447.58784299999996</v>
      </c>
      <c r="X113" s="546">
        <f>+'P01 2023'!AD85</f>
        <v>468.17899999999997</v>
      </c>
      <c r="Y113" s="1176">
        <v>0</v>
      </c>
      <c r="Z113" s="1147">
        <v>0</v>
      </c>
      <c r="AA113" s="1176">
        <f>+'P01 2022'!AQ84</f>
        <v>447.58784299999996</v>
      </c>
      <c r="AB113" s="1147">
        <v>0</v>
      </c>
      <c r="AC113" s="1176">
        <v>0</v>
      </c>
      <c r="AD113" s="1147">
        <f>+'P01 2023'!BZ81</f>
        <v>1456.51</v>
      </c>
      <c r="AE113" s="1176">
        <f>+'P01 2022'!CC83</f>
        <v>447.58784299999996</v>
      </c>
      <c r="AF113" s="1468">
        <f>+'P01 2023'!CP82</f>
        <v>468.17899999999997</v>
      </c>
      <c r="AG113" s="1056">
        <f>+'P01 2022'!CY82</f>
        <v>447.58784299999996</v>
      </c>
      <c r="AH113" s="546">
        <v>0</v>
      </c>
      <c r="AI113" s="1056">
        <f>+'P01 2022'!DR77</f>
        <v>7157.9975100000001</v>
      </c>
      <c r="AJ113" s="1584">
        <f>+'P01 2023'!DX86</f>
        <v>0</v>
      </c>
      <c r="AK113" s="18">
        <f>+'P01 2022'!EJ81</f>
        <v>447.58784299999996</v>
      </c>
      <c r="AL113" s="323">
        <f>+'P01 2022'!FC78</f>
        <v>135.62</v>
      </c>
      <c r="AM113" s="18">
        <f>+'P01 2022'!GA84</f>
        <v>421.06099999999998</v>
      </c>
      <c r="AN113" s="1057">
        <v>0</v>
      </c>
      <c r="AO113" s="1601"/>
      <c r="AP113" s="1401"/>
      <c r="AQ113" s="1401"/>
      <c r="AR113" s="1401"/>
      <c r="AS113" s="1401"/>
      <c r="AT113" s="1401"/>
      <c r="AU113" s="1401"/>
      <c r="AV113" s="1401"/>
      <c r="AW113" s="1401"/>
      <c r="AX113" s="1401"/>
      <c r="AY113" s="753"/>
      <c r="AZ113" s="1602"/>
      <c r="BA113" s="1398"/>
      <c r="BB113" s="753"/>
      <c r="BC113" s="1610"/>
      <c r="BD113" s="1610"/>
    </row>
    <row r="114" spans="1:56" s="177" customFormat="1" ht="15" hidden="1" customHeight="1" x14ac:dyDescent="0.25">
      <c r="A114" s="175"/>
      <c r="B114" s="1413" t="s">
        <v>396</v>
      </c>
      <c r="C114" s="800"/>
      <c r="D114" s="182"/>
      <c r="E114" s="17" t="s">
        <v>177</v>
      </c>
      <c r="F114" s="17"/>
      <c r="G114" s="17" t="str">
        <f>+CONCATENATE($C$78,"",$D$107,"",E114)</f>
        <v>22.06.999</v>
      </c>
      <c r="H114" s="1294" t="s">
        <v>51</v>
      </c>
      <c r="I114" s="1147">
        <v>0</v>
      </c>
      <c r="J114" s="97">
        <v>0</v>
      </c>
      <c r="K114" s="18">
        <f ca="1">SUMIF(T$3:$AN104,"ok",T114:AN114)</f>
        <v>0</v>
      </c>
      <c r="L114" s="694">
        <v>0</v>
      </c>
      <c r="M114" s="97">
        <v>0</v>
      </c>
      <c r="N114" s="694">
        <f t="shared" si="50"/>
        <v>0</v>
      </c>
      <c r="O114" s="97">
        <v>0</v>
      </c>
      <c r="P114" s="1156">
        <f t="shared" si="57"/>
        <v>0</v>
      </c>
      <c r="Q114" s="1733">
        <v>0</v>
      </c>
      <c r="R114" s="997">
        <f ca="1">SUMIF(T$3:$AN106,"SI",T114:AN114)</f>
        <v>0</v>
      </c>
      <c r="S114" s="1734" t="str">
        <f ca="1">IFERROR(R114/Q114,"0,00%")</f>
        <v>0,00%</v>
      </c>
      <c r="T114" s="218">
        <v>0</v>
      </c>
      <c r="U114" s="1056">
        <v>0</v>
      </c>
      <c r="V114" s="1147">
        <v>0</v>
      </c>
      <c r="W114" s="1176">
        <v>0</v>
      </c>
      <c r="X114" s="546">
        <v>0</v>
      </c>
      <c r="Y114" s="1176">
        <v>0</v>
      </c>
      <c r="Z114" s="1147">
        <v>0</v>
      </c>
      <c r="AA114" s="1344">
        <v>0</v>
      </c>
      <c r="AB114" s="1346">
        <v>0</v>
      </c>
      <c r="AC114" s="1176">
        <v>0</v>
      </c>
      <c r="AD114" s="1147">
        <v>0</v>
      </c>
      <c r="AE114" s="1176">
        <v>0</v>
      </c>
      <c r="AF114" s="1468">
        <v>0</v>
      </c>
      <c r="AG114" s="1056">
        <v>0</v>
      </c>
      <c r="AH114" s="546">
        <v>0</v>
      </c>
      <c r="AI114" s="1056">
        <v>0</v>
      </c>
      <c r="AJ114" s="1584">
        <v>0</v>
      </c>
      <c r="AK114" s="18">
        <v>0</v>
      </c>
      <c r="AL114" s="185">
        <v>0</v>
      </c>
      <c r="AM114" s="18">
        <v>0</v>
      </c>
      <c r="AN114" s="1057">
        <v>0</v>
      </c>
      <c r="AO114" s="1601"/>
      <c r="AP114" s="1401"/>
      <c r="AQ114" s="1401"/>
      <c r="AR114" s="1401"/>
      <c r="AS114" s="1401"/>
      <c r="AT114" s="1401"/>
      <c r="AU114" s="1401"/>
      <c r="AV114" s="1401"/>
      <c r="AW114" s="1401"/>
      <c r="AX114" s="1401"/>
      <c r="AY114" s="753"/>
      <c r="AZ114" s="1602"/>
      <c r="BA114" s="1398"/>
      <c r="BB114" s="753"/>
      <c r="BC114" s="1610"/>
      <c r="BD114" s="1610"/>
    </row>
    <row r="115" spans="1:56" s="1024" customFormat="1" ht="15" hidden="1" customHeight="1" x14ac:dyDescent="0.25">
      <c r="A115" s="175"/>
      <c r="B115" s="1413" t="s">
        <v>397</v>
      </c>
      <c r="C115" s="801"/>
      <c r="D115" s="184" t="s">
        <v>183</v>
      </c>
      <c r="E115" s="137"/>
      <c r="F115" s="137"/>
      <c r="G115" s="137"/>
      <c r="H115" s="1298" t="s">
        <v>64</v>
      </c>
      <c r="I115" s="1148">
        <f>SUM(I116:I117)</f>
        <v>1912.9669999999999</v>
      </c>
      <c r="J115" s="16">
        <f>+'P01 2023'!EF102</f>
        <v>14437.573</v>
      </c>
      <c r="K115" s="16">
        <f ca="1">SUMIF(T$3:$AN105,"ok",T115:AN115)</f>
        <v>12776.800999999999</v>
      </c>
      <c r="L115" s="693">
        <f ca="1">IFERROR(K115/J115,"0.00"%)</f>
        <v>0.88496875479001902</v>
      </c>
      <c r="M115" s="16">
        <f>+'P01 2023'!EH102</f>
        <v>14437.573</v>
      </c>
      <c r="N115" s="693">
        <f t="shared" si="50"/>
        <v>1</v>
      </c>
      <c r="O115" s="16">
        <f>+'P01 2023'!EI102</f>
        <v>0</v>
      </c>
      <c r="P115" s="691">
        <f t="shared" si="57"/>
        <v>0</v>
      </c>
      <c r="Q115" s="1148">
        <f>SUM(Q116:Q117)</f>
        <v>12723.339325000001</v>
      </c>
      <c r="R115" s="16">
        <f ca="1">SUM(R116:R117)</f>
        <v>7087.1740719999998</v>
      </c>
      <c r="S115" s="1290">
        <f ca="1">IFERROR(R115/Q115,"0%")</f>
        <v>0.55702154056949982</v>
      </c>
      <c r="T115" s="219">
        <f>SUM(T116:T117)</f>
        <v>172.55</v>
      </c>
      <c r="U115" s="1071">
        <f>SUM(U116:U117)</f>
        <v>760.79016300000001</v>
      </c>
      <c r="V115" s="1148">
        <f>+'P01 2023'!N67</f>
        <v>131.1</v>
      </c>
      <c r="W115" s="1177">
        <f>SUM(W116:W117)</f>
        <v>1176.8154099999999</v>
      </c>
      <c r="X115" s="1211">
        <f>+'P01 2023'!AD86</f>
        <v>4399.2690000000002</v>
      </c>
      <c r="Y115" s="1177">
        <f>SUM(Y116:Y117)</f>
        <v>109.338054</v>
      </c>
      <c r="Z115" s="1163">
        <f>SUM(Z116:Z117)</f>
        <v>1450.684</v>
      </c>
      <c r="AA115" s="1177">
        <f>SUM(AA116:AA117)</f>
        <v>653.14653099999998</v>
      </c>
      <c r="AB115" s="1163">
        <f>SUM(AB116:AB117)</f>
        <v>2271.3049999999998</v>
      </c>
      <c r="AC115" s="1177">
        <f>SUM(AC116:AC117)</f>
        <v>975.40561099999991</v>
      </c>
      <c r="AD115" s="1163">
        <f>+'P01 2023'!BZ82</f>
        <v>547.08100000000002</v>
      </c>
      <c r="AE115" s="1177">
        <f>SUM(AE116:AE117)</f>
        <v>1125.0239239999999</v>
      </c>
      <c r="AF115" s="1219">
        <f>+'P01 2023'!CP83</f>
        <v>332.73</v>
      </c>
      <c r="AG115" s="364">
        <f>SUM(AG116:AG117)</f>
        <v>106.45945</v>
      </c>
      <c r="AH115" s="1211">
        <f>+'P01 2023'!DF69</f>
        <v>2589.9929999999999</v>
      </c>
      <c r="AI115" s="364">
        <f>SUM(AI116:AI117)</f>
        <v>2020.258075</v>
      </c>
      <c r="AJ115" s="1585">
        <f>+'P01 2023'!DX87</f>
        <v>882.08900000000006</v>
      </c>
      <c r="AK115" s="3">
        <f>SUM(AK116:AK117)</f>
        <v>159.93685399999998</v>
      </c>
      <c r="AL115" s="3">
        <f>SUM(AL116:AL117)</f>
        <v>121.80500000000001</v>
      </c>
      <c r="AM115" s="3">
        <f>+'P01 2022'!GA85</f>
        <v>749.77599999999995</v>
      </c>
      <c r="AN115" s="364">
        <f>+'P01 2022'!GX85</f>
        <v>102.858</v>
      </c>
      <c r="AO115" s="1601"/>
      <c r="AP115" s="1401"/>
      <c r="AQ115" s="1401"/>
      <c r="AR115" s="1401"/>
      <c r="AS115" s="1401"/>
      <c r="AT115" s="1401"/>
      <c r="AU115" s="1401"/>
      <c r="AV115" s="1401"/>
      <c r="AW115" s="1401"/>
      <c r="AX115" s="1401"/>
      <c r="AY115" s="753"/>
      <c r="AZ115" s="1602"/>
      <c r="BA115" s="1398"/>
      <c r="BB115" s="753"/>
      <c r="BC115" s="1610"/>
      <c r="BD115" s="1610"/>
    </row>
    <row r="116" spans="1:56" s="177" customFormat="1" ht="15" hidden="1" customHeight="1" x14ac:dyDescent="0.25">
      <c r="A116" s="175"/>
      <c r="B116" s="1413" t="s">
        <v>398</v>
      </c>
      <c r="C116" s="800"/>
      <c r="D116" s="182"/>
      <c r="E116" s="17" t="s">
        <v>169</v>
      </c>
      <c r="F116" s="17"/>
      <c r="G116" s="17" t="str">
        <f>+CONCATENATE($C$78,"",$D$115,"",E116)</f>
        <v>22.07.001</v>
      </c>
      <c r="H116" s="1294" t="s">
        <v>65</v>
      </c>
      <c r="I116" s="1147">
        <f>+'P01 2023'!F98</f>
        <v>1740.4159999999999</v>
      </c>
      <c r="J116" s="1139">
        <f>+'P01 2023'!EF103</f>
        <v>9495.4809999999998</v>
      </c>
      <c r="K116" s="1139">
        <f ca="1">SUMIF(T$3:$AN106,"ok",T116:AN116)</f>
        <v>8284.5289999999986</v>
      </c>
      <c r="L116" s="1141">
        <f ca="1">IFERROR(K116/J116,"0.00"%)</f>
        <v>0.87247070474892208</v>
      </c>
      <c r="M116" s="1139">
        <f>+'P01 2023'!EH103</f>
        <v>9495.4809999999998</v>
      </c>
      <c r="N116" s="694">
        <f t="shared" si="50"/>
        <v>1</v>
      </c>
      <c r="O116" s="18">
        <f>+'P01 2023'!EI100</f>
        <v>0</v>
      </c>
      <c r="P116" s="1156">
        <f t="shared" si="57"/>
        <v>0</v>
      </c>
      <c r="Q116" s="1162">
        <f>+'P01 2022'!ES100</f>
        <v>10630</v>
      </c>
      <c r="R116" s="997">
        <f ca="1">SUMIF(T$3:$AN106,"SI",T116:AN116)</f>
        <v>4993.8347469999999</v>
      </c>
      <c r="S116" s="1734">
        <f ca="1">IFERROR(R116/Q116,"0%")</f>
        <v>0.46978690000000001</v>
      </c>
      <c r="T116" s="218">
        <f>+'P01 2023'!I98</f>
        <v>0</v>
      </c>
      <c r="U116" s="1056">
        <f>+'P01 2022'!F90</f>
        <v>738.30771300000004</v>
      </c>
      <c r="V116" s="1147">
        <v>0</v>
      </c>
      <c r="W116" s="1176">
        <f>+'P01 2022'!M71</f>
        <v>1176.8154099999999</v>
      </c>
      <c r="X116" s="546">
        <f>+'P01 2023'!AD87</f>
        <v>639.28499999999997</v>
      </c>
      <c r="Y116" s="1176">
        <f>+'P01 2022'!AB82</f>
        <v>109.338054</v>
      </c>
      <c r="Z116" s="1147">
        <f>+'P01 2023'!AT84</f>
        <v>1450.684</v>
      </c>
      <c r="AA116" s="1176">
        <f>+'P01 2022'!AQ86</f>
        <v>653.14653099999998</v>
      </c>
      <c r="AB116" s="1147">
        <f>+'P01 2023'!BJ71</f>
        <v>2271.3049999999998</v>
      </c>
      <c r="AC116" s="1176">
        <f>+'P01 2022'!BI74</f>
        <v>975.40561099999991</v>
      </c>
      <c r="AD116" s="1147">
        <f>+'P01 2023'!BZ83</f>
        <v>547.08100000000002</v>
      </c>
      <c r="AE116" s="1176">
        <f>+'P01 2022'!CC85</f>
        <v>1125.0239239999999</v>
      </c>
      <c r="AF116" s="1468">
        <f>+'P01 2023'!CP84</f>
        <v>259.66399999999999</v>
      </c>
      <c r="AG116" s="1056">
        <f>+'P01 2022'!CY84</f>
        <v>106.45945</v>
      </c>
      <c r="AH116" s="546">
        <f>+'P01 2023'!DF70</f>
        <v>2234.4209999999998</v>
      </c>
      <c r="AI116" s="1056">
        <v>0</v>
      </c>
      <c r="AJ116" s="18">
        <f>+'P01 2023'!DX88</f>
        <v>882.08900000000006</v>
      </c>
      <c r="AK116" s="18">
        <f>+'P01 2022'!EJ83</f>
        <v>109.338054</v>
      </c>
      <c r="AL116" s="323">
        <f>+'P01 2022'!FC80</f>
        <v>121.80500000000001</v>
      </c>
      <c r="AM116" s="18">
        <f>+'P01 2022'!GA86</f>
        <v>749.77599999999995</v>
      </c>
      <c r="AN116" s="1056">
        <f>+'P01 2022'!GX86</f>
        <v>102.858</v>
      </c>
      <c r="AO116" s="1601"/>
      <c r="AP116" s="1401"/>
      <c r="AQ116" s="1401"/>
      <c r="AR116" s="1401"/>
      <c r="AS116" s="1401"/>
      <c r="AT116" s="1401"/>
      <c r="AU116" s="1401"/>
      <c r="AV116" s="1401"/>
      <c r="AW116" s="1401"/>
      <c r="AX116" s="1401"/>
      <c r="AY116" s="753"/>
      <c r="AZ116" s="1602"/>
      <c r="BA116" s="1398"/>
      <c r="BB116" s="753"/>
      <c r="BC116" s="1610"/>
      <c r="BD116" s="1610"/>
    </row>
    <row r="117" spans="1:56" s="177" customFormat="1" ht="15" hidden="1" customHeight="1" x14ac:dyDescent="0.25">
      <c r="A117" s="175"/>
      <c r="B117" s="1413" t="s">
        <v>399</v>
      </c>
      <c r="C117" s="800"/>
      <c r="D117" s="182"/>
      <c r="E117" s="17" t="s">
        <v>165</v>
      </c>
      <c r="F117" s="17"/>
      <c r="G117" s="17" t="str">
        <f>+CONCATENATE($C$78,"",$D$115,"",E117)</f>
        <v>22.07.002</v>
      </c>
      <c r="H117" s="1294" t="s">
        <v>66</v>
      </c>
      <c r="I117" s="1147">
        <f>+'P01 2023'!F99</f>
        <v>172.55099999999999</v>
      </c>
      <c r="J117" s="1139">
        <f>+'P01 2023'!EF104</f>
        <v>4942.0919999999996</v>
      </c>
      <c r="K117" s="1139">
        <f ca="1">SUMIF(T$3:$AN106,"ok",T117:AN117)</f>
        <v>4492.2719999999999</v>
      </c>
      <c r="L117" s="1141">
        <f ca="1">IFERROR(K117/J117,"0.00"%)</f>
        <v>0.90898186436027506</v>
      </c>
      <c r="M117" s="1139">
        <f>+'P01 2023'!EH104</f>
        <v>4942.0919999999996</v>
      </c>
      <c r="N117" s="694">
        <f t="shared" si="50"/>
        <v>1</v>
      </c>
      <c r="O117" s="18">
        <v>0</v>
      </c>
      <c r="P117" s="1156">
        <f t="shared" si="57"/>
        <v>0</v>
      </c>
      <c r="Q117" s="1162">
        <f>+'P01 2022'!ES101</f>
        <v>2093.3393249999999</v>
      </c>
      <c r="R117" s="997">
        <f ca="1">SUMIF(T$3:$AN107,"SI",T117:AN117)</f>
        <v>2093.3393249999999</v>
      </c>
      <c r="S117" s="1734">
        <f ca="1">IFERROR(R117/Q117,"0%")</f>
        <v>1</v>
      </c>
      <c r="T117" s="218">
        <f>+'P01 2023'!I99</f>
        <v>172.55</v>
      </c>
      <c r="U117" s="1056">
        <f>+'P01 2022'!F91</f>
        <v>22.482449999999996</v>
      </c>
      <c r="V117" s="1147">
        <f>+'P01 2023'!N69</f>
        <v>131.1</v>
      </c>
      <c r="W117" s="1176">
        <v>0</v>
      </c>
      <c r="X117" s="546">
        <f>+'P01 2023'!AD88</f>
        <v>3759.9839999999999</v>
      </c>
      <c r="Y117" s="1176">
        <v>0</v>
      </c>
      <c r="Z117" s="1147">
        <v>0</v>
      </c>
      <c r="AA117" s="1344">
        <v>0</v>
      </c>
      <c r="AB117" s="1346">
        <v>0</v>
      </c>
      <c r="AC117" s="1176">
        <f>+'P01 2022'!BI75</f>
        <v>0</v>
      </c>
      <c r="AD117" s="1147">
        <v>0</v>
      </c>
      <c r="AE117" s="1176">
        <v>0</v>
      </c>
      <c r="AF117" s="1468">
        <f>+'P01 2023'!CP85</f>
        <v>73.066000000000003</v>
      </c>
      <c r="AG117" s="1056">
        <f>+'P01 2022'!CY85</f>
        <v>0</v>
      </c>
      <c r="AH117" s="546">
        <f>+'P01 2023'!DF71</f>
        <v>355.572</v>
      </c>
      <c r="AI117" s="1056">
        <f>+'P01 2022'!DR79</f>
        <v>2020.258075</v>
      </c>
      <c r="AJ117" s="18">
        <f>+'P01 2023'!DX89</f>
        <v>0</v>
      </c>
      <c r="AK117" s="18">
        <f>+'P01 2022'!EJ84</f>
        <v>50.598799999999997</v>
      </c>
      <c r="AL117" s="323">
        <f>+'P01 2022'!FC81</f>
        <v>0</v>
      </c>
      <c r="AM117" s="18">
        <v>0</v>
      </c>
      <c r="AN117" s="1057">
        <v>0</v>
      </c>
      <c r="AO117" s="1601"/>
      <c r="AP117" s="1401"/>
      <c r="AQ117" s="1401"/>
      <c r="AR117" s="1401"/>
      <c r="AS117" s="1401"/>
      <c r="AT117" s="1401"/>
      <c r="AU117" s="1401"/>
      <c r="AV117" s="1401"/>
      <c r="AW117" s="1401"/>
      <c r="AX117" s="1401"/>
      <c r="AY117" s="753"/>
      <c r="AZ117" s="1602"/>
      <c r="BA117" s="1398"/>
      <c r="BB117" s="753"/>
      <c r="BC117" s="1610"/>
      <c r="BD117" s="1610"/>
    </row>
    <row r="118" spans="1:56" s="1024" customFormat="1" ht="15" hidden="1" customHeight="1" x14ac:dyDescent="0.25">
      <c r="A118" s="175"/>
      <c r="B118" s="1413" t="s">
        <v>400</v>
      </c>
      <c r="C118" s="1063"/>
      <c r="D118" s="137" t="s">
        <v>184</v>
      </c>
      <c r="E118" s="137"/>
      <c r="F118" s="137"/>
      <c r="G118" s="137"/>
      <c r="H118" s="1298" t="s">
        <v>67</v>
      </c>
      <c r="I118" s="1148">
        <f>+'P01 2023'!F100</f>
        <v>336456.99099999998</v>
      </c>
      <c r="J118" s="16">
        <f>+'P01 2023'!EF105</f>
        <v>633813.33700000006</v>
      </c>
      <c r="K118" s="16">
        <f ca="1">SUMIF(T$3:$AN107,"ok",T118:AN118)</f>
        <v>326111.29399999999</v>
      </c>
      <c r="L118" s="693">
        <f ca="1">IFERROR(K118/J118,"0.00"%)</f>
        <v>0.51452261251485776</v>
      </c>
      <c r="M118" s="16">
        <f>+'P01 2023'!EH105</f>
        <v>495492.538</v>
      </c>
      <c r="N118" s="693">
        <f t="shared" si="50"/>
        <v>0.78176413949459056</v>
      </c>
      <c r="O118" s="16">
        <f>+'P01 2023'!EI105</f>
        <v>138320.799</v>
      </c>
      <c r="P118" s="1155">
        <f t="shared" si="57"/>
        <v>0.21823586050540933</v>
      </c>
      <c r="Q118" s="1148">
        <f>+'P01 2022'!ES102</f>
        <v>378658.94844299997</v>
      </c>
      <c r="R118" s="219">
        <f ca="1">SUMIF(T$3:$AN110,"SI",T118:AN118)</f>
        <v>249153.47666999995</v>
      </c>
      <c r="S118" s="1146">
        <f ca="1">IFERROR(R118/Q118,"0%")</f>
        <v>0.65798914219375793</v>
      </c>
      <c r="T118" s="218">
        <f>+'P01 2023'!I100</f>
        <v>29763.464</v>
      </c>
      <c r="U118" s="1077">
        <f>SUM(U119:U124)</f>
        <v>11705.399895</v>
      </c>
      <c r="V118" s="1147">
        <f>+'P01 2023'!N70</f>
        <v>18591.753000000001</v>
      </c>
      <c r="W118" s="1184">
        <f>SUM(W119:W124)</f>
        <v>14710.534910999999</v>
      </c>
      <c r="X118" s="1211">
        <f>+'P01 2023'!AD89</f>
        <v>36131.913</v>
      </c>
      <c r="Y118" s="1177">
        <f>SUM(Y119:Y124)</f>
        <v>25873.553938000001</v>
      </c>
      <c r="Z118" s="1163">
        <f>SUM(Z119:Z124)</f>
        <v>34095.476000000002</v>
      </c>
      <c r="AA118" s="1177">
        <f>SUM(AA119:AA124)</f>
        <v>23787.036947000001</v>
      </c>
      <c r="AB118" s="1163">
        <f>SUM(AB119:AB124)</f>
        <v>33133.714</v>
      </c>
      <c r="AC118" s="1177">
        <f>SUM(AC119:AC124)</f>
        <v>24463.996803999999</v>
      </c>
      <c r="AD118" s="1163">
        <f>+'P01 2023'!BZ84</f>
        <v>31858.170999999998</v>
      </c>
      <c r="AE118" s="1177">
        <f>SUM(AE119:AE124)</f>
        <v>25981.547297000001</v>
      </c>
      <c r="AF118" s="1211">
        <f>+'P01 2023'!CP86</f>
        <v>23020.207999999999</v>
      </c>
      <c r="AG118" s="364">
        <f>SUM(AG119:AG124)</f>
        <v>37758.030001999992</v>
      </c>
      <c r="AH118" s="1211">
        <f>+'P01 2023'!DF72</f>
        <v>65652.527000000002</v>
      </c>
      <c r="AI118" s="364">
        <f>SUM(AI119:AI124)</f>
        <v>34834.336731000003</v>
      </c>
      <c r="AJ118" s="1585">
        <f>+'P01 2023'!DX90</f>
        <v>53864.067999999999</v>
      </c>
      <c r="AK118" s="1585">
        <f>SUM(AK119:AK124)</f>
        <v>50039.040144999992</v>
      </c>
      <c r="AL118" s="1052">
        <f>SUM(AL119:AL124)</f>
        <v>40505.15</v>
      </c>
      <c r="AM118" s="1052">
        <f>+'P01 2022'!GA87</f>
        <v>30412.684000000001</v>
      </c>
      <c r="AN118" s="1062">
        <f>+'P01 2022'!GX87</f>
        <v>88215.581000000006</v>
      </c>
      <c r="AO118" s="1601"/>
      <c r="AP118" s="1401"/>
      <c r="AQ118" s="1401"/>
      <c r="AR118" s="1401"/>
      <c r="AS118" s="1401"/>
      <c r="AT118" s="1401"/>
      <c r="AU118" s="1401"/>
      <c r="AV118" s="1401"/>
      <c r="AW118" s="1401"/>
      <c r="AX118" s="1401"/>
      <c r="AY118" s="753"/>
      <c r="AZ118" s="1602"/>
      <c r="BA118" s="1398"/>
      <c r="BB118" s="753"/>
      <c r="BC118" s="1610"/>
      <c r="BD118" s="1610"/>
    </row>
    <row r="119" spans="1:56" s="177" customFormat="1" ht="15" hidden="1" customHeight="1" x14ac:dyDescent="0.25">
      <c r="A119" s="175"/>
      <c r="B119" s="1413" t="s">
        <v>401</v>
      </c>
      <c r="C119" s="800"/>
      <c r="D119" s="182"/>
      <c r="E119" s="17" t="s">
        <v>169</v>
      </c>
      <c r="F119" s="17"/>
      <c r="G119" s="17" t="str">
        <f t="shared" ref="G119:G124" si="58">+CONCATENATE($C$78,"",$D$118,"",E119)</f>
        <v>22.08.001</v>
      </c>
      <c r="H119" s="1294" t="s">
        <v>68</v>
      </c>
      <c r="I119" s="1147">
        <f>+'P01 2023'!F101</f>
        <v>100114.352</v>
      </c>
      <c r="J119" s="1139">
        <f>+'P01 2023'!EF106</f>
        <v>99099.048999999999</v>
      </c>
      <c r="K119" s="1139">
        <f ca="1">SUMIF(T$3:$AN108,"ok",T119:AN119)</f>
        <v>63593.488000000012</v>
      </c>
      <c r="L119" s="1141">
        <f ca="1">IFERROR(K119/J119,"0.00"%)</f>
        <v>0.64171643059864292</v>
      </c>
      <c r="M119" s="1139">
        <f>+'P01 2023'!EH106</f>
        <v>93665.349000000002</v>
      </c>
      <c r="N119" s="1470">
        <f t="shared" si="50"/>
        <v>0.94516899955316425</v>
      </c>
      <c r="O119" s="1139">
        <f>+'P01 2023'!EI106</f>
        <v>5433.7</v>
      </c>
      <c r="P119" s="1156">
        <f t="shared" si="57"/>
        <v>5.4831000446835768E-2</v>
      </c>
      <c r="Q119" s="1162">
        <f>+'P01 2022'!ES103</f>
        <v>97230.432975999996</v>
      </c>
      <c r="R119" s="997">
        <f ca="1">SUMIF(T$3:$AN112,"SI",T119:AN119)</f>
        <v>60666.394337999998</v>
      </c>
      <c r="S119" s="1734">
        <f ca="1">IFERROR(R119/Q119,"0%")</f>
        <v>0.62394450462824402</v>
      </c>
      <c r="T119" s="218">
        <f>+'P01 2023'!I101</f>
        <v>3800.4059999999999</v>
      </c>
      <c r="U119" s="1056">
        <f>+'P01 2022'!F93</f>
        <v>3911.6082660000002</v>
      </c>
      <c r="V119" s="1147">
        <f>+'P01 2023'!N71</f>
        <v>6957.2830000000004</v>
      </c>
      <c r="W119" s="1176">
        <f>+'P01 2022'!M74</f>
        <v>7075.3290630000001</v>
      </c>
      <c r="X119" s="546">
        <f>+'P01 2023'!AD90</f>
        <v>8761.982</v>
      </c>
      <c r="Y119" s="1176">
        <f>+'P01 2022'!AB85</f>
        <v>8547.3778409999995</v>
      </c>
      <c r="Z119" s="1147">
        <f>+'P01 2023'!AT86</f>
        <v>7553.683</v>
      </c>
      <c r="AA119" s="1176">
        <f>+'P01 2022'!AQ88</f>
        <v>7443.2737569999999</v>
      </c>
      <c r="AB119" s="1147">
        <f>+'P01 2023'!BJ73</f>
        <v>7867.7629999999999</v>
      </c>
      <c r="AC119" s="1176">
        <f>+'P01 2022'!BI77</f>
        <v>4880.1872910000002</v>
      </c>
      <c r="AD119" s="1147">
        <f>+'P01 2023'!BZ85</f>
        <v>7606.33</v>
      </c>
      <c r="AE119" s="1176">
        <f>+'P01 2022'!CC87</f>
        <v>8391.348575</v>
      </c>
      <c r="AF119" s="1468">
        <f>+'P01 2023'!CP87</f>
        <v>6225.0780000000004</v>
      </c>
      <c r="AG119" s="1056">
        <f>+'P01 2022'!CY87</f>
        <v>7333.6593229999989</v>
      </c>
      <c r="AH119" s="546">
        <f>+'P01 2023'!DF73</f>
        <v>6808.8789999999999</v>
      </c>
      <c r="AI119" s="1056">
        <f>+'P01 2022'!DR81</f>
        <v>5541.3286449999996</v>
      </c>
      <c r="AJ119" s="18">
        <f>+'P01 2023'!DX91</f>
        <v>8012.0839999999998</v>
      </c>
      <c r="AK119" s="18">
        <f>+'P01 2022'!EJ86</f>
        <v>7542.2815769999997</v>
      </c>
      <c r="AL119" s="323">
        <f>+'P01 2022'!FC83</f>
        <v>8630.4490000000005</v>
      </c>
      <c r="AM119" s="18">
        <f>+'P01 2022'!GA88</f>
        <v>4703.8950000000004</v>
      </c>
      <c r="AN119" s="1056">
        <f>+'P01 2022'!GX88</f>
        <v>7769.3609999999999</v>
      </c>
      <c r="AO119" s="1601"/>
      <c r="AP119" s="1401"/>
      <c r="AQ119" s="1401"/>
      <c r="AR119" s="1401"/>
      <c r="AS119" s="1401"/>
      <c r="AT119" s="1401"/>
      <c r="AU119" s="1401"/>
      <c r="AV119" s="1401"/>
      <c r="AW119" s="1401"/>
      <c r="AX119" s="1401"/>
      <c r="AY119" s="753"/>
      <c r="AZ119" s="1602"/>
      <c r="BA119" s="1398"/>
      <c r="BB119" s="753"/>
      <c r="BC119" s="1610"/>
      <c r="BD119" s="1610"/>
    </row>
    <row r="120" spans="1:56" s="177" customFormat="1" ht="15" hidden="1" customHeight="1" x14ac:dyDescent="0.25">
      <c r="A120" s="175"/>
      <c r="B120" s="1413" t="s">
        <v>493</v>
      </c>
      <c r="C120" s="800"/>
      <c r="D120" s="182"/>
      <c r="E120" s="17" t="s">
        <v>165</v>
      </c>
      <c r="F120" s="17"/>
      <c r="G120" s="17" t="str">
        <f t="shared" si="58"/>
        <v>22.08.002</v>
      </c>
      <c r="H120" s="1294" t="s">
        <v>69</v>
      </c>
      <c r="I120" s="1147">
        <f>+'P01 2023'!F102</f>
        <v>12000</v>
      </c>
      <c r="J120" s="1139">
        <f>+'P01 2023'!EF107</f>
        <v>24686.596000000001</v>
      </c>
      <c r="K120" s="1139">
        <f ca="1">SUMIF(T$3:$AN112,"ok",T120:AN120)</f>
        <v>0</v>
      </c>
      <c r="L120" s="1141">
        <v>0</v>
      </c>
      <c r="M120" s="1139">
        <f>+'P01 2023'!EH107</f>
        <v>0</v>
      </c>
      <c r="N120" s="1470">
        <f t="shared" si="50"/>
        <v>0</v>
      </c>
      <c r="O120" s="1139">
        <f>+'P01 2023'!EI107</f>
        <v>24686.596000000001</v>
      </c>
      <c r="P120" s="1156">
        <f t="shared" si="57"/>
        <v>1</v>
      </c>
      <c r="Q120" s="1162">
        <v>0</v>
      </c>
      <c r="R120" s="997">
        <f ca="1">SUMIF(T$3:$AN113,"SI",T120:AN120)</f>
        <v>0</v>
      </c>
      <c r="S120" s="1734" t="str">
        <f ca="1">IFERROR(R120/Q120,"0,00%")</f>
        <v>0,00%</v>
      </c>
      <c r="T120" s="218">
        <f>+'P01 2023'!I102</f>
        <v>0</v>
      </c>
      <c r="U120" s="1056">
        <v>0</v>
      </c>
      <c r="V120" s="1147">
        <f>+'P01 2023'!N72</f>
        <v>0</v>
      </c>
      <c r="W120" s="1176">
        <v>0</v>
      </c>
      <c r="X120" s="546">
        <f>+'P01 2023'!AD91</f>
        <v>0</v>
      </c>
      <c r="Y120" s="1176">
        <v>0</v>
      </c>
      <c r="Z120" s="1147">
        <f>+'P01 2023'!AT87</f>
        <v>0</v>
      </c>
      <c r="AA120" s="1344">
        <v>0</v>
      </c>
      <c r="AB120" s="1147">
        <v>0</v>
      </c>
      <c r="AC120" s="1176">
        <v>0</v>
      </c>
      <c r="AD120" s="1147">
        <v>0</v>
      </c>
      <c r="AE120" s="1176">
        <v>0</v>
      </c>
      <c r="AF120" s="1468">
        <v>0</v>
      </c>
      <c r="AG120" s="1056">
        <v>0</v>
      </c>
      <c r="AH120" s="546">
        <v>0</v>
      </c>
      <c r="AI120" s="1056">
        <v>0</v>
      </c>
      <c r="AJ120" s="18">
        <f>+'P01 2023'!DX92</f>
        <v>0</v>
      </c>
      <c r="AK120" s="18">
        <v>0</v>
      </c>
      <c r="AL120" s="185">
        <v>0</v>
      </c>
      <c r="AM120" s="18">
        <v>0</v>
      </c>
      <c r="AN120" s="1057">
        <v>0</v>
      </c>
      <c r="AO120" s="1601"/>
      <c r="AP120" s="1401"/>
      <c r="AQ120" s="1401"/>
      <c r="AR120" s="1401"/>
      <c r="AS120" s="1401"/>
      <c r="AT120" s="1401"/>
      <c r="AU120" s="1401"/>
      <c r="AV120" s="1401"/>
      <c r="AW120" s="1401"/>
      <c r="AX120" s="1401"/>
      <c r="AY120" s="753"/>
      <c r="AZ120" s="1602"/>
      <c r="BA120" s="1398"/>
      <c r="BB120" s="753"/>
      <c r="BC120" s="1610"/>
      <c r="BD120" s="1610"/>
    </row>
    <row r="121" spans="1:56" s="177" customFormat="1" ht="15" hidden="1" customHeight="1" x14ac:dyDescent="0.25">
      <c r="A121" s="175"/>
      <c r="B121" s="1413" t="s">
        <v>601</v>
      </c>
      <c r="C121" s="800"/>
      <c r="D121" s="182"/>
      <c r="E121" s="17" t="s">
        <v>170</v>
      </c>
      <c r="F121" s="17"/>
      <c r="G121" s="17" t="str">
        <f t="shared" si="58"/>
        <v>22.08.007</v>
      </c>
      <c r="H121" s="1294" t="s">
        <v>113</v>
      </c>
      <c r="I121" s="1147">
        <f>+'P01 2023'!F104</f>
        <v>159210.45800000001</v>
      </c>
      <c r="J121" s="1139">
        <f>+'P01 2023'!EF109</f>
        <v>165641.416</v>
      </c>
      <c r="K121" s="1139">
        <f ca="1">SUMIF(T$3:$AN114,"ok",T121:AN121)</f>
        <v>111301.999</v>
      </c>
      <c r="L121" s="1141">
        <f t="shared" ref="L121:L131" ca="1" si="59">IFERROR(K121/J121,"0.00"%)</f>
        <v>0.67194546924182297</v>
      </c>
      <c r="M121" s="1139">
        <f>+'P01 2023'!EH109</f>
        <v>138363.21299999999</v>
      </c>
      <c r="N121" s="1470">
        <f t="shared" ref="N121:N144" si="60">+IFERROR(M121/J121,0)</f>
        <v>0.8353177384090944</v>
      </c>
      <c r="O121" s="1139">
        <f>+'P01 2023'!EI109</f>
        <v>27278.203000000001</v>
      </c>
      <c r="P121" s="1156">
        <f t="shared" si="57"/>
        <v>0.16468226159090552</v>
      </c>
      <c r="Q121" s="1162">
        <f>+'P01 2022'!ES104</f>
        <v>116542.95957399999</v>
      </c>
      <c r="R121" s="997">
        <f ca="1">SUMIF(T$3:$AN114,"SI",T121:AN121)</f>
        <v>91991.173851999993</v>
      </c>
      <c r="S121" s="1734">
        <f t="shared" ref="S121:S131" ca="1" si="61">IFERROR(R121/Q121,"0%")</f>
        <v>0.78933274209146354</v>
      </c>
      <c r="T121" s="218">
        <f>+'P01 2023'!I104</f>
        <v>18610.263999999999</v>
      </c>
      <c r="U121" s="1056">
        <f>+'P01 2022'!F94</f>
        <v>4089.2366289999995</v>
      </c>
      <c r="V121" s="1147">
        <f>+'P01 2023'!N73</f>
        <v>7601.5690000000004</v>
      </c>
      <c r="W121" s="1176">
        <f>+'P01 2022'!M75</f>
        <v>3747.1122049999994</v>
      </c>
      <c r="X121" s="546">
        <f>+'P01 2023'!AD92</f>
        <v>15047.941000000001</v>
      </c>
      <c r="Y121" s="1176">
        <f>+'P01 2022'!AB86</f>
        <v>10257.226096999999</v>
      </c>
      <c r="Z121" s="1147">
        <f>+'P01 2023'!AT88</f>
        <v>14540.784</v>
      </c>
      <c r="AA121" s="1176">
        <f>+'P01 2022'!AQ89</f>
        <v>6012.0633129999997</v>
      </c>
      <c r="AB121" s="1147">
        <f>+'P01 2023'!BJ74</f>
        <v>17955.712</v>
      </c>
      <c r="AC121" s="1176">
        <f>+'P01 2022'!BI78</f>
        <v>12766.498188</v>
      </c>
      <c r="AD121" s="1147">
        <f>+'P01 2023'!BZ86</f>
        <v>10036.233</v>
      </c>
      <c r="AE121" s="1176">
        <f>+'P01 2022'!CC88</f>
        <v>12910.234921999998</v>
      </c>
      <c r="AF121" s="1468">
        <f>+'P01 2023'!CP88</f>
        <v>10306.098</v>
      </c>
      <c r="AG121" s="1056">
        <f>+'P01 2022'!CY88</f>
        <v>15995.240569</v>
      </c>
      <c r="AH121" s="546">
        <f>+'P01 2023'!DF75</f>
        <v>11509.001</v>
      </c>
      <c r="AI121" s="1056">
        <f>+'P01 2022'!DR82</f>
        <v>14071.220136</v>
      </c>
      <c r="AJ121" s="18">
        <f>+'P01 2023'!DX93</f>
        <v>5694.3969999999999</v>
      </c>
      <c r="AK121" s="18">
        <f>+'P01 2022'!EJ87</f>
        <v>12142.341792999998</v>
      </c>
      <c r="AL121" s="323">
        <f>+'P01 2022'!FC84</f>
        <v>19991.321</v>
      </c>
      <c r="AM121" s="18">
        <f>+'P01 2022'!GA89</f>
        <v>14097.800999999999</v>
      </c>
      <c r="AN121" s="1056">
        <f>+'P01 2022'!GX89</f>
        <v>30029.928</v>
      </c>
      <c r="AO121" s="1601"/>
      <c r="AP121" s="1401"/>
      <c r="AQ121" s="1401"/>
      <c r="AR121" s="1401"/>
      <c r="AS121" s="1401"/>
      <c r="AT121" s="1401"/>
      <c r="AU121" s="1401"/>
      <c r="AV121" s="1401"/>
      <c r="AW121" s="1401"/>
      <c r="AX121" s="1401"/>
      <c r="AY121" s="753"/>
      <c r="AZ121" s="1602"/>
      <c r="BA121" s="1398"/>
      <c r="BB121" s="753"/>
      <c r="BC121" s="1610"/>
      <c r="BD121" s="1610"/>
    </row>
    <row r="122" spans="1:56" s="177" customFormat="1" ht="15" hidden="1" customHeight="1" x14ac:dyDescent="0.25">
      <c r="A122" s="175"/>
      <c r="B122" s="1413" t="s">
        <v>602</v>
      </c>
      <c r="C122" s="800"/>
      <c r="D122" s="182"/>
      <c r="E122" s="17" t="s">
        <v>171</v>
      </c>
      <c r="F122" s="17"/>
      <c r="G122" s="17" t="str">
        <f t="shared" si="58"/>
        <v>22.08.008</v>
      </c>
      <c r="H122" s="1294" t="s">
        <v>114</v>
      </c>
      <c r="I122" s="1147">
        <f>+'P01 2023'!F105</f>
        <v>56104.597000000002</v>
      </c>
      <c r="J122" s="1139">
        <f>+'P01 2023'!EF110</f>
        <v>74324.875</v>
      </c>
      <c r="K122" s="1139">
        <f ca="1">SUMIF(T$3:$AN115,"ok",T122:AN122)</f>
        <v>48053.701000000001</v>
      </c>
      <c r="L122" s="1141">
        <f t="shared" ca="1" si="59"/>
        <v>0.64653591412027267</v>
      </c>
      <c r="M122" s="1139">
        <f>+'P01 2023'!EH110</f>
        <v>72534.875</v>
      </c>
      <c r="N122" s="1470">
        <f t="shared" si="60"/>
        <v>0.9759165420728928</v>
      </c>
      <c r="O122" s="1139">
        <f>+'P01 2023'!EI110</f>
        <v>1790</v>
      </c>
      <c r="P122" s="1156">
        <f t="shared" si="57"/>
        <v>2.4083457927107175E-2</v>
      </c>
      <c r="Q122" s="1162">
        <f>+'P01 2022'!ES105</f>
        <v>66456.909316999998</v>
      </c>
      <c r="R122" s="997">
        <f ca="1">SUMIF(T$3:$AN115,"SI",T122:AN122)</f>
        <v>46036.678253999999</v>
      </c>
      <c r="S122" s="1734">
        <f t="shared" ca="1" si="61"/>
        <v>0.69272975115957725</v>
      </c>
      <c r="T122" s="218">
        <f>+'P01 2023'!I105</f>
        <v>2440</v>
      </c>
      <c r="U122" s="1056">
        <f>+'P01 2022'!F95</f>
        <v>3512.152</v>
      </c>
      <c r="V122" s="1147">
        <f>+'P01 2023'!N74</f>
        <v>2494</v>
      </c>
      <c r="W122" s="1176">
        <f>+'P01 2022'!M76</f>
        <v>1204.3789999999999</v>
      </c>
      <c r="X122" s="546">
        <f>+'P01 2023'!AD93</f>
        <v>6091.5</v>
      </c>
      <c r="Y122" s="1176">
        <f>+'P01 2022'!AB87</f>
        <v>5424.4889999999996</v>
      </c>
      <c r="Z122" s="1147">
        <f>+'P01 2023'!AT89</f>
        <v>6809</v>
      </c>
      <c r="AA122" s="1176">
        <f>+'P01 2022'!AQ90</f>
        <v>9382.0379999999986</v>
      </c>
      <c r="AB122" s="1147">
        <f>+'P01 2023'!BJ75</f>
        <v>6266.49</v>
      </c>
      <c r="AC122" s="1176">
        <f>+'P01 2022'!BI79</f>
        <v>5080.7764539999998</v>
      </c>
      <c r="AD122" s="1147">
        <f>+'P01 2023'!BZ87</f>
        <v>7413.7110000000002</v>
      </c>
      <c r="AE122" s="1176">
        <f>+'P01 2022'!CC89</f>
        <v>2656.0117999999998</v>
      </c>
      <c r="AF122" s="1468">
        <f>+'P01 2023'!CP89</f>
        <v>4427</v>
      </c>
      <c r="AG122" s="1056">
        <f>+'P01 2022'!CY89</f>
        <v>9542.5509999999995</v>
      </c>
      <c r="AH122" s="546">
        <f>+'P01 2023'!DF76</f>
        <v>5910</v>
      </c>
      <c r="AI122" s="1056">
        <f>+'P01 2022'!DR83</f>
        <v>4897.241</v>
      </c>
      <c r="AJ122" s="18">
        <f>+'P01 2023'!DX94</f>
        <v>6202</v>
      </c>
      <c r="AK122" s="18">
        <f>+'P01 2022'!EJ88</f>
        <v>4337.04</v>
      </c>
      <c r="AL122" s="323">
        <f>+'P01 2022'!FC85</f>
        <v>3526</v>
      </c>
      <c r="AM122" s="18">
        <f>+'P01 2022'!GA90</f>
        <v>7328</v>
      </c>
      <c r="AN122" s="1056">
        <f>+'P01 2022'!GX90</f>
        <v>8932</v>
      </c>
      <c r="AO122" s="1601"/>
      <c r="AP122" s="1401"/>
      <c r="AQ122" s="1401"/>
      <c r="AR122" s="1401"/>
      <c r="AS122" s="1401"/>
      <c r="AT122" s="1401"/>
      <c r="AU122" s="1401"/>
      <c r="AV122" s="1401"/>
      <c r="AW122" s="1401"/>
      <c r="AX122" s="1401"/>
      <c r="AY122" s="753"/>
      <c r="AZ122" s="1602"/>
      <c r="BA122" s="1398"/>
      <c r="BB122" s="753"/>
      <c r="BC122" s="1610"/>
      <c r="BD122" s="1610"/>
    </row>
    <row r="123" spans="1:56" s="177" customFormat="1" ht="15" hidden="1" customHeight="1" x14ac:dyDescent="0.25">
      <c r="A123" s="175"/>
      <c r="B123" s="1413" t="s">
        <v>603</v>
      </c>
      <c r="C123" s="800"/>
      <c r="D123" s="182"/>
      <c r="E123" s="17" t="s">
        <v>173</v>
      </c>
      <c r="F123" s="17"/>
      <c r="G123" s="17" t="str">
        <f t="shared" si="58"/>
        <v>22.08.010</v>
      </c>
      <c r="H123" s="1294" t="s">
        <v>70</v>
      </c>
      <c r="I123" s="1147">
        <f>+'P01 2023'!F106</f>
        <v>3300</v>
      </c>
      <c r="J123" s="1139">
        <f>+'P01 2023'!EF111</f>
        <v>2580.3589999999999</v>
      </c>
      <c r="K123" s="1139">
        <f ca="1">SUMIF(T$3:$AN116,"ok",T123:AN123)</f>
        <v>2580.3589999999995</v>
      </c>
      <c r="L123" s="1141">
        <f t="shared" ca="1" si="59"/>
        <v>0.99999999999999978</v>
      </c>
      <c r="M123" s="1139">
        <f>+'P01 2023'!EH111</f>
        <v>2580.3589999999999</v>
      </c>
      <c r="N123" s="1470">
        <f t="shared" si="60"/>
        <v>1</v>
      </c>
      <c r="O123" s="1139">
        <f>+'P01 2023'!EI111</f>
        <v>0</v>
      </c>
      <c r="P123" s="1156">
        <f t="shared" si="57"/>
        <v>0</v>
      </c>
      <c r="Q123" s="1162">
        <f>+'P01 2022'!ES106</f>
        <v>2792.6774580000001</v>
      </c>
      <c r="R123" s="997">
        <f ca="1">SUMIF(T$3:$AN116,"SI",T123:AN123)</f>
        <v>2792.6774580000001</v>
      </c>
      <c r="S123" s="1734">
        <f t="shared" ca="1" si="61"/>
        <v>1</v>
      </c>
      <c r="T123" s="218">
        <f>+'P01 2023'!I106</f>
        <v>685.21199999999999</v>
      </c>
      <c r="U123" s="1056">
        <f>+'P01 2022'!F96</f>
        <v>192.40299999999999</v>
      </c>
      <c r="V123" s="1147">
        <f>+'P01 2023'!N75</f>
        <v>765.40099999999995</v>
      </c>
      <c r="W123" s="1176">
        <f>+'P01 2022'!M77</f>
        <v>1861.4841429999999</v>
      </c>
      <c r="X123" s="546">
        <f>+'P01 2023'!AD94</f>
        <v>311.64</v>
      </c>
      <c r="Y123" s="1176">
        <f>+'P01 2022'!AB88</f>
        <v>0</v>
      </c>
      <c r="Z123" s="1147">
        <f>+'P01 2023'!AT90</f>
        <v>609.02099999999996</v>
      </c>
      <c r="AA123" s="1176">
        <f>+'P01 2022'!AQ91</f>
        <v>127.431377</v>
      </c>
      <c r="AB123" s="1147">
        <v>0</v>
      </c>
      <c r="AC123" s="1176">
        <f>+'P01 2022'!BI80</f>
        <v>534.81337099999996</v>
      </c>
      <c r="AD123" s="1147">
        <v>0</v>
      </c>
      <c r="AE123" s="1176">
        <f>+'P01 2022'!CC90</f>
        <v>0</v>
      </c>
      <c r="AF123" s="1468">
        <v>0</v>
      </c>
      <c r="AG123" s="1056">
        <v>0</v>
      </c>
      <c r="AH123" s="546">
        <v>0</v>
      </c>
      <c r="AI123" s="1056">
        <f>+'P01 2022'!DR84</f>
        <v>76.545566999999991</v>
      </c>
      <c r="AJ123" s="18">
        <f>+'P01 2023'!DX95</f>
        <v>209.08500000000001</v>
      </c>
      <c r="AK123" s="18">
        <f>+'P01 2022'!EJ89</f>
        <v>0</v>
      </c>
      <c r="AL123" s="185">
        <v>0</v>
      </c>
      <c r="AM123" s="18">
        <v>0</v>
      </c>
      <c r="AN123" s="1057">
        <v>0</v>
      </c>
      <c r="AO123" s="1601"/>
      <c r="AP123" s="1401"/>
      <c r="AQ123" s="1401"/>
      <c r="AR123" s="1401"/>
      <c r="AS123" s="1401"/>
      <c r="AT123" s="1401"/>
      <c r="AU123" s="1401"/>
      <c r="AV123" s="1401"/>
      <c r="AW123" s="1401"/>
      <c r="AX123" s="1401"/>
      <c r="AY123" s="753"/>
      <c r="AZ123" s="1602"/>
      <c r="BA123" s="1398"/>
      <c r="BB123" s="753"/>
      <c r="BC123" s="1610"/>
      <c r="BD123" s="1610"/>
    </row>
    <row r="124" spans="1:56" s="177" customFormat="1" ht="15" hidden="1" customHeight="1" x14ac:dyDescent="0.25">
      <c r="A124" s="175"/>
      <c r="B124" s="1413" t="s">
        <v>402</v>
      </c>
      <c r="C124" s="800"/>
      <c r="D124" s="182"/>
      <c r="E124" s="17" t="s">
        <v>177</v>
      </c>
      <c r="F124" s="17"/>
      <c r="G124" s="17" t="str">
        <f t="shared" si="58"/>
        <v>22.08.999</v>
      </c>
      <c r="H124" s="1294" t="s">
        <v>109</v>
      </c>
      <c r="I124" s="1147">
        <f>+'P01 2023'!F107</f>
        <v>5727.5839999999998</v>
      </c>
      <c r="J124" s="1139">
        <f>+'P01 2023'!EF112</f>
        <v>267481.04200000002</v>
      </c>
      <c r="K124" s="1139">
        <f ca="1">SUMIF(T$3:$AN117,"ok",T124:AN124)</f>
        <v>100581.747</v>
      </c>
      <c r="L124" s="1141">
        <f t="shared" ca="1" si="59"/>
        <v>0.37603318069921382</v>
      </c>
      <c r="M124" s="1139">
        <f>+'P01 2023'!EH112</f>
        <v>188348.742</v>
      </c>
      <c r="N124" s="1470">
        <f t="shared" si="60"/>
        <v>0.7041573510843433</v>
      </c>
      <c r="O124" s="1139">
        <f>+'P01 2023'!EI112</f>
        <v>79132.3</v>
      </c>
      <c r="P124" s="1156">
        <f t="shared" si="57"/>
        <v>0.29584264891565659</v>
      </c>
      <c r="Q124" s="1162">
        <f>+'P01 2022'!ES107</f>
        <v>95635.969117999994</v>
      </c>
      <c r="R124" s="997">
        <f ca="1">SUMIF(T$3:$AN117,"SI",T124:AN124)</f>
        <v>47666.552767999994</v>
      </c>
      <c r="S124" s="1734">
        <f t="shared" ca="1" si="61"/>
        <v>0.49841658120478544</v>
      </c>
      <c r="T124" s="218">
        <f>+'P01 2023'!I107</f>
        <v>4227.5820000000003</v>
      </c>
      <c r="U124" s="1056">
        <v>0</v>
      </c>
      <c r="V124" s="1147">
        <f>+'P01 2023'!N76</f>
        <v>773.5</v>
      </c>
      <c r="W124" s="1176">
        <f>+'P01 2022'!M78</f>
        <v>822.23050000000001</v>
      </c>
      <c r="X124" s="546">
        <f>+'P01 2023'!AD95</f>
        <v>5918.85</v>
      </c>
      <c r="Y124" s="1176">
        <f>+'P01 2022'!AB89</f>
        <v>1644.461</v>
      </c>
      <c r="Z124" s="1147">
        <f>+'P01 2023'!AT91</f>
        <v>4582.9880000000003</v>
      </c>
      <c r="AA124" s="1176">
        <f>+'P01 2022'!AQ92</f>
        <v>822.23050000000001</v>
      </c>
      <c r="AB124" s="1147">
        <f>+'P01 2023'!BJ76</f>
        <v>1043.749</v>
      </c>
      <c r="AC124" s="1176">
        <f>+'P01 2022'!BI81</f>
        <v>1201.7214999999999</v>
      </c>
      <c r="AD124" s="1147">
        <f>+'P01 2023'!BZ89</f>
        <v>6801.8969999999999</v>
      </c>
      <c r="AE124" s="1176">
        <f>+'P01 2022'!CC91</f>
        <v>2023.952</v>
      </c>
      <c r="AF124" s="1468">
        <f>+'P01 2023'!CP90</f>
        <v>2062.0320000000002</v>
      </c>
      <c r="AG124" s="1056">
        <f>+'P01 2022'!CY90</f>
        <v>4886.5791099999997</v>
      </c>
      <c r="AH124" s="546">
        <f>+'P01 2023'!DF77</f>
        <v>41424.646999999997</v>
      </c>
      <c r="AI124" s="1056">
        <f>+'P01 2022'!DR85</f>
        <v>10248.001382999999</v>
      </c>
      <c r="AJ124" s="18">
        <f>+'P01 2023'!DX96</f>
        <v>33746.502</v>
      </c>
      <c r="AK124" s="18">
        <f>+'P01 2022'!EJ90</f>
        <v>26017.376774999997</v>
      </c>
      <c r="AL124" s="323">
        <f>+'P01 2022'!FC86</f>
        <v>8357.3799999999992</v>
      </c>
      <c r="AM124" s="18">
        <f>+'P01 2022'!GA91</f>
        <v>4282.9880000000003</v>
      </c>
      <c r="AN124" s="1056">
        <f>+'P01 2022'!GX91</f>
        <v>41484.292000000001</v>
      </c>
      <c r="AO124" s="1601"/>
      <c r="AP124" s="1401"/>
      <c r="AQ124" s="1401"/>
      <c r="AR124" s="1401"/>
      <c r="AS124" s="1401"/>
      <c r="AT124" s="1401"/>
      <c r="AU124" s="1401"/>
      <c r="AV124" s="1401"/>
      <c r="AW124" s="1401"/>
      <c r="AX124" s="1401"/>
      <c r="AY124" s="753"/>
      <c r="AZ124" s="1602"/>
      <c r="BA124" s="1398"/>
      <c r="BB124" s="753"/>
      <c r="BC124" s="1610"/>
      <c r="BD124" s="1610"/>
    </row>
    <row r="125" spans="1:56" s="1024" customFormat="1" ht="15" hidden="1" customHeight="1" x14ac:dyDescent="0.25">
      <c r="A125" s="175"/>
      <c r="B125" s="1413" t="s">
        <v>403</v>
      </c>
      <c r="C125" s="801"/>
      <c r="D125" s="184" t="s">
        <v>185</v>
      </c>
      <c r="E125" s="137"/>
      <c r="F125" s="137"/>
      <c r="G125" s="137"/>
      <c r="H125" s="1298" t="s">
        <v>115</v>
      </c>
      <c r="I125" s="1148">
        <f>+'P01 2023'!F108</f>
        <v>791977.56799999997</v>
      </c>
      <c r="J125" s="16">
        <f>+'P01 2023'!EF113</f>
        <v>883897.52899999998</v>
      </c>
      <c r="K125" s="16">
        <f ca="1">SUM(K126:K129)</f>
        <v>777232.57200000004</v>
      </c>
      <c r="L125" s="693">
        <f t="shared" ca="1" si="59"/>
        <v>0.87932429552023339</v>
      </c>
      <c r="M125" s="16">
        <f>+'P01 2023'!EH113</f>
        <v>876397.52899999998</v>
      </c>
      <c r="N125" s="693">
        <f t="shared" si="60"/>
        <v>0.99151485352777813</v>
      </c>
      <c r="O125" s="16">
        <f>+'P01 2023'!EI113</f>
        <v>7500</v>
      </c>
      <c r="P125" s="691">
        <f t="shared" si="57"/>
        <v>8.4851464722218942E-3</v>
      </c>
      <c r="Q125" s="1148">
        <f>+'P01 2022'!ES108</f>
        <v>716607.06229499995</v>
      </c>
      <c r="R125" s="16">
        <f ca="1">SUMIF(T$3:$AN118,"SI",T125:AN125)</f>
        <v>545924.30302699993</v>
      </c>
      <c r="S125" s="1290">
        <f t="shared" ca="1" si="61"/>
        <v>0.76181820100771436</v>
      </c>
      <c r="T125" s="219">
        <f>+'P01 2023'!I108</f>
        <v>63647.631000000001</v>
      </c>
      <c r="U125" s="1071">
        <f>SUM(U126:U129)</f>
        <v>10253.626778999998</v>
      </c>
      <c r="V125" s="1148">
        <f>+'P01 2023'!N77</f>
        <v>21363.163</v>
      </c>
      <c r="W125" s="1177">
        <f>SUM(W126:W129)</f>
        <v>22553.085286999998</v>
      </c>
      <c r="X125" s="1211">
        <f>+'P01 2023'!AD96</f>
        <v>103853.19</v>
      </c>
      <c r="Y125" s="1177">
        <f>SUM(Y126:Y129)</f>
        <v>34538.122213999995</v>
      </c>
      <c r="Z125" s="1163">
        <f>SUM(Z126:Z129)</f>
        <v>70709.307000000001</v>
      </c>
      <c r="AA125" s="1177">
        <f>SUM(AA126:AA129)</f>
        <v>113732.45241700001</v>
      </c>
      <c r="AB125" s="1163">
        <f>SUM(AB126:AB129)</f>
        <v>69677.483000000007</v>
      </c>
      <c r="AC125" s="1177">
        <f>SUM(AC126:AC129)</f>
        <v>57473.117888999994</v>
      </c>
      <c r="AD125" s="1163">
        <f>+'P01 2023'!BZ90</f>
        <v>27384.335999999999</v>
      </c>
      <c r="AE125" s="1177">
        <f>SUM(AE126:AE129)</f>
        <v>24663.340130999997</v>
      </c>
      <c r="AF125" s="1219">
        <f>+'P01 2023'!CP91</f>
        <v>97271.547000000006</v>
      </c>
      <c r="AG125" s="364">
        <f>SUM(AG126:AG129)</f>
        <v>136710.497466</v>
      </c>
      <c r="AH125" s="1211">
        <f>+'P01 2023'!DF78</f>
        <v>80904.206000000006</v>
      </c>
      <c r="AI125" s="364">
        <f>SUM(AI126:AI129)</f>
        <v>58523.413975999989</v>
      </c>
      <c r="AJ125" s="1585">
        <f>+'P01 2023'!DX97</f>
        <v>242421.709</v>
      </c>
      <c r="AK125" s="3">
        <f>SUM(AK126:AK129)</f>
        <v>87476.646867999996</v>
      </c>
      <c r="AL125" s="3">
        <f>SUM(AL126:AL129)</f>
        <v>46881.436999999998</v>
      </c>
      <c r="AM125" s="3">
        <f>+'P01 2022'!GA92</f>
        <v>61890.002999999997</v>
      </c>
      <c r="AN125" s="364">
        <f>+'P01 2022'!GX92</f>
        <v>96322.558999999994</v>
      </c>
      <c r="AO125" s="1601"/>
      <c r="AP125" s="1401"/>
      <c r="AQ125" s="1401"/>
      <c r="AR125" s="1401"/>
      <c r="AS125" s="1401"/>
      <c r="AT125" s="1401"/>
      <c r="AU125" s="1401"/>
      <c r="AV125" s="1401"/>
      <c r="AW125" s="1401"/>
      <c r="AX125" s="1401"/>
      <c r="AY125" s="753"/>
      <c r="AZ125" s="1602"/>
      <c r="BA125" s="1398"/>
      <c r="BB125" s="753"/>
      <c r="BC125" s="1610"/>
      <c r="BD125" s="1610"/>
    </row>
    <row r="126" spans="1:56" s="177" customFormat="1" ht="15" hidden="1" customHeight="1" x14ac:dyDescent="0.25">
      <c r="A126" s="175"/>
      <c r="B126" s="1413" t="s">
        <v>404</v>
      </c>
      <c r="C126" s="800"/>
      <c r="D126" s="182"/>
      <c r="E126" s="17" t="s">
        <v>165</v>
      </c>
      <c r="F126" s="17"/>
      <c r="G126" s="17" t="str">
        <f>+CONCATENATE($C$78,"",$D$125,"",E126)</f>
        <v>22.09.002</v>
      </c>
      <c r="H126" s="1294" t="s">
        <v>71</v>
      </c>
      <c r="I126" s="1147">
        <f>+'P01 2023'!F109</f>
        <v>656797.56799999997</v>
      </c>
      <c r="J126" s="1139">
        <f>+'P01 2023'!EF114</f>
        <v>748505.73400000005</v>
      </c>
      <c r="K126" s="1139">
        <f ca="1">SUMIF(T$3:$AN118,"ok",T126:AN126)</f>
        <v>692369.451</v>
      </c>
      <c r="L126" s="1141">
        <f t="shared" ca="1" si="59"/>
        <v>0.92500220045074488</v>
      </c>
      <c r="M126" s="1139">
        <f>+'P01 2023'!EH114</f>
        <v>748505.73400000005</v>
      </c>
      <c r="N126" s="1470">
        <f t="shared" si="60"/>
        <v>1</v>
      </c>
      <c r="O126" s="1139">
        <f>+'P01 2023'!EI114</f>
        <v>0</v>
      </c>
      <c r="P126" s="1156">
        <f t="shared" si="57"/>
        <v>0</v>
      </c>
      <c r="Q126" s="1162">
        <f>+'P01 2022'!ES109</f>
        <v>598741.4394589999</v>
      </c>
      <c r="R126" s="997">
        <f ca="1">SUMIF(T$3:$AN119,"SI",T126:AN126)</f>
        <v>469849.83743000001</v>
      </c>
      <c r="S126" s="1734">
        <f t="shared" ca="1" si="61"/>
        <v>0.78472911087386654</v>
      </c>
      <c r="T126" s="218">
        <f>+'P01 2023'!I109</f>
        <v>56732.254000000001</v>
      </c>
      <c r="U126" s="1056">
        <f>+'P01 2022'!F99</f>
        <v>8198.6213599999992</v>
      </c>
      <c r="V126" s="1147">
        <f>+'P01 2023'!N78</f>
        <v>18596.402999999998</v>
      </c>
      <c r="W126" s="1176">
        <f>+'P01 2022'!M80</f>
        <v>19512.760718999998</v>
      </c>
      <c r="X126" s="546">
        <f>+'P01 2023'!AD97</f>
        <v>91114.114000000001</v>
      </c>
      <c r="Y126" s="1176">
        <f>+'P01 2022'!AB91</f>
        <v>20958.784067999997</v>
      </c>
      <c r="Z126" s="1147">
        <f>+'P01 2023'!AT93</f>
        <v>64741.688999999998</v>
      </c>
      <c r="AA126" s="1176">
        <f>+'P01 2022'!AQ94</f>
        <v>105288.680934</v>
      </c>
      <c r="AB126" s="1147">
        <f>+'P01 2023'!BJ78</f>
        <v>63726.125</v>
      </c>
      <c r="AC126" s="1176">
        <f>+'P01 2022'!BI83</f>
        <v>48535.541448999997</v>
      </c>
      <c r="AD126" s="1147">
        <f>+'P01 2023'!BZ91</f>
        <v>21403.648000000001</v>
      </c>
      <c r="AE126" s="1176">
        <f>+'P01 2022'!CC93</f>
        <v>15999.771074999999</v>
      </c>
      <c r="AF126" s="1468">
        <f>+'P01 2023'!CP92</f>
        <v>92289.404999999999</v>
      </c>
      <c r="AG126" s="1056">
        <f>+'P01 2022'!CY92</f>
        <v>123679.932007</v>
      </c>
      <c r="AH126" s="546">
        <f>+'P01 2023'!DF79</f>
        <v>61600.572</v>
      </c>
      <c r="AI126" s="1056">
        <f>+'P01 2022'!DR87</f>
        <v>49443.663411999994</v>
      </c>
      <c r="AJ126" s="18">
        <f>+'P01 2023'!DX98</f>
        <v>222165.24100000001</v>
      </c>
      <c r="AK126" s="18">
        <f>+'P01 2022'!EJ92</f>
        <v>78232.082406000001</v>
      </c>
      <c r="AL126" s="323">
        <f>+'P01 2022'!FC88</f>
        <v>38027.883000000002</v>
      </c>
      <c r="AM126" s="18">
        <f>+'P01 2022'!GA93</f>
        <v>53266.101000000002</v>
      </c>
      <c r="AN126" s="1056">
        <f>+'P01 2022'!GX93</f>
        <v>86897.457999999999</v>
      </c>
      <c r="AO126" s="1601"/>
      <c r="AP126" s="1401"/>
      <c r="AQ126" s="1401"/>
      <c r="AR126" s="1401"/>
      <c r="AS126" s="1401"/>
      <c r="AT126" s="1401"/>
      <c r="AU126" s="1401"/>
      <c r="AV126" s="1401"/>
      <c r="AW126" s="1401"/>
      <c r="AX126" s="1401"/>
      <c r="AY126" s="753"/>
      <c r="AZ126" s="1602"/>
      <c r="BA126" s="1398"/>
      <c r="BB126" s="753"/>
      <c r="BC126" s="1610"/>
      <c r="BD126" s="1610"/>
    </row>
    <row r="127" spans="1:56" s="177" customFormat="1" ht="15" hidden="1" customHeight="1" x14ac:dyDescent="0.25">
      <c r="A127" s="175"/>
      <c r="B127" s="1413" t="s">
        <v>604</v>
      </c>
      <c r="C127" s="800"/>
      <c r="D127" s="182"/>
      <c r="E127" s="17" t="s">
        <v>180</v>
      </c>
      <c r="F127" s="17"/>
      <c r="G127" s="17" t="str">
        <f>+CONCATENATE($C$78,"",$D$125,"",E127)</f>
        <v>22.09.005</v>
      </c>
      <c r="H127" s="1294" t="s">
        <v>116</v>
      </c>
      <c r="I127" s="1147">
        <f>+'P01 2023'!F110</f>
        <v>37080</v>
      </c>
      <c r="J127" s="1139">
        <f>+'P01 2023'!EF115</f>
        <v>29880</v>
      </c>
      <c r="K127" s="1139">
        <f ca="1">SUMIF(T$3:$AN120,"ok",T127:AN127)</f>
        <v>25628.505000000001</v>
      </c>
      <c r="L127" s="1141">
        <f t="shared" ca="1" si="59"/>
        <v>0.85771435742971891</v>
      </c>
      <c r="M127" s="1139">
        <f>+'P01 2023'!EH115</f>
        <v>29880</v>
      </c>
      <c r="N127" s="1470">
        <f t="shared" si="60"/>
        <v>1</v>
      </c>
      <c r="O127" s="1139">
        <f>+'P01 2023'!EI115</f>
        <v>0</v>
      </c>
      <c r="P127" s="1156">
        <f t="shared" si="57"/>
        <v>0</v>
      </c>
      <c r="Q127" s="1162">
        <f>+'P01 2022'!ES110</f>
        <v>34668.334398999999</v>
      </c>
      <c r="R127" s="997">
        <f ca="1">SUMIF(T$3:$AN120,"SI",T127:AN127)</f>
        <v>19033.440199999997</v>
      </c>
      <c r="S127" s="1734">
        <f t="shared" ca="1" si="61"/>
        <v>0.54901513239554456</v>
      </c>
      <c r="T127" s="218">
        <f>+'P01 2023'!I110</f>
        <v>1830.3989999999999</v>
      </c>
      <c r="U127" s="1056">
        <f>+'P01 2022'!F100</f>
        <v>2055.0054190000001</v>
      </c>
      <c r="V127" s="1147">
        <f>+'P01 2023'!N79</f>
        <v>1725.51</v>
      </c>
      <c r="W127" s="1176">
        <f>+'P01 2022'!M81</f>
        <v>1933.4758179999999</v>
      </c>
      <c r="X127" s="546">
        <f>+'P01 2023'!AD98</f>
        <v>1799.2539999999999</v>
      </c>
      <c r="Y127" s="1176">
        <f>+'P01 2022'!AB92</f>
        <v>1973.202254</v>
      </c>
      <c r="Z127" s="1147">
        <f>+'P01 2023'!AT94</f>
        <v>0</v>
      </c>
      <c r="AA127" s="1176">
        <f>+'P01 2022'!AQ95</f>
        <v>2087.8659379999999</v>
      </c>
      <c r="AB127" s="1147">
        <v>0</v>
      </c>
      <c r="AC127" s="1176">
        <f>+'P01 2022'!BI84</f>
        <v>2169.7849700000002</v>
      </c>
      <c r="AD127" s="1147">
        <v>0</v>
      </c>
      <c r="AE127" s="1176">
        <f>+'P01 2022'!CC94</f>
        <v>2149.7580499999999</v>
      </c>
      <c r="AF127" s="1468">
        <v>0</v>
      </c>
      <c r="AG127" s="1056">
        <f>+'P01 2022'!CY93</f>
        <v>2135.5967639999999</v>
      </c>
      <c r="AH127" s="546">
        <f>+'P01 2023'!DF80</f>
        <v>9257.2340000000004</v>
      </c>
      <c r="AI127" s="1056">
        <f>+'P01 2022'!DR88</f>
        <v>2172.0544749999999</v>
      </c>
      <c r="AJ127" s="18">
        <f>+'P01 2023'!DX99</f>
        <v>11016.108</v>
      </c>
      <c r="AK127" s="18">
        <f>+'P01 2022'!EJ93</f>
        <v>2356.696512</v>
      </c>
      <c r="AL127" s="323">
        <f>+'P01 2022'!FC89</f>
        <v>2082.2080000000001</v>
      </c>
      <c r="AM127" s="18">
        <f>+'P01 2022'!GA94</f>
        <v>2068.2910000000002</v>
      </c>
      <c r="AN127" s="1056">
        <f>+'P01 2022'!GX94</f>
        <v>1970.345</v>
      </c>
      <c r="AO127" s="1601"/>
      <c r="AP127" s="1401"/>
      <c r="AQ127" s="1401"/>
      <c r="AR127" s="1401"/>
      <c r="AS127" s="1401"/>
      <c r="AT127" s="1401"/>
      <c r="AU127" s="1401"/>
      <c r="AV127" s="1401"/>
      <c r="AW127" s="1401"/>
      <c r="AX127" s="1401"/>
      <c r="AY127" s="753"/>
      <c r="AZ127" s="1602"/>
      <c r="BA127" s="1398"/>
      <c r="BB127" s="753"/>
      <c r="BC127" s="1610"/>
      <c r="BD127" s="1610"/>
    </row>
    <row r="128" spans="1:56" s="177" customFormat="1" ht="15" hidden="1" customHeight="1" x14ac:dyDescent="0.25">
      <c r="A128" s="175"/>
      <c r="B128" s="1413" t="s">
        <v>605</v>
      </c>
      <c r="C128" s="800"/>
      <c r="D128" s="182"/>
      <c r="E128" s="17" t="s">
        <v>181</v>
      </c>
      <c r="F128" s="17"/>
      <c r="G128" s="17" t="str">
        <f>+CONCATENATE($C$78,"",$D$125,"",E128)</f>
        <v>22.09.006</v>
      </c>
      <c r="H128" s="1294" t="s">
        <v>117</v>
      </c>
      <c r="I128" s="1147">
        <f>+'P01 2023'!F111</f>
        <v>85600</v>
      </c>
      <c r="J128" s="1139">
        <f>+'P01 2023'!EF116</f>
        <v>81005.544999999998</v>
      </c>
      <c r="K128" s="1139">
        <f ca="1">SUMIF(T$3:$AN121,"ok",T128:AN128)</f>
        <v>46861.792000000001</v>
      </c>
      <c r="L128" s="1141">
        <f t="shared" ca="1" si="59"/>
        <v>0.57850103965105104</v>
      </c>
      <c r="M128" s="1139">
        <f>+'P01 2023'!EH116</f>
        <v>73505.544999999998</v>
      </c>
      <c r="N128" s="1470">
        <f t="shared" si="60"/>
        <v>0.90741374556519561</v>
      </c>
      <c r="O128" s="1139">
        <f>+'P01 2023'!EI116</f>
        <v>7500</v>
      </c>
      <c r="P128" s="1156">
        <f t="shared" si="57"/>
        <v>9.2586254434804435E-2</v>
      </c>
      <c r="Q128" s="1162">
        <f>+'P01 2022'!ES111</f>
        <v>69909.788436999996</v>
      </c>
      <c r="R128" s="997">
        <f ca="1">SUMIF(T$3:$AN121,"SI",T128:AN128)</f>
        <v>48186.235396999997</v>
      </c>
      <c r="S128" s="1734">
        <f t="shared" ca="1" si="61"/>
        <v>0.68926306994082198</v>
      </c>
      <c r="T128" s="218">
        <f>+'P01 2023'!I111</f>
        <v>5084.9780000000001</v>
      </c>
      <c r="U128" s="1056">
        <v>0</v>
      </c>
      <c r="V128" s="1147">
        <f>+'P01 2023'!N80</f>
        <v>0</v>
      </c>
      <c r="W128" s="1176">
        <f>+'P01 2022'!M82</f>
        <v>0</v>
      </c>
      <c r="X128" s="546">
        <f>+'P01 2023'!AD99</f>
        <v>9898.5720000000001</v>
      </c>
      <c r="Y128" s="1176">
        <f>+'P01 2022'!AB93</f>
        <v>10499.287141999999</v>
      </c>
      <c r="Z128" s="1147">
        <f>+'P01 2023'!AT95</f>
        <v>4926.3680000000004</v>
      </c>
      <c r="AA128" s="1176">
        <f>+'P01 2022'!AQ96</f>
        <v>5249.0567949999995</v>
      </c>
      <c r="AB128" s="1147">
        <f>+'P01 2023'!BJ80</f>
        <v>4910.1080000000002</v>
      </c>
      <c r="AC128" s="1176">
        <f>+'P01 2022'!BI85</f>
        <v>5660.9427199999991</v>
      </c>
      <c r="AD128" s="1147">
        <f>+'P01 2023'!BZ92</f>
        <v>4939.4380000000001</v>
      </c>
      <c r="AE128" s="1176">
        <f>+'P01 2022'!CC95</f>
        <v>5406.9622559999998</v>
      </c>
      <c r="AF128" s="1468">
        <f>+'P01 2023'!CP94</f>
        <v>4982.1419999999998</v>
      </c>
      <c r="AG128" s="1056">
        <f>+'P01 2022'!CY94</f>
        <v>9788.1199449999986</v>
      </c>
      <c r="AH128" s="546">
        <f>+'P01 2023'!DF81</f>
        <v>5268.6840000000002</v>
      </c>
      <c r="AI128" s="1056">
        <f>+'P01 2022'!DR89</f>
        <v>5800.8473389999999</v>
      </c>
      <c r="AJ128" s="18">
        <f>+'P01 2023'!DX100</f>
        <v>6851.5020000000004</v>
      </c>
      <c r="AK128" s="18">
        <f>+'P01 2022'!EJ94</f>
        <v>5781.0191999999997</v>
      </c>
      <c r="AL128" s="323">
        <f>+'P01 2022'!FC90</f>
        <v>5730.0959999999995</v>
      </c>
      <c r="AM128" s="18">
        <f>+'P01 2022'!GA95</f>
        <v>5514.3609999999999</v>
      </c>
      <c r="AN128" s="1056">
        <f>+'P01 2022'!GX95</f>
        <v>5372.2560000000003</v>
      </c>
      <c r="AO128" s="1601"/>
      <c r="AP128" s="1401"/>
      <c r="AQ128" s="1401"/>
      <c r="AR128" s="1401"/>
      <c r="AS128" s="1401"/>
      <c r="AT128" s="1401"/>
      <c r="AU128" s="1401"/>
      <c r="AV128" s="1401"/>
      <c r="AW128" s="1401"/>
      <c r="AX128" s="1401"/>
      <c r="AY128" s="753"/>
      <c r="AZ128" s="1602"/>
      <c r="BA128" s="1398"/>
      <c r="BB128" s="753"/>
      <c r="BC128" s="1610"/>
      <c r="BD128" s="1610"/>
    </row>
    <row r="129" spans="1:56" s="177" customFormat="1" ht="15" hidden="1" customHeight="1" x14ac:dyDescent="0.25">
      <c r="A129" s="175"/>
      <c r="B129" s="1413" t="s">
        <v>494</v>
      </c>
      <c r="C129" s="800"/>
      <c r="D129" s="182"/>
      <c r="E129" s="17" t="s">
        <v>177</v>
      </c>
      <c r="F129" s="17"/>
      <c r="G129" s="17" t="str">
        <f>+CONCATENATE($C$78,"",$D$125,"",E129)</f>
        <v>22.09.999</v>
      </c>
      <c r="H129" s="1294" t="s">
        <v>109</v>
      </c>
      <c r="I129" s="1147">
        <f>+'P01 2023'!F112</f>
        <v>12500</v>
      </c>
      <c r="J129" s="1139">
        <f>+'P01 2023'!EF117</f>
        <v>24506.25</v>
      </c>
      <c r="K129" s="1139">
        <f ca="1">SUMIF(T$3:$AN122,"ok",T129:AN129)</f>
        <v>12372.824000000001</v>
      </c>
      <c r="L129" s="1141">
        <f t="shared" ca="1" si="59"/>
        <v>0.50488442744197914</v>
      </c>
      <c r="M129" s="1139">
        <f>+'P01 2023'!EH117</f>
        <v>24506.25</v>
      </c>
      <c r="N129" s="1470">
        <f t="shared" si="60"/>
        <v>1</v>
      </c>
      <c r="O129" s="1139">
        <f>+'P01 2023'!EI117</f>
        <v>0</v>
      </c>
      <c r="P129" s="1156">
        <f t="shared" si="57"/>
        <v>0</v>
      </c>
      <c r="Q129" s="1162">
        <f>+'P01 2022'!ES112</f>
        <v>13287.5</v>
      </c>
      <c r="R129" s="997">
        <f ca="1">SUMIF(T$3:$AN122,"SI",T129:AN129)</f>
        <v>8854.7899999999991</v>
      </c>
      <c r="S129" s="1734">
        <f t="shared" ca="1" si="61"/>
        <v>0.66639999999999988</v>
      </c>
      <c r="T129" s="218">
        <f>+'P01 2023'!I112</f>
        <v>0</v>
      </c>
      <c r="U129" s="1056">
        <v>0</v>
      </c>
      <c r="V129" s="1147">
        <f>+'P01 2023'!N81</f>
        <v>1041.25</v>
      </c>
      <c r="W129" s="1176">
        <f>+'P01 2022'!M83</f>
        <v>1106.8487499999999</v>
      </c>
      <c r="X129" s="546">
        <f>+'P01 2023'!AD100</f>
        <v>1041.25</v>
      </c>
      <c r="Y129" s="1176">
        <f>+'P01 2022'!AB94</f>
        <v>1106.8487499999999</v>
      </c>
      <c r="Z129" s="1147">
        <f>+'P01 2023'!AT96</f>
        <v>1041.25</v>
      </c>
      <c r="AA129" s="1176">
        <f>+'P01 2022'!AQ97</f>
        <v>1106.8487499999999</v>
      </c>
      <c r="AB129" s="1147">
        <f>+'P01 2023'!BJ81</f>
        <v>1041.25</v>
      </c>
      <c r="AC129" s="1176">
        <f>+'P01 2022'!BI86</f>
        <v>1106.8487499999999</v>
      </c>
      <c r="AD129" s="1147">
        <f>+'P01 2023'!BZ93</f>
        <v>1041.25</v>
      </c>
      <c r="AE129" s="1176">
        <f>+'P01 2022'!CC96</f>
        <v>1106.8487499999999</v>
      </c>
      <c r="AF129" s="1468">
        <v>0</v>
      </c>
      <c r="AG129" s="1056">
        <f>+'P01 2022'!CY95</f>
        <v>1106.8487499999999</v>
      </c>
      <c r="AH129" s="546">
        <f>+'P01 2023'!DF82</f>
        <v>4777.7160000000003</v>
      </c>
      <c r="AI129" s="1056">
        <f>+'P01 2022'!DR90</f>
        <v>1106.8487499999999</v>
      </c>
      <c r="AJ129" s="18">
        <f>+'P01 2023'!DX101</f>
        <v>2388.8580000000002</v>
      </c>
      <c r="AK129" s="18">
        <f>+'P01 2022'!EJ95</f>
        <v>1106.8487499999999</v>
      </c>
      <c r="AL129" s="323">
        <f>+'P01 2022'!FC91</f>
        <v>1041.25</v>
      </c>
      <c r="AM129" s="18">
        <f>+'P01 2022'!GA96</f>
        <v>1041.25</v>
      </c>
      <c r="AN129" s="1056">
        <f>+'P01 2022'!GX96</f>
        <v>2082.5</v>
      </c>
      <c r="AO129" s="1601"/>
      <c r="AP129" s="1401"/>
      <c r="AQ129" s="1401"/>
      <c r="AR129" s="1401"/>
      <c r="AS129" s="1401"/>
      <c r="AT129" s="1401"/>
      <c r="AU129" s="1401"/>
      <c r="AV129" s="1401"/>
      <c r="AW129" s="1401"/>
      <c r="AX129" s="1401"/>
      <c r="AY129" s="753"/>
      <c r="AZ129" s="1602"/>
      <c r="BA129" s="1398"/>
      <c r="BB129" s="753"/>
      <c r="BC129" s="1610"/>
      <c r="BD129" s="1610"/>
    </row>
    <row r="130" spans="1:56" s="1024" customFormat="1" ht="15" hidden="1" customHeight="1" x14ac:dyDescent="0.25">
      <c r="A130" s="175"/>
      <c r="B130" s="1413" t="s">
        <v>606</v>
      </c>
      <c r="C130" s="801"/>
      <c r="D130" s="184" t="s">
        <v>186</v>
      </c>
      <c r="E130" s="137"/>
      <c r="F130" s="137"/>
      <c r="G130" s="137"/>
      <c r="H130" s="1298" t="s">
        <v>118</v>
      </c>
      <c r="I130" s="1148">
        <f>+'P01 2023'!F113</f>
        <v>37000</v>
      </c>
      <c r="J130" s="16">
        <f>+'P01 2023'!EF118</f>
        <v>38670.925000000003</v>
      </c>
      <c r="K130" s="16">
        <f ca="1">SUM(K131:K132)</f>
        <v>38670.925000000003</v>
      </c>
      <c r="L130" s="693">
        <f t="shared" ca="1" si="59"/>
        <v>1</v>
      </c>
      <c r="M130" s="16">
        <f>+'P01 2023'!EH118</f>
        <v>38670.925000000003</v>
      </c>
      <c r="N130" s="693">
        <f t="shared" si="60"/>
        <v>1</v>
      </c>
      <c r="O130" s="16">
        <f>+'P01 2023'!EI118</f>
        <v>0</v>
      </c>
      <c r="P130" s="691">
        <f t="shared" si="57"/>
        <v>0</v>
      </c>
      <c r="Q130" s="1148">
        <f>+'P01 2022'!ES113</f>
        <v>13249.664640999999</v>
      </c>
      <c r="R130" s="16">
        <f ca="1">SUMIF(T$3:$AN123,"SI",T130:AN130)</f>
        <v>8997.6646410000012</v>
      </c>
      <c r="S130" s="1290">
        <f t="shared" ca="1" si="61"/>
        <v>0.67908621725847063</v>
      </c>
      <c r="T130" s="219">
        <f>+'P01 2023'!I113</f>
        <v>0</v>
      </c>
      <c r="U130" s="1071">
        <v>0</v>
      </c>
      <c r="V130" s="1148">
        <v>0</v>
      </c>
      <c r="W130" s="1177">
        <f>SUM(W131:W131)</f>
        <v>0</v>
      </c>
      <c r="X130" s="1211">
        <f>+'P01 2023'!AD101</f>
        <v>140.74199999999999</v>
      </c>
      <c r="Y130" s="1177">
        <f>+Y131+Y132</f>
        <v>122.35129999999998</v>
      </c>
      <c r="Z130" s="1163">
        <f>SUM(Z131:Z132)</f>
        <v>0</v>
      </c>
      <c r="AA130" s="1177">
        <f>SUM(AA131:AA132)</f>
        <v>0</v>
      </c>
      <c r="AB130" s="1163">
        <f>SUM(AB131:AB132)</f>
        <v>0</v>
      </c>
      <c r="AC130" s="1177">
        <f>SUM(AC131:AC132)</f>
        <v>0</v>
      </c>
      <c r="AD130" s="1163">
        <v>0</v>
      </c>
      <c r="AE130" s="1177">
        <v>0</v>
      </c>
      <c r="AF130" s="1219">
        <f>+'P01 2023'!CP96</f>
        <v>9297.3690000000006</v>
      </c>
      <c r="AG130" s="364">
        <f>+AG131+AG132</f>
        <v>8875.3133410000009</v>
      </c>
      <c r="AH130" s="1211">
        <f>+'P01 2023'!DF83</f>
        <v>4.3090000000000002</v>
      </c>
      <c r="AI130" s="364">
        <f>SUM(AI131:AI131)</f>
        <v>0</v>
      </c>
      <c r="AJ130" s="1585">
        <f>+'P01 2023'!DX102</f>
        <v>29228.505000000001</v>
      </c>
      <c r="AK130" s="3">
        <f>+AK131+AK132</f>
        <v>0</v>
      </c>
      <c r="AL130" s="3">
        <f>+AL131+AL132</f>
        <v>0</v>
      </c>
      <c r="AM130" s="3">
        <f>+'P01 2022'!GA97</f>
        <v>0</v>
      </c>
      <c r="AN130" s="364">
        <f>+'P01 2022'!GX97</f>
        <v>4272.4629999999997</v>
      </c>
      <c r="AO130" s="1601"/>
      <c r="AP130" s="1401"/>
      <c r="AQ130" s="1401"/>
      <c r="AR130" s="1401"/>
      <c r="AS130" s="1401"/>
      <c r="AT130" s="1401"/>
      <c r="AU130" s="1401"/>
      <c r="AV130" s="1401"/>
      <c r="AW130" s="1401"/>
      <c r="AX130" s="1401"/>
      <c r="AY130" s="753"/>
      <c r="AZ130" s="1602"/>
      <c r="BA130" s="1398"/>
      <c r="BB130" s="753"/>
      <c r="BC130" s="1610"/>
      <c r="BD130" s="1610"/>
    </row>
    <row r="131" spans="1:56" s="177" customFormat="1" ht="15" hidden="1" customHeight="1" x14ac:dyDescent="0.25">
      <c r="A131" s="175"/>
      <c r="B131" s="1413" t="s">
        <v>405</v>
      </c>
      <c r="C131" s="800"/>
      <c r="D131" s="182"/>
      <c r="E131" s="17" t="s">
        <v>165</v>
      </c>
      <c r="F131" s="17"/>
      <c r="G131" s="17" t="str">
        <f>+CONCATENATE($C$78,"",$D$130,"",E131)</f>
        <v>22.10.002</v>
      </c>
      <c r="H131" s="1294" t="s">
        <v>119</v>
      </c>
      <c r="I131" s="1147">
        <f>+'P01 2023'!F114</f>
        <v>37000</v>
      </c>
      <c r="J131" s="1139">
        <f>+'P01 2023'!EF119</f>
        <v>38670.925000000003</v>
      </c>
      <c r="K131" s="1139">
        <f ca="1">SUMIF(T$3:$AN123,"ok",T131:AN131)</f>
        <v>38670.925000000003</v>
      </c>
      <c r="L131" s="1141">
        <f t="shared" ca="1" si="59"/>
        <v>1</v>
      </c>
      <c r="M131" s="1139">
        <f>+'P01 2023'!EH119</f>
        <v>38670.925000000003</v>
      </c>
      <c r="N131" s="1470">
        <f t="shared" si="60"/>
        <v>1</v>
      </c>
      <c r="O131" s="1139">
        <f>+'P01 2023'!EI119</f>
        <v>0</v>
      </c>
      <c r="P131" s="1156">
        <f t="shared" si="57"/>
        <v>0</v>
      </c>
      <c r="Q131" s="1162">
        <f>+'P01 2022'!ES113</f>
        <v>13249.664640999999</v>
      </c>
      <c r="R131" s="997">
        <f ca="1">SUMIF(T$3:$AN124,"SI",T131:AN131)</f>
        <v>8997.6646410000012</v>
      </c>
      <c r="S131" s="1734">
        <f t="shared" ca="1" si="61"/>
        <v>0.67908621725847063</v>
      </c>
      <c r="T131" s="218">
        <f>+'P01 2023'!I114</f>
        <v>0</v>
      </c>
      <c r="U131" s="1056">
        <v>0</v>
      </c>
      <c r="V131" s="1147">
        <v>0</v>
      </c>
      <c r="W131" s="1176">
        <v>0</v>
      </c>
      <c r="X131" s="546">
        <f>+'P01 2023'!AD102</f>
        <v>140.74199999999999</v>
      </c>
      <c r="Y131" s="1176">
        <f>+'P01 2022'!AB96</f>
        <v>122.35129999999998</v>
      </c>
      <c r="Z131" s="1147">
        <f>+'P01 2023'!AT98</f>
        <v>0</v>
      </c>
      <c r="AA131" s="1176">
        <f>+'P01 2022'!AQ99</f>
        <v>0</v>
      </c>
      <c r="AB131" s="1147">
        <v>0</v>
      </c>
      <c r="AC131" s="1176">
        <v>0</v>
      </c>
      <c r="AD131" s="1147">
        <v>0</v>
      </c>
      <c r="AE131" s="1176">
        <v>0</v>
      </c>
      <c r="AF131" s="1468">
        <f>+'P01 2023'!CP97</f>
        <v>9297.3690000000006</v>
      </c>
      <c r="AG131" s="1056">
        <f>+'P01 2022'!CY97</f>
        <v>8875.3133410000009</v>
      </c>
      <c r="AH131" s="546">
        <f>+'P01 2023'!DF84</f>
        <v>4.3090000000000002</v>
      </c>
      <c r="AI131" s="1056">
        <f>+'P01 2022'!DR92</f>
        <v>0</v>
      </c>
      <c r="AJ131" s="18">
        <f>+'P01 2023'!DX103</f>
        <v>29228.505000000001</v>
      </c>
      <c r="AK131" s="18">
        <f>+'P01 2022'!EJ97</f>
        <v>0</v>
      </c>
      <c r="AL131" s="185">
        <v>0</v>
      </c>
      <c r="AM131" s="18">
        <f>+'P01 2022'!GA98</f>
        <v>0</v>
      </c>
      <c r="AN131" s="1056">
        <f>+'P01 2022'!GX98</f>
        <v>4254.0290000000005</v>
      </c>
      <c r="AO131" s="1601"/>
      <c r="AP131" s="1401"/>
      <c r="AQ131" s="1401"/>
      <c r="AR131" s="1401"/>
      <c r="AS131" s="1401"/>
      <c r="AT131" s="1401"/>
      <c r="AU131" s="1401"/>
      <c r="AV131" s="1401"/>
      <c r="AW131" s="1401"/>
      <c r="AX131" s="1401"/>
      <c r="AY131" s="753"/>
      <c r="AZ131" s="1602"/>
      <c r="BA131" s="1398"/>
      <c r="BB131" s="753"/>
      <c r="BC131" s="1610"/>
      <c r="BD131" s="1610"/>
    </row>
    <row r="132" spans="1:56" s="177" customFormat="1" ht="15" hidden="1" customHeight="1" x14ac:dyDescent="0.25">
      <c r="A132" s="175"/>
      <c r="B132" s="1413" t="s">
        <v>504</v>
      </c>
      <c r="C132" s="800"/>
      <c r="D132" s="182"/>
      <c r="E132" s="17" t="s">
        <v>179</v>
      </c>
      <c r="F132" s="17"/>
      <c r="G132" s="17" t="str">
        <f>+CONCATENATE($C$78,"",$D$130,"",E132)</f>
        <v>22.10.004</v>
      </c>
      <c r="H132" s="1294" t="s">
        <v>72</v>
      </c>
      <c r="I132" s="1147">
        <v>0</v>
      </c>
      <c r="J132" s="1139">
        <v>0</v>
      </c>
      <c r="K132" s="1139">
        <f ca="1">SUMIF(T$3:$AN124,"ok",T132:AN132)</f>
        <v>0</v>
      </c>
      <c r="L132" s="1141">
        <f ca="1">IFERROR(K132/J132,"0,00"%)</f>
        <v>0</v>
      </c>
      <c r="M132" s="1139">
        <v>0</v>
      </c>
      <c r="N132" s="1470">
        <f t="shared" si="60"/>
        <v>0</v>
      </c>
      <c r="O132" s="1139">
        <v>0</v>
      </c>
      <c r="P132" s="1156">
        <f t="shared" si="57"/>
        <v>0</v>
      </c>
      <c r="Q132" s="1162">
        <v>0</v>
      </c>
      <c r="R132" s="997">
        <f ca="1">SUMIF(T$3:$AN125,"SI",T132:AN132)</f>
        <v>0</v>
      </c>
      <c r="S132" s="1734" t="str">
        <f ca="1">IFERROR(R132/Q132,"0,00%")</f>
        <v>0,00%</v>
      </c>
      <c r="T132" s="1287">
        <v>0</v>
      </c>
      <c r="U132" s="1056">
        <v>0</v>
      </c>
      <c r="V132" s="1147">
        <v>0</v>
      </c>
      <c r="W132" s="1176">
        <v>0</v>
      </c>
      <c r="X132" s="546">
        <v>0</v>
      </c>
      <c r="Y132" s="1176">
        <v>0</v>
      </c>
      <c r="Z132" s="1147">
        <v>0</v>
      </c>
      <c r="AA132" s="1345">
        <v>0</v>
      </c>
      <c r="AB132" s="1347">
        <v>0</v>
      </c>
      <c r="AC132" s="1176">
        <v>0</v>
      </c>
      <c r="AD132" s="1147">
        <v>0</v>
      </c>
      <c r="AE132" s="1176">
        <v>0</v>
      </c>
      <c r="AF132" s="1468">
        <v>0</v>
      </c>
      <c r="AG132" s="1056">
        <v>0</v>
      </c>
      <c r="AH132" s="546">
        <v>0</v>
      </c>
      <c r="AI132" s="1056">
        <v>0</v>
      </c>
      <c r="AJ132" s="1584">
        <v>0</v>
      </c>
      <c r="AK132" s="18">
        <v>0</v>
      </c>
      <c r="AL132" s="185">
        <v>0</v>
      </c>
      <c r="AM132" s="4">
        <v>0</v>
      </c>
      <c r="AN132" s="1056">
        <f>+'P01 2022'!GX99</f>
        <v>18.434000000000001</v>
      </c>
      <c r="AO132" s="1601"/>
      <c r="AP132" s="1401"/>
      <c r="AQ132" s="1401"/>
      <c r="AR132" s="1401"/>
      <c r="AS132" s="1401"/>
      <c r="AT132" s="1401"/>
      <c r="AU132" s="1401"/>
      <c r="AV132" s="1401"/>
      <c r="AW132" s="1401"/>
      <c r="AX132" s="1401"/>
      <c r="AY132" s="753"/>
      <c r="AZ132" s="1602"/>
      <c r="BA132" s="1398"/>
      <c r="BB132" s="753"/>
      <c r="BC132" s="1610"/>
      <c r="BD132" s="1610"/>
    </row>
    <row r="133" spans="1:56" s="1024" customFormat="1" ht="15" hidden="1" customHeight="1" x14ac:dyDescent="0.25">
      <c r="A133" s="175"/>
      <c r="B133" s="1413" t="s">
        <v>607</v>
      </c>
      <c r="C133" s="1063"/>
      <c r="D133" s="137" t="s">
        <v>187</v>
      </c>
      <c r="E133" s="137"/>
      <c r="F133" s="137"/>
      <c r="G133" s="137"/>
      <c r="H133" s="1298" t="s">
        <v>73</v>
      </c>
      <c r="I133" s="1148">
        <f>SUM(I134:I137)</f>
        <v>882367.00200000009</v>
      </c>
      <c r="J133" s="16">
        <f>+'P01 2023'!EF120</f>
        <v>2594026.5610000002</v>
      </c>
      <c r="K133" s="16">
        <f ca="1">SUM(K134:K137)</f>
        <v>1021092.7620000002</v>
      </c>
      <c r="L133" s="693">
        <f t="shared" ref="L133:L144" ca="1" si="62">IFERROR(K133/J133,"0.00"%)</f>
        <v>0.39363234646539924</v>
      </c>
      <c r="M133" s="16">
        <f>+'P01 2023'!EH120</f>
        <v>1993009.4169999999</v>
      </c>
      <c r="N133" s="693">
        <f t="shared" si="60"/>
        <v>0.76830725134583533</v>
      </c>
      <c r="O133" s="16">
        <f>+'P01 2023'!EI120</f>
        <v>601017.14399999997</v>
      </c>
      <c r="P133" s="691">
        <f t="shared" si="57"/>
        <v>0.23169274865416459</v>
      </c>
      <c r="Q133" s="1148">
        <f>SUM(Q134:Q137)</f>
        <v>889384.33762899996</v>
      </c>
      <c r="R133" s="16">
        <f ca="1">SUMIF(T$3:$AN126,"SI",T133:AN133)</f>
        <v>723544.15139699983</v>
      </c>
      <c r="S133" s="1290">
        <f ca="1">IFERROR(R133/Q133,"0%")</f>
        <v>0.81353372303124694</v>
      </c>
      <c r="T133" s="219">
        <f>+'P01 2023'!I115</f>
        <v>0</v>
      </c>
      <c r="U133" s="1071">
        <f>SUM(U134:U137)</f>
        <v>8232.5097999999998</v>
      </c>
      <c r="V133" s="1148">
        <f>+'P01 2023'!N84</f>
        <v>13606.334000000001</v>
      </c>
      <c r="W133" s="1177">
        <f t="shared" ref="W133:AC133" si="63">SUM(W134:W137)</f>
        <v>2940.1591410000001</v>
      </c>
      <c r="X133" s="1211">
        <f t="shared" si="63"/>
        <v>127042.099</v>
      </c>
      <c r="Y133" s="1177">
        <f t="shared" si="63"/>
        <v>78177.058336999995</v>
      </c>
      <c r="Z133" s="1163">
        <f t="shared" si="63"/>
        <v>0</v>
      </c>
      <c r="AA133" s="1177">
        <f t="shared" si="63"/>
        <v>70429.702799999999</v>
      </c>
      <c r="AB133" s="1163">
        <f t="shared" si="63"/>
        <v>4335</v>
      </c>
      <c r="AC133" s="1177">
        <f t="shared" si="63"/>
        <v>133623.13727399998</v>
      </c>
      <c r="AD133" s="1163">
        <f>+'P01 2023'!BZ96</f>
        <v>108127.867</v>
      </c>
      <c r="AE133" s="1177">
        <f>SUM(AE134:AE137)</f>
        <v>90903.028586999993</v>
      </c>
      <c r="AF133" s="1219">
        <f>+'P01 2023'!CP98</f>
        <v>166153.69</v>
      </c>
      <c r="AG133" s="364">
        <f>SUM(AG134:AG137)</f>
        <v>149241.68997399998</v>
      </c>
      <c r="AH133" s="1211">
        <f>+'P01 2023'!DF85</f>
        <v>459061.054</v>
      </c>
      <c r="AI133" s="364">
        <f>SUM(AI134:AI137)</f>
        <v>91643.036036999983</v>
      </c>
      <c r="AJ133" s="1585">
        <f>+'P01 2023'!DX104</f>
        <v>142766.71799999999</v>
      </c>
      <c r="AK133" s="3">
        <f>SUM(AK134:AK137)</f>
        <v>98353.829446999996</v>
      </c>
      <c r="AL133" s="3">
        <f>SUM(AL134:AL137)</f>
        <v>107741.69899999999</v>
      </c>
      <c r="AM133" s="3">
        <f>+'P01 2022'!GA99</f>
        <v>87860.672999999995</v>
      </c>
      <c r="AN133" s="364">
        <f>+'P01 2022'!GX100</f>
        <v>290196.95500000002</v>
      </c>
      <c r="AO133" s="1601"/>
      <c r="AP133" s="1401"/>
      <c r="AQ133" s="1401"/>
      <c r="AR133" s="1401"/>
      <c r="AS133" s="1401"/>
      <c r="AT133" s="1401"/>
      <c r="AU133" s="1401"/>
      <c r="AV133" s="1401"/>
      <c r="AW133" s="1401"/>
      <c r="AX133" s="1401"/>
      <c r="AY133" s="753"/>
      <c r="AZ133" s="1602"/>
      <c r="BA133" s="1398"/>
      <c r="BB133" s="753"/>
      <c r="BC133" s="1610"/>
      <c r="BD133" s="1610"/>
    </row>
    <row r="134" spans="1:56" s="177" customFormat="1" ht="15" hidden="1" customHeight="1" x14ac:dyDescent="0.25">
      <c r="A134" s="175"/>
      <c r="B134" s="1413" t="s">
        <v>406</v>
      </c>
      <c r="C134" s="800"/>
      <c r="D134" s="182"/>
      <c r="E134" s="17" t="s">
        <v>169</v>
      </c>
      <c r="F134" s="17"/>
      <c r="G134" s="17" t="str">
        <f>+CONCATENATE($C$78,"",$D$133,"",E134)</f>
        <v>22.11.001</v>
      </c>
      <c r="H134" s="1294" t="s">
        <v>74</v>
      </c>
      <c r="I134" s="1147">
        <f>+'P01 2023'!F116</f>
        <v>24323.001</v>
      </c>
      <c r="J134" s="1139">
        <f>+'P01 2023'!EF121</f>
        <v>999803.49899999995</v>
      </c>
      <c r="K134" s="1139">
        <f ca="1">SUMIF(T$3:$AN126,"ok",T134:AN134)</f>
        <v>364787.59</v>
      </c>
      <c r="L134" s="1141">
        <f t="shared" ca="1" si="62"/>
        <v>0.36485928521440397</v>
      </c>
      <c r="M134" s="1139">
        <f>+'P01 2023'!EH121</f>
        <v>577226.91700000002</v>
      </c>
      <c r="N134" s="1470">
        <f t="shared" si="60"/>
        <v>0.57734036495905483</v>
      </c>
      <c r="O134" s="1139">
        <f>+'P01 2023'!EI121</f>
        <v>422576.58199999999</v>
      </c>
      <c r="P134" s="1156">
        <f t="shared" si="57"/>
        <v>0.42265963504094517</v>
      </c>
      <c r="Q134" s="1167">
        <f>+'P01 2022'!ES116</f>
        <v>172706.67299999998</v>
      </c>
      <c r="R134" s="1142">
        <f ca="1">SUMIF(T$3:$AN127,"SI",T134:AN134)</f>
        <v>156761.67300000001</v>
      </c>
      <c r="S134" s="1735">
        <f ca="1">IFERROR(R134/Q134,"0,00%")</f>
        <v>0.90767583137913854</v>
      </c>
      <c r="T134" s="216">
        <f>+'P01 2023'!I116</f>
        <v>0</v>
      </c>
      <c r="U134" s="1056">
        <v>0</v>
      </c>
      <c r="V134" s="1147">
        <f>+'P01 2023'!N85</f>
        <v>9873</v>
      </c>
      <c r="W134" s="1176">
        <v>0</v>
      </c>
      <c r="X134" s="546">
        <f>+'P01 2023'!AD104</f>
        <v>58825</v>
      </c>
      <c r="Y134" s="1176">
        <f>+'P01 2022'!AB98</f>
        <v>0</v>
      </c>
      <c r="Z134" s="1147">
        <f>+'P01 2023'!AT100</f>
        <v>0</v>
      </c>
      <c r="AA134" s="1176">
        <f>+'P01 2022'!AQ101</f>
        <v>57960.074999999997</v>
      </c>
      <c r="AB134" s="1147">
        <f>+'P01 2023'!BJ83</f>
        <v>4335</v>
      </c>
      <c r="AC134" s="1176">
        <v>0</v>
      </c>
      <c r="AD134" s="1147">
        <f>+'P01 2023'!BZ97</f>
        <v>22460.77</v>
      </c>
      <c r="AE134" s="1176">
        <f>+'P01 2022'!CC100</f>
        <v>21260</v>
      </c>
      <c r="AF134" s="1468">
        <f>+'P01 2023'!CP99</f>
        <v>79500</v>
      </c>
      <c r="AG134" s="1056">
        <f>+'P01 2022'!CY99</f>
        <v>20989.998</v>
      </c>
      <c r="AH134" s="546">
        <f>+'P01 2023'!DF86</f>
        <v>140387.66699999999</v>
      </c>
      <c r="AI134" s="1056">
        <f>+'P01 2022'!DR94</f>
        <v>21260</v>
      </c>
      <c r="AJ134" s="18">
        <f>+'P01 2023'!DX105</f>
        <v>49406.152999999998</v>
      </c>
      <c r="AK134" s="18">
        <f>+'P01 2022'!EJ99</f>
        <v>35291.599999999999</v>
      </c>
      <c r="AL134" s="323">
        <f>+'P01 2022'!FC93</f>
        <v>39492</v>
      </c>
      <c r="AM134" s="18">
        <f>+'P01 2022'!GA100</f>
        <v>19746</v>
      </c>
      <c r="AN134" s="1056">
        <f>+'P01 2022'!GX101</f>
        <v>80956.154999999999</v>
      </c>
      <c r="AO134" s="1601"/>
      <c r="AP134" s="1401"/>
      <c r="AQ134" s="1401"/>
      <c r="AR134" s="1401"/>
      <c r="AS134" s="1401"/>
      <c r="AT134" s="1401"/>
      <c r="AU134" s="1401"/>
      <c r="AV134" s="1401"/>
      <c r="AW134" s="1401"/>
      <c r="AX134" s="1401"/>
      <c r="AY134" s="753"/>
      <c r="AZ134" s="1602"/>
      <c r="BA134" s="1398"/>
      <c r="BB134" s="753"/>
      <c r="BC134" s="1610"/>
      <c r="BD134" s="1610"/>
    </row>
    <row r="135" spans="1:56" s="177" customFormat="1" ht="15" hidden="1" customHeight="1" collapsed="1" x14ac:dyDescent="0.25">
      <c r="A135" s="175"/>
      <c r="B135" s="1413" t="s">
        <v>407</v>
      </c>
      <c r="C135" s="800"/>
      <c r="D135" s="182"/>
      <c r="E135" s="17" t="s">
        <v>165</v>
      </c>
      <c r="F135" s="17"/>
      <c r="G135" s="17" t="str">
        <f>+CONCATENATE($C$78,"",$D$133,"",E135)</f>
        <v>22.11.002</v>
      </c>
      <c r="H135" s="1294" t="s">
        <v>75</v>
      </c>
      <c r="I135" s="1147">
        <f>+'P01 2023'!F117</f>
        <v>52663</v>
      </c>
      <c r="J135" s="1139">
        <f>+'P01 2023'!EF122</f>
        <v>52663</v>
      </c>
      <c r="K135" s="1139">
        <f ca="1">SUMIF(T$3:$AN127,"ok",T135:AN135)</f>
        <v>5647</v>
      </c>
      <c r="L135" s="1141">
        <f t="shared" ca="1" si="62"/>
        <v>0.10722898429637506</v>
      </c>
      <c r="M135" s="1139">
        <f>+'P01 2023'!EH122</f>
        <v>31957.672999999999</v>
      </c>
      <c r="N135" s="1470">
        <f t="shared" si="60"/>
        <v>0.60683350739608455</v>
      </c>
      <c r="O135" s="1139">
        <f>+'P01 2023'!EI122</f>
        <v>20705.327000000001</v>
      </c>
      <c r="P135" s="1156">
        <f t="shared" si="57"/>
        <v>0.39316649260391551</v>
      </c>
      <c r="Q135" s="1167">
        <f>+'P01 2022'!ES117</f>
        <v>58418.838162</v>
      </c>
      <c r="R135" s="997">
        <f ca="1">SUMIF(T$3:$AN128,"SI",T135:AN135)</f>
        <v>8078.7999999999993</v>
      </c>
      <c r="S135" s="1734">
        <f ca="1">IFERROR(R135/Q135,"0%")</f>
        <v>0.13829100773276004</v>
      </c>
      <c r="T135" s="216">
        <f>+'P01 2023'!I117</f>
        <v>0</v>
      </c>
      <c r="U135" s="1056">
        <v>0</v>
      </c>
      <c r="V135" s="1147">
        <v>0</v>
      </c>
      <c r="W135" s="1176">
        <v>0</v>
      </c>
      <c r="X135" s="546">
        <f>+'P01 2023'!AD105</f>
        <v>0</v>
      </c>
      <c r="Y135" s="1176">
        <f>+'P01 2022'!AB99</f>
        <v>1381.8999999999999</v>
      </c>
      <c r="Z135" s="1147">
        <f>+'P01 2023'!AT101</f>
        <v>0</v>
      </c>
      <c r="AA135" s="1176">
        <f>+'P01 2022'!AQ102</f>
        <v>5315</v>
      </c>
      <c r="AB135" s="1147">
        <v>0</v>
      </c>
      <c r="AC135" s="1176">
        <v>0</v>
      </c>
      <c r="AD135" s="1147">
        <f>+'P01 2023'!BZ98</f>
        <v>0</v>
      </c>
      <c r="AE135" s="1176">
        <f>+'P01 2022'!CC101</f>
        <v>0</v>
      </c>
      <c r="AF135" s="1468">
        <f>+'P01 2023'!CP100</f>
        <v>1547</v>
      </c>
      <c r="AG135" s="1056">
        <f>+'P01 2022'!CY100</f>
        <v>0</v>
      </c>
      <c r="AH135" s="546">
        <f>+'P01 2023'!DF87</f>
        <v>0</v>
      </c>
      <c r="AI135" s="1056">
        <f>+'P01 2022'!DR95</f>
        <v>0</v>
      </c>
      <c r="AJ135" s="18">
        <f>+'P01 2023'!DX106</f>
        <v>4100</v>
      </c>
      <c r="AK135" s="18">
        <f>+'P01 2022'!EJ100</f>
        <v>1381.8999999999999</v>
      </c>
      <c r="AL135" s="323">
        <f>+'P01 2022'!FC94</f>
        <v>8288</v>
      </c>
      <c r="AM135" s="18">
        <f>+'P01 2022'!GA101</f>
        <v>6947.5739999999996</v>
      </c>
      <c r="AN135" s="1056">
        <f>+'P01 2022'!GX102</f>
        <v>28848.645</v>
      </c>
      <c r="AO135" s="1601"/>
      <c r="AP135" s="1401"/>
      <c r="AQ135" s="1401"/>
      <c r="AR135" s="1401"/>
      <c r="AS135" s="1401"/>
      <c r="AT135" s="1401"/>
      <c r="AU135" s="1401"/>
      <c r="AV135" s="1401"/>
      <c r="AW135" s="1401"/>
      <c r="AX135" s="1401"/>
      <c r="AY135" s="753"/>
      <c r="AZ135" s="1602"/>
      <c r="BA135" s="1398"/>
      <c r="BB135" s="753"/>
      <c r="BC135" s="1610"/>
      <c r="BD135" s="1610"/>
    </row>
    <row r="136" spans="1:56" s="177" customFormat="1" ht="15" hidden="1" customHeight="1" x14ac:dyDescent="0.25">
      <c r="A136" s="175"/>
      <c r="B136" s="1413" t="s">
        <v>408</v>
      </c>
      <c r="C136" s="800"/>
      <c r="D136" s="182"/>
      <c r="E136" s="17" t="s">
        <v>166</v>
      </c>
      <c r="F136" s="17"/>
      <c r="G136" s="17" t="str">
        <f>+CONCATENATE($C$78,"",$D$133,"",E136)</f>
        <v>22.11.003</v>
      </c>
      <c r="H136" s="1294" t="s">
        <v>208</v>
      </c>
      <c r="I136" s="1147">
        <f>+'P01 2023'!F118</f>
        <v>799881.00100000005</v>
      </c>
      <c r="J136" s="1139">
        <f>+'P01 2023'!EF123</f>
        <v>1419554.4169999999</v>
      </c>
      <c r="K136" s="1139">
        <f ca="1">SUMIF(T$3:$AN128,"ok",T136:AN136)</f>
        <v>638339.2620000001</v>
      </c>
      <c r="L136" s="1141">
        <f t="shared" ca="1" si="62"/>
        <v>0.44967579569723543</v>
      </c>
      <c r="M136" s="1139">
        <f>+'P01 2023'!EH123</f>
        <v>1354519.9169999999</v>
      </c>
      <c r="N136" s="1470">
        <f t="shared" si="60"/>
        <v>0.95418668053779865</v>
      </c>
      <c r="O136" s="1139">
        <f>+'P01 2023'!EI123</f>
        <v>65034.5</v>
      </c>
      <c r="P136" s="1156">
        <f t="shared" si="57"/>
        <v>4.5813319462201359E-2</v>
      </c>
      <c r="Q136" s="1167">
        <f>+'P01 2022'!ES118</f>
        <v>651707.69565699995</v>
      </c>
      <c r="R136" s="997">
        <f ca="1">SUMIF(T$3:$AN129,"SI",T136:AN136)</f>
        <v>556670.19128699997</v>
      </c>
      <c r="S136" s="1734">
        <f ca="1">IFERROR(R136/Q136,"0%")</f>
        <v>0.85417157875634608</v>
      </c>
      <c r="T136" s="216">
        <f>+'P01 2023'!I118</f>
        <v>0</v>
      </c>
      <c r="U136" s="1056">
        <f>+'P01 2022'!F108</f>
        <v>8232.5097999999998</v>
      </c>
      <c r="V136" s="1147">
        <f>+'P01 2023'!N86</f>
        <v>3733.3339999999998</v>
      </c>
      <c r="W136" s="1176">
        <f>+'P01 2022'!M87</f>
        <v>2940.1591410000001</v>
      </c>
      <c r="X136" s="546">
        <f>+'P01 2023'!AD106</f>
        <v>68217.099000000002</v>
      </c>
      <c r="Y136" s="1176">
        <f>+'P01 2022'!AB100</f>
        <v>76795.158337000001</v>
      </c>
      <c r="Z136" s="1147">
        <f>+'P01 2023'!AT102</f>
        <v>0</v>
      </c>
      <c r="AA136" s="1176">
        <f>+'P01 2022'!AQ103</f>
        <v>7154.6278000000002</v>
      </c>
      <c r="AB136" s="1147">
        <v>0</v>
      </c>
      <c r="AC136" s="1403">
        <f>+'P01 2022'!BI90</f>
        <v>131922.33727399999</v>
      </c>
      <c r="AD136" s="1147">
        <f>+'P01 2023'!BZ99</f>
        <v>85667.096999999994</v>
      </c>
      <c r="AE136" s="1176">
        <f>+'P01 2022'!CC102</f>
        <v>69643.028586999993</v>
      </c>
      <c r="AF136" s="1468">
        <f>+'P01 2023'!CP101</f>
        <v>85106.69</v>
      </c>
      <c r="AG136" s="1056">
        <f>+'P01 2022'!CY101</f>
        <v>127986.04827399999</v>
      </c>
      <c r="AH136" s="546">
        <f>+'P01 2023'!DF88</f>
        <v>306354.47700000001</v>
      </c>
      <c r="AI136" s="1056">
        <f>+'P01 2022'!DR96</f>
        <v>70383.036036999983</v>
      </c>
      <c r="AJ136" s="18">
        <f>+'P01 2023'!DX107</f>
        <v>89260.565000000002</v>
      </c>
      <c r="AK136" s="18">
        <f>+'P01 2022'!EJ101</f>
        <v>61613.286036999998</v>
      </c>
      <c r="AL136" s="323">
        <f>+'P01 2022'!FC95</f>
        <v>57961.699000000001</v>
      </c>
      <c r="AM136" s="18">
        <f>+'P01 2022'!GA102</f>
        <v>59167.099000000002</v>
      </c>
      <c r="AN136" s="1056">
        <f>+'P01 2022'!GX103</f>
        <v>180142.255</v>
      </c>
      <c r="AO136" s="1601"/>
      <c r="AP136" s="1401"/>
      <c r="AQ136" s="1401"/>
      <c r="AR136" s="1401"/>
      <c r="AS136" s="1401"/>
      <c r="AT136" s="1401"/>
      <c r="AU136" s="1401"/>
      <c r="AV136" s="1401"/>
      <c r="AW136" s="1401"/>
      <c r="AX136" s="1401"/>
      <c r="AY136" s="753"/>
      <c r="AZ136" s="1602"/>
      <c r="BA136" s="1398"/>
      <c r="BB136" s="753"/>
      <c r="BC136" s="1610"/>
      <c r="BD136" s="1610"/>
    </row>
    <row r="137" spans="1:56" s="177" customFormat="1" ht="15" hidden="1" customHeight="1" x14ac:dyDescent="0.25">
      <c r="A137" s="175"/>
      <c r="B137" s="1413" t="s">
        <v>409</v>
      </c>
      <c r="C137" s="800"/>
      <c r="D137" s="182"/>
      <c r="E137" s="17" t="s">
        <v>177</v>
      </c>
      <c r="F137" s="17"/>
      <c r="G137" s="17" t="str">
        <f>+CONCATENATE($C$78,"",$D$133,"",E137)</f>
        <v>22.11.999</v>
      </c>
      <c r="H137" s="1294" t="s">
        <v>109</v>
      </c>
      <c r="I137" s="1147">
        <f>+'P01 2023'!F119</f>
        <v>5500</v>
      </c>
      <c r="J137" s="1139">
        <f>+'P01 2023'!EF124</f>
        <v>122005.645</v>
      </c>
      <c r="K137" s="1139">
        <f ca="1">SUMIF(T$3:$AN129,"ok",T137:AN137)</f>
        <v>12318.91</v>
      </c>
      <c r="L137" s="1141">
        <f t="shared" ca="1" si="62"/>
        <v>0.10097000019958093</v>
      </c>
      <c r="M137" s="1139">
        <f>+'P01 2023'!EH124</f>
        <v>29304.91</v>
      </c>
      <c r="N137" s="1470">
        <f t="shared" si="60"/>
        <v>0.24019306647655522</v>
      </c>
      <c r="O137" s="1139">
        <f>+'P01 2023'!EI124</f>
        <v>92700.735000000001</v>
      </c>
      <c r="P137" s="1156">
        <f t="shared" si="57"/>
        <v>0.75980693352344475</v>
      </c>
      <c r="Q137" s="1167">
        <f>+'P01 2022'!ES119</f>
        <v>6551.1308099999997</v>
      </c>
      <c r="R137" s="997">
        <f ca="1">SUMIF(T$3:$AN130,"SI",T137:AN137)</f>
        <v>2033.4871099999998</v>
      </c>
      <c r="S137" s="1734">
        <f ca="1">IFERROR(R137/Q137,"0%")</f>
        <v>0.31040245859477805</v>
      </c>
      <c r="T137" s="216">
        <f>+'P01 2023'!I119</f>
        <v>0</v>
      </c>
      <c r="U137" s="1056">
        <v>0</v>
      </c>
      <c r="V137" s="1147">
        <v>0</v>
      </c>
      <c r="W137" s="1176">
        <v>0</v>
      </c>
      <c r="X137" s="546">
        <f>+'P01 2023'!AD107</f>
        <v>0</v>
      </c>
      <c r="Y137" s="1176">
        <v>0</v>
      </c>
      <c r="Z137" s="1147">
        <v>0</v>
      </c>
      <c r="AA137" s="1344">
        <v>0</v>
      </c>
      <c r="AB137" s="1346">
        <v>0</v>
      </c>
      <c r="AC137" s="1403">
        <f>+'P01 2022'!BI91</f>
        <v>1700.8</v>
      </c>
      <c r="AD137" s="1147">
        <f>+'P01 2023'!BZ100</f>
        <v>0</v>
      </c>
      <c r="AE137" s="1176">
        <f>+'P01 2022'!CC103</f>
        <v>0</v>
      </c>
      <c r="AF137" s="1468">
        <f>+'P01 2023'!CP130</f>
        <v>0</v>
      </c>
      <c r="AG137" s="1056">
        <f>+'P01 2022'!CY102</f>
        <v>265.64369999999997</v>
      </c>
      <c r="AH137" s="546">
        <f>+'P01 2023'!DF89</f>
        <v>12318.91</v>
      </c>
      <c r="AI137" s="1056">
        <f>+'P01 2022'!DR97</f>
        <v>0</v>
      </c>
      <c r="AJ137" s="18">
        <f>+'P01 2023'!DX108</f>
        <v>0</v>
      </c>
      <c r="AK137" s="18">
        <f>+'P01 2022'!EJ102</f>
        <v>67.043409999999994</v>
      </c>
      <c r="AL137" s="323">
        <f>+'P01 2022'!FC96</f>
        <v>2000</v>
      </c>
      <c r="AM137" s="18">
        <f>+'P01 2022'!GA103</f>
        <v>2000</v>
      </c>
      <c r="AN137" s="1056">
        <f>+'P01 2022'!GX104</f>
        <v>249.9</v>
      </c>
      <c r="AO137" s="1601"/>
      <c r="AP137" s="1401"/>
      <c r="AQ137" s="1401"/>
      <c r="AR137" s="1401"/>
      <c r="AS137" s="1401"/>
      <c r="AT137" s="1401"/>
      <c r="AU137" s="1401"/>
      <c r="AV137" s="1401"/>
      <c r="AW137" s="1401"/>
      <c r="AX137" s="1401"/>
      <c r="AY137" s="753"/>
      <c r="AZ137" s="1602"/>
      <c r="BA137" s="1398"/>
      <c r="BB137" s="753"/>
      <c r="BC137" s="1610"/>
      <c r="BD137" s="1610"/>
    </row>
    <row r="138" spans="1:56" s="1024" customFormat="1" ht="15" hidden="1" customHeight="1" x14ac:dyDescent="0.25">
      <c r="A138" s="175"/>
      <c r="B138" s="1413" t="s">
        <v>608</v>
      </c>
      <c r="C138" s="1063"/>
      <c r="D138" s="137" t="s">
        <v>188</v>
      </c>
      <c r="E138" s="137"/>
      <c r="F138" s="137"/>
      <c r="G138" s="137"/>
      <c r="H138" s="1298" t="s">
        <v>76</v>
      </c>
      <c r="I138" s="1148">
        <f>+'P01 2023'!F120</f>
        <v>991.01300000000003</v>
      </c>
      <c r="J138" s="16">
        <f>+'P01 2023'!EF125</f>
        <v>20564.694</v>
      </c>
      <c r="K138" s="16">
        <f ca="1">SUM(K139:K141)</f>
        <v>13700.243999999999</v>
      </c>
      <c r="L138" s="693">
        <f t="shared" ca="1" si="62"/>
        <v>0.66620218127242736</v>
      </c>
      <c r="M138" s="16">
        <f>+'P01 2023'!EH125</f>
        <v>13880.433000000001</v>
      </c>
      <c r="N138" s="693">
        <f t="shared" si="60"/>
        <v>0.67496423725050325</v>
      </c>
      <c r="O138" s="16">
        <f>+'P01 2023'!EI125</f>
        <v>6684.2610000000004</v>
      </c>
      <c r="P138" s="691">
        <f t="shared" si="57"/>
        <v>0.3250357627494968</v>
      </c>
      <c r="Q138" s="1148">
        <f>+'P01 2022'!ES120</f>
        <v>7411.6835229999997</v>
      </c>
      <c r="R138" s="16">
        <f ca="1">SUM(R139:R141)</f>
        <v>6254.4294389999995</v>
      </c>
      <c r="S138" s="1290">
        <f ca="1">IFERROR(R138/Q138,"0%")</f>
        <v>0.84386083399152167</v>
      </c>
      <c r="T138" s="219">
        <f>+'P01 2023'!I120</f>
        <v>191.01</v>
      </c>
      <c r="U138" s="1071">
        <f>SUM(U139:U141)</f>
        <v>70.863832000000002</v>
      </c>
      <c r="V138" s="1148">
        <f>+'P01 2023'!N87</f>
        <v>649.03700000000003</v>
      </c>
      <c r="W138" s="1177">
        <f>+SUM(W139:W141)</f>
        <v>339.79751699999997</v>
      </c>
      <c r="X138" s="1211">
        <f>+'P01 2023'!AD108</f>
        <v>205.97800000000001</v>
      </c>
      <c r="Y138" s="1177">
        <f>SUM(Y139:Y141)</f>
        <v>1734.2164679999998</v>
      </c>
      <c r="Z138" s="1163">
        <f>SUM(Z139:Z141)</f>
        <v>6981.72</v>
      </c>
      <c r="AA138" s="1177">
        <f>SUM(AA139:AA141)</f>
        <v>165.97681999999998</v>
      </c>
      <c r="AB138" s="1163">
        <f>SUM(AB139:AB141)</f>
        <v>1544.7090000000001</v>
      </c>
      <c r="AC138" s="1177">
        <f>SUM(AC139:AC141)</f>
        <v>632.95484599999997</v>
      </c>
      <c r="AD138" s="1163">
        <f>+'P01 2023'!BZ101</f>
        <v>1055.826</v>
      </c>
      <c r="AE138" s="1177">
        <f>SUM(AE139:AE141)</f>
        <v>439.77479300000005</v>
      </c>
      <c r="AF138" s="1219">
        <f>+'P01 2023'!CP103</f>
        <v>1013.821</v>
      </c>
      <c r="AG138" s="364">
        <f>SUM(AG139:AG141)</f>
        <v>439.73120999999998</v>
      </c>
      <c r="AH138" s="1211">
        <f>+'P01 2023'!DF90</f>
        <v>1336.6849999999999</v>
      </c>
      <c r="AI138" s="364">
        <f>SUM(AI139:AI141)</f>
        <v>647.06935999999996</v>
      </c>
      <c r="AJ138" s="1585">
        <f>+'P01 2023'!DX109</f>
        <v>721.45799999999997</v>
      </c>
      <c r="AK138" s="3">
        <f>SUM(AK139:AK141)</f>
        <v>1784.0445930000001</v>
      </c>
      <c r="AL138" s="3">
        <f>+AL139</f>
        <v>1534.672</v>
      </c>
      <c r="AM138" s="3">
        <f>+'P01 2022'!GA104</f>
        <v>390.79</v>
      </c>
      <c r="AN138" s="364">
        <f>+'P01 2022'!GX105</f>
        <v>8156.1779999999999</v>
      </c>
      <c r="AO138" s="1601"/>
      <c r="AP138" s="1401"/>
      <c r="AQ138" s="1401"/>
      <c r="AR138" s="1401"/>
      <c r="AS138" s="1401"/>
      <c r="AT138" s="1401"/>
      <c r="AU138" s="1401"/>
      <c r="AV138" s="1401"/>
      <c r="AW138" s="1401"/>
      <c r="AX138" s="1401"/>
      <c r="AY138" s="753"/>
      <c r="AZ138" s="1602"/>
      <c r="BA138" s="1398"/>
      <c r="BB138" s="753"/>
      <c r="BC138" s="1610"/>
      <c r="BD138" s="1610"/>
    </row>
    <row r="139" spans="1:56" s="177" customFormat="1" ht="15" hidden="1" customHeight="1" x14ac:dyDescent="0.25">
      <c r="A139" s="175"/>
      <c r="B139" s="1413" t="s">
        <v>410</v>
      </c>
      <c r="C139" s="800"/>
      <c r="D139" s="182"/>
      <c r="E139" s="17" t="s">
        <v>165</v>
      </c>
      <c r="F139" s="17"/>
      <c r="G139" s="17" t="str">
        <f>+CONCATENATE($C$78,"",$D$138,"",E139)</f>
        <v>22.12.002</v>
      </c>
      <c r="H139" s="1294" t="s">
        <v>77</v>
      </c>
      <c r="I139" s="1147">
        <f>+'P01 2023'!F121</f>
        <v>991.01099999999997</v>
      </c>
      <c r="J139" s="1139">
        <f>+'P01 2023'!EF126</f>
        <v>8295.8819999999996</v>
      </c>
      <c r="K139" s="1139">
        <f ca="1">SUMIF(T$3:$AN131,"ok",T139:AN139)</f>
        <v>8115.6929999999984</v>
      </c>
      <c r="L139" s="1141">
        <f t="shared" ca="1" si="62"/>
        <v>0.97827970552136578</v>
      </c>
      <c r="M139" s="1139">
        <f>+'P01 2023'!EH126</f>
        <v>8295.8819999999996</v>
      </c>
      <c r="N139" s="1470">
        <f t="shared" si="60"/>
        <v>1</v>
      </c>
      <c r="O139" s="1139">
        <f>+'P01 2023'!EI126</f>
        <v>0</v>
      </c>
      <c r="P139" s="1156">
        <f t="shared" si="57"/>
        <v>0</v>
      </c>
      <c r="Q139" s="1167">
        <f>+'P01 2022'!ES121</f>
        <v>4896.0855189999993</v>
      </c>
      <c r="R139" s="997">
        <f ca="1">SUMIF(T$3:$AN131,"SI",T139:AN139)</f>
        <v>4845.8162489999995</v>
      </c>
      <c r="S139" s="1734">
        <f ca="1">IFERROR(R139/Q139,"0%")</f>
        <v>0.98973276308084845</v>
      </c>
      <c r="T139" s="216">
        <f>+'P01 2023'!I121</f>
        <v>191.01</v>
      </c>
      <c r="U139" s="1056">
        <f>+'P01 2022'!F111</f>
        <v>50.773132000000004</v>
      </c>
      <c r="V139" s="1147">
        <f>+'P01 2023'!N88</f>
        <v>649.03700000000003</v>
      </c>
      <c r="W139" s="1176">
        <f>+'P01 2022'!M89</f>
        <v>103.02596</v>
      </c>
      <c r="X139" s="546">
        <f>+'P01 2023'!AD109</f>
        <v>205.97800000000001</v>
      </c>
      <c r="Y139" s="1176">
        <f>+'P01 2022'!AB102</f>
        <v>1734.2164679999998</v>
      </c>
      <c r="Z139" s="1147">
        <f>+'P01 2023'!AT104</f>
        <v>1448.22</v>
      </c>
      <c r="AA139" s="1176">
        <f>+'P01 2022'!AQ105</f>
        <v>163.31931999999998</v>
      </c>
      <c r="AB139" s="1147">
        <f>+'P01 2023'!BJ88</f>
        <v>1544.7090000000001</v>
      </c>
      <c r="AC139" s="1176">
        <f>+'P01 2022'!BI93</f>
        <v>632.95484599999997</v>
      </c>
      <c r="AD139" s="1147">
        <f>+'P01 2023'!BZ102</f>
        <v>1055.826</v>
      </c>
      <c r="AE139" s="1176">
        <f>+'P01 2022'!CC105</f>
        <v>385.50758000000002</v>
      </c>
      <c r="AF139" s="1468">
        <f>+'P01 2023'!CP104</f>
        <v>962.77</v>
      </c>
      <c r="AG139" s="1056">
        <f>+'P01 2022'!CY104</f>
        <v>439.73120999999998</v>
      </c>
      <c r="AH139" s="546">
        <f>+'P01 2023'!DF91</f>
        <v>1336.6849999999999</v>
      </c>
      <c r="AI139" s="1056">
        <f>+'P01 2022'!DR99</f>
        <v>487.68313999999992</v>
      </c>
      <c r="AJ139" s="18">
        <f>+'P01 2023'!DX110</f>
        <v>721.45799999999997</v>
      </c>
      <c r="AK139" s="18">
        <f>+'P01 2022'!EJ104</f>
        <v>848.60459300000002</v>
      </c>
      <c r="AL139" s="323">
        <f>+'P01 2022'!FC98</f>
        <v>1534.672</v>
      </c>
      <c r="AM139" s="18">
        <f>+'P01 2022'!GA105</f>
        <v>390.79</v>
      </c>
      <c r="AN139" s="1056">
        <f>+'P01 2022'!GX106</f>
        <v>3127.143</v>
      </c>
      <c r="AO139" s="1601"/>
      <c r="AP139" s="1401"/>
      <c r="AQ139" s="1401"/>
      <c r="AR139" s="1401"/>
      <c r="AS139" s="1401"/>
      <c r="AT139" s="1401"/>
      <c r="AU139" s="1401"/>
      <c r="AV139" s="1401"/>
      <c r="AW139" s="1401"/>
      <c r="AX139" s="1401"/>
      <c r="AY139" s="753"/>
      <c r="AZ139" s="1602"/>
      <c r="BA139" s="1398"/>
      <c r="BB139" s="753"/>
      <c r="BC139" s="1610"/>
      <c r="BD139" s="1610"/>
    </row>
    <row r="140" spans="1:56" s="177" customFormat="1" ht="15" hidden="1" customHeight="1" x14ac:dyDescent="0.25">
      <c r="A140" s="175"/>
      <c r="B140" s="1416" t="s">
        <v>609</v>
      </c>
      <c r="C140" s="800" t="s">
        <v>337</v>
      </c>
      <c r="D140" s="182"/>
      <c r="E140" s="17" t="s">
        <v>166</v>
      </c>
      <c r="F140" s="17"/>
      <c r="G140" s="17" t="s">
        <v>209</v>
      </c>
      <c r="H140" s="1294" t="s">
        <v>78</v>
      </c>
      <c r="I140" s="1147">
        <f>+'P01 2023'!F122</f>
        <v>1E-3</v>
      </c>
      <c r="J140" s="1139">
        <f>+'P01 2023'!EF127</f>
        <v>5533.5</v>
      </c>
      <c r="K140" s="1139">
        <f ca="1">SUMIF(T$3:$AN132,"ok",T140:AN140)</f>
        <v>5533.5</v>
      </c>
      <c r="L140" s="1141">
        <f t="shared" ca="1" si="62"/>
        <v>1</v>
      </c>
      <c r="M140" s="1139">
        <f>+'P01 2023'!EH127</f>
        <v>5533.5</v>
      </c>
      <c r="N140" s="1470">
        <f t="shared" si="60"/>
        <v>1</v>
      </c>
      <c r="O140" s="1139">
        <f>+'P01 2023'!EI127</f>
        <v>0</v>
      </c>
      <c r="P140" s="1156">
        <f t="shared" si="57"/>
        <v>0</v>
      </c>
      <c r="Q140" s="1167">
        <f>+'P01 2022'!ES122</f>
        <v>1094.8262199999999</v>
      </c>
      <c r="R140" s="997">
        <f ca="1">SUMIF(T$3:$AN132,"SI",T140:AN140)</f>
        <v>1094.8262199999999</v>
      </c>
      <c r="S140" s="1734">
        <f ca="1">IFERROR(R140/Q140,"0,00%")</f>
        <v>1</v>
      </c>
      <c r="T140" s="216">
        <f>+'P01 2023'!I122</f>
        <v>0</v>
      </c>
      <c r="U140" s="1056">
        <v>0</v>
      </c>
      <c r="V140" s="1147">
        <f>+'P01 2023'!N89</f>
        <v>0</v>
      </c>
      <c r="W140" s="1176">
        <v>0</v>
      </c>
      <c r="X140" s="546">
        <f>+'P01 2023'!AD110</f>
        <v>0</v>
      </c>
      <c r="Y140" s="1176">
        <v>0</v>
      </c>
      <c r="Z140" s="1147">
        <f>+'P01 2023'!AT105</f>
        <v>5533.5</v>
      </c>
      <c r="AA140" s="1176">
        <v>0</v>
      </c>
      <c r="AB140" s="1147">
        <v>0</v>
      </c>
      <c r="AC140" s="1176">
        <v>0</v>
      </c>
      <c r="AD140" s="1147">
        <v>0</v>
      </c>
      <c r="AE140" s="1176">
        <v>0</v>
      </c>
      <c r="AF140" s="1468">
        <v>0</v>
      </c>
      <c r="AG140" s="1056">
        <v>0</v>
      </c>
      <c r="AH140" s="546">
        <v>0</v>
      </c>
      <c r="AI140" s="1056">
        <f>+'P01 2022'!DR100</f>
        <v>159.38621999999998</v>
      </c>
      <c r="AJ140" s="1584">
        <v>0</v>
      </c>
      <c r="AK140" s="18">
        <f>+'P01 2022'!EJ105</f>
        <v>935.43999999999994</v>
      </c>
      <c r="AL140" s="323">
        <f>+'P01 2022'!FC99</f>
        <v>0</v>
      </c>
      <c r="AM140" s="18">
        <f>+'P01 2022'!GA106</f>
        <v>0</v>
      </c>
      <c r="AN140" s="1056">
        <f>+'P01 2022'!GX107</f>
        <v>5029.0349999999999</v>
      </c>
      <c r="AO140" s="1601"/>
      <c r="AP140" s="1401"/>
      <c r="AQ140" s="1401"/>
      <c r="AR140" s="1401"/>
      <c r="AS140" s="1401"/>
      <c r="AT140" s="1401"/>
      <c r="AU140" s="1401"/>
      <c r="AV140" s="1401"/>
      <c r="AW140" s="1401"/>
      <c r="AX140" s="1401"/>
      <c r="AY140" s="753"/>
      <c r="AZ140" s="1602"/>
      <c r="BA140" s="1398"/>
      <c r="BB140" s="753"/>
      <c r="BC140" s="1610"/>
      <c r="BD140" s="1610"/>
    </row>
    <row r="141" spans="1:56" s="177" customFormat="1" ht="15" hidden="1" customHeight="1" x14ac:dyDescent="0.25">
      <c r="A141" s="175"/>
      <c r="B141" s="1413" t="s">
        <v>411</v>
      </c>
      <c r="C141" s="800"/>
      <c r="D141" s="182"/>
      <c r="E141" s="17" t="s">
        <v>177</v>
      </c>
      <c r="F141" s="17"/>
      <c r="G141" s="17" t="str">
        <f>+CONCATENATE($C$78,"",$D$138,"",E141)</f>
        <v>22.12.999</v>
      </c>
      <c r="H141" s="1294" t="s">
        <v>51</v>
      </c>
      <c r="I141" s="1147">
        <f>+'P01 2023'!F123</f>
        <v>1E-3</v>
      </c>
      <c r="J141" s="1139">
        <f>+'P01 2023'!EF128</f>
        <v>6735.3119999999999</v>
      </c>
      <c r="K141" s="1139">
        <f ca="1">SUMIF(T$3:$AN133,"ok",T141:AN141)</f>
        <v>51.051000000000002</v>
      </c>
      <c r="L141" s="1141">
        <f t="shared" ca="1" si="62"/>
        <v>7.5796043301334824E-3</v>
      </c>
      <c r="M141" s="1139">
        <f>+'P01 2023'!EH128</f>
        <v>51.051000000000002</v>
      </c>
      <c r="N141" s="1470">
        <f t="shared" si="60"/>
        <v>7.5796043301334824E-3</v>
      </c>
      <c r="O141" s="1139">
        <f>+'P01 2023'!EI128</f>
        <v>6684.2610000000004</v>
      </c>
      <c r="P141" s="1156">
        <f t="shared" si="57"/>
        <v>0.99242039566986662</v>
      </c>
      <c r="Q141" s="1167">
        <f>+'P01 2022'!ES123</f>
        <v>1420.7717839999998</v>
      </c>
      <c r="R141" s="1142">
        <f ca="1">SUMIF(T$3:$AN133,"SI",T141:AN141)</f>
        <v>313.78697</v>
      </c>
      <c r="S141" s="1735">
        <f ca="1">IFERROR(R141/Q141,"0%")</f>
        <v>0.22085670164181698</v>
      </c>
      <c r="T141" s="216">
        <f>+'P01 2023'!I123</f>
        <v>0</v>
      </c>
      <c r="U141" s="1056">
        <f>+'P01 2022'!F112</f>
        <v>20.090699999999998</v>
      </c>
      <c r="V141" s="1147">
        <v>0</v>
      </c>
      <c r="W141" s="1176">
        <f>+'P01 2022'!M90</f>
        <v>236.771557</v>
      </c>
      <c r="X141" s="546">
        <f>+'P01 2023'!AD111</f>
        <v>0</v>
      </c>
      <c r="Y141" s="1176">
        <v>0</v>
      </c>
      <c r="Z141" s="1147">
        <f>+'P01 2023'!AT106</f>
        <v>0</v>
      </c>
      <c r="AA141" s="1176">
        <f>+'P01 2022'!AQ106</f>
        <v>2.6574999999999998</v>
      </c>
      <c r="AB141" s="1147">
        <v>0</v>
      </c>
      <c r="AC141" s="1176">
        <f>+'P01 2022'!BI94</f>
        <v>0</v>
      </c>
      <c r="AD141" s="1147">
        <v>0</v>
      </c>
      <c r="AE141" s="1176">
        <f>+'P01 2022'!CC107</f>
        <v>54.267212999999998</v>
      </c>
      <c r="AF141" s="1468">
        <f>+'P01 2023'!CP105</f>
        <v>51.051000000000002</v>
      </c>
      <c r="AG141" s="1056">
        <v>0</v>
      </c>
      <c r="AH141" s="546">
        <v>0</v>
      </c>
      <c r="AI141" s="1056">
        <f>+'P01 2022'!DR101</f>
        <v>0</v>
      </c>
      <c r="AJ141" s="1584">
        <f>+'P01 2023'!DX111</f>
        <v>0</v>
      </c>
      <c r="AK141" s="18">
        <f>+'P01 2022'!EJ106</f>
        <v>0</v>
      </c>
      <c r="AL141" s="185">
        <v>0</v>
      </c>
      <c r="AM141" s="18">
        <f>+'P01 2022'!GA107</f>
        <v>0</v>
      </c>
      <c r="AN141" s="1057">
        <v>0</v>
      </c>
      <c r="AO141" s="1601"/>
      <c r="AP141" s="1401"/>
      <c r="AQ141" s="1401"/>
      <c r="AR141" s="1401"/>
      <c r="AS141" s="1401"/>
      <c r="AT141" s="1401"/>
      <c r="AU141" s="1401"/>
      <c r="AV141" s="1401"/>
      <c r="AW141" s="1401"/>
      <c r="AX141" s="1401"/>
      <c r="AY141" s="753"/>
      <c r="AZ141" s="1602"/>
      <c r="BA141" s="1398"/>
      <c r="BB141" s="753"/>
      <c r="BC141" s="1610"/>
      <c r="BD141" s="1610"/>
    </row>
    <row r="142" spans="1:56" s="177" customFormat="1" ht="15" customHeight="1" x14ac:dyDescent="0.25">
      <c r="A142" s="175"/>
      <c r="B142" s="1413" t="s">
        <v>610</v>
      </c>
      <c r="C142" s="1063" t="s">
        <v>1007</v>
      </c>
      <c r="D142" s="137"/>
      <c r="E142" s="137"/>
      <c r="F142" s="137"/>
      <c r="G142" s="137"/>
      <c r="H142" s="1298" t="s">
        <v>280</v>
      </c>
      <c r="I142" s="1148">
        <f>+'P01 2023'!F124</f>
        <v>10</v>
      </c>
      <c r="J142" s="16">
        <f>+'P01 2023'!EF129</f>
        <v>183168</v>
      </c>
      <c r="K142" s="16">
        <f ca="1">+K143</f>
        <v>183168</v>
      </c>
      <c r="L142" s="693">
        <f t="shared" ca="1" si="62"/>
        <v>1</v>
      </c>
      <c r="M142" s="16">
        <f>+'P01 2023'!EH129</f>
        <v>183168</v>
      </c>
      <c r="N142" s="693">
        <f t="shared" si="60"/>
        <v>1</v>
      </c>
      <c r="O142" s="16">
        <f>+'P01 2023'!EI129</f>
        <v>0</v>
      </c>
      <c r="P142" s="691">
        <f t="shared" si="57"/>
        <v>0</v>
      </c>
      <c r="Q142" s="1148">
        <f>+'P01 2022'!ES124</f>
        <v>4634.6799999999994</v>
      </c>
      <c r="R142" s="3">
        <f ca="1">SUMIF(T$3:$AN135,"SI",T142:AN142)</f>
        <v>4634.6799999999994</v>
      </c>
      <c r="S142" s="1737">
        <f ca="1">IFERROR(R142/Q142,"0,00%")</f>
        <v>1</v>
      </c>
      <c r="T142" s="219">
        <f>+'P01 2023'!I124</f>
        <v>0</v>
      </c>
      <c r="U142" s="1071">
        <v>0</v>
      </c>
      <c r="V142" s="1148">
        <v>0</v>
      </c>
      <c r="W142" s="1177">
        <v>0</v>
      </c>
      <c r="X142" s="1211">
        <v>0</v>
      </c>
      <c r="Y142" s="1177">
        <v>0</v>
      </c>
      <c r="Z142" s="1163">
        <f>+Z143</f>
        <v>0</v>
      </c>
      <c r="AA142" s="1177">
        <f>+AA143</f>
        <v>4634.6799999999994</v>
      </c>
      <c r="AB142" s="1163">
        <f>+AB143</f>
        <v>183168</v>
      </c>
      <c r="AC142" s="1177">
        <f>SUM(AC143:AC144)</f>
        <v>0</v>
      </c>
      <c r="AD142" s="1163">
        <v>0</v>
      </c>
      <c r="AE142" s="1177">
        <v>0</v>
      </c>
      <c r="AF142" s="1219">
        <v>0</v>
      </c>
      <c r="AG142" s="364">
        <v>0</v>
      </c>
      <c r="AH142" s="1211">
        <v>0</v>
      </c>
      <c r="AI142" s="364">
        <v>0</v>
      </c>
      <c r="AJ142" s="1585">
        <v>0</v>
      </c>
      <c r="AK142" s="3">
        <v>0</v>
      </c>
      <c r="AL142" s="3">
        <v>0</v>
      </c>
      <c r="AM142" s="3">
        <v>0</v>
      </c>
      <c r="AN142" s="364">
        <f>+'P01 2022'!GX108</f>
        <v>165784</v>
      </c>
      <c r="AO142" s="1601"/>
      <c r="AP142" s="1401"/>
      <c r="AQ142" s="1401"/>
      <c r="AR142" s="1401"/>
      <c r="AS142" s="1401"/>
      <c r="AT142" s="1401"/>
      <c r="AU142" s="1401"/>
      <c r="AV142" s="1401"/>
      <c r="AW142" s="1401"/>
      <c r="AX142" s="1401"/>
      <c r="AY142" s="753"/>
      <c r="AZ142" s="1602"/>
      <c r="BA142" s="1398"/>
      <c r="BB142" s="753"/>
      <c r="BC142" s="1610"/>
      <c r="BD142" s="1610"/>
    </row>
    <row r="143" spans="1:56" s="177" customFormat="1" ht="15" customHeight="1" x14ac:dyDescent="0.25">
      <c r="A143" s="175"/>
      <c r="B143" s="1413" t="s">
        <v>611</v>
      </c>
      <c r="C143" s="800"/>
      <c r="D143" s="182" t="s">
        <v>163</v>
      </c>
      <c r="E143" s="17"/>
      <c r="F143" s="17"/>
      <c r="G143" s="17" t="s">
        <v>348</v>
      </c>
      <c r="H143" s="1294" t="s">
        <v>1039</v>
      </c>
      <c r="I143" s="1147">
        <f>+'P01 2023'!F125</f>
        <v>10</v>
      </c>
      <c r="J143" s="1139">
        <f>+'P01 2023'!EF130</f>
        <v>183168</v>
      </c>
      <c r="K143" s="1139">
        <f ca="1">+K144+K145</f>
        <v>183168</v>
      </c>
      <c r="L143" s="1141">
        <f t="shared" ca="1" si="62"/>
        <v>1</v>
      </c>
      <c r="M143" s="1139">
        <f>+'P01 2023'!EH130</f>
        <v>183168</v>
      </c>
      <c r="N143" s="1470">
        <f t="shared" si="60"/>
        <v>1</v>
      </c>
      <c r="O143" s="1139">
        <f>+'P01 2023'!EI130</f>
        <v>0</v>
      </c>
      <c r="P143" s="1156">
        <f t="shared" si="57"/>
        <v>0</v>
      </c>
      <c r="Q143" s="1167">
        <f>+'P01 2022'!ES125</f>
        <v>4634.6799999999994</v>
      </c>
      <c r="R143" s="1142">
        <f ca="1">SUMIF(T$3:$AN136,"SI",T143:AN143)</f>
        <v>4634.6799999999994</v>
      </c>
      <c r="S143" s="1735">
        <f ca="1">IFERROR(R143/Q143,"0,00%")</f>
        <v>1</v>
      </c>
      <c r="T143" s="216">
        <f>+'P01 2023'!I125</f>
        <v>0</v>
      </c>
      <c r="U143" s="1169">
        <v>0</v>
      </c>
      <c r="V143" s="1168">
        <v>0</v>
      </c>
      <c r="W143" s="1185">
        <v>0</v>
      </c>
      <c r="X143" s="1214">
        <v>0</v>
      </c>
      <c r="Y143" s="1185">
        <v>0</v>
      </c>
      <c r="Z143" s="1168">
        <v>0</v>
      </c>
      <c r="AA143" s="1185">
        <f>+'P01 2022'!AQ108</f>
        <v>4634.6799999999994</v>
      </c>
      <c r="AB143" s="1168">
        <f>+'P01 2023'!BJ91</f>
        <v>183168</v>
      </c>
      <c r="AC143" s="1185">
        <v>0</v>
      </c>
      <c r="AD143" s="1168">
        <v>0</v>
      </c>
      <c r="AE143" s="1185">
        <v>0</v>
      </c>
      <c r="AF143" s="1468">
        <v>0</v>
      </c>
      <c r="AG143" s="1169">
        <v>0</v>
      </c>
      <c r="AH143" s="546">
        <v>0</v>
      </c>
      <c r="AI143" s="1056">
        <v>0</v>
      </c>
      <c r="AJ143" s="1584">
        <v>0</v>
      </c>
      <c r="AK143" s="18">
        <v>0</v>
      </c>
      <c r="AL143" s="185">
        <v>0</v>
      </c>
      <c r="AM143" s="97">
        <v>0</v>
      </c>
      <c r="AN143" s="1056">
        <f>+'P01 2022'!GX109</f>
        <v>165784</v>
      </c>
      <c r="AO143" s="1601"/>
      <c r="AP143" s="1401"/>
      <c r="AQ143" s="1401"/>
      <c r="AR143" s="1401"/>
      <c r="AS143" s="1401"/>
      <c r="AT143" s="1401"/>
      <c r="AU143" s="1401"/>
      <c r="AV143" s="1401"/>
      <c r="AW143" s="1401"/>
      <c r="AX143" s="1401"/>
      <c r="AY143" s="753"/>
      <c r="AZ143" s="1602"/>
      <c r="BA143" s="1398"/>
      <c r="BB143" s="753"/>
      <c r="BC143" s="1610"/>
      <c r="BD143" s="1610"/>
    </row>
    <row r="144" spans="1:56" s="177" customFormat="1" ht="15" hidden="1" customHeight="1" x14ac:dyDescent="0.25">
      <c r="A144" s="175"/>
      <c r="B144" s="1413" t="s">
        <v>612</v>
      </c>
      <c r="C144" s="800"/>
      <c r="D144" s="182"/>
      <c r="E144" s="17" t="s">
        <v>166</v>
      </c>
      <c r="F144" s="17"/>
      <c r="G144" s="17" t="s">
        <v>282</v>
      </c>
      <c r="H144" s="1294" t="s">
        <v>281</v>
      </c>
      <c r="I144" s="1147">
        <f>+'P01 2023'!F126</f>
        <v>10</v>
      </c>
      <c r="J144" s="1139">
        <f>+'P01 2023'!EF131</f>
        <v>183168</v>
      </c>
      <c r="K144" s="1139">
        <f ca="1">SUMIF(T$3:$AN136,"ok",T144:AN144)</f>
        <v>183168</v>
      </c>
      <c r="L144" s="1141">
        <f t="shared" ca="1" si="62"/>
        <v>1</v>
      </c>
      <c r="M144" s="1139">
        <f>+'P01 2023'!EH131</f>
        <v>183168</v>
      </c>
      <c r="N144" s="1470">
        <f t="shared" si="60"/>
        <v>1</v>
      </c>
      <c r="O144" s="1139">
        <f>+'P01 2023'!EI131</f>
        <v>0</v>
      </c>
      <c r="P144" s="1156">
        <f t="shared" si="57"/>
        <v>0</v>
      </c>
      <c r="Q144" s="1167">
        <f>+'P01 2022'!ES126</f>
        <v>4634.6799999999994</v>
      </c>
      <c r="R144" s="1142">
        <f ca="1">SUMIF(T$3:$AN137,"SI",T144:AN144)</f>
        <v>4634.6799999999994</v>
      </c>
      <c r="S144" s="1735">
        <f ca="1">IFERROR(R144/Q144,"0,00%")</f>
        <v>1</v>
      </c>
      <c r="T144" s="216">
        <f>+'P01 2023'!I126</f>
        <v>0</v>
      </c>
      <c r="U144" s="1169">
        <v>0</v>
      </c>
      <c r="V144" s="1168">
        <v>0</v>
      </c>
      <c r="W144" s="1185">
        <v>0</v>
      </c>
      <c r="X144" s="1214">
        <v>0</v>
      </c>
      <c r="Y144" s="1185">
        <v>0</v>
      </c>
      <c r="Z144" s="1168">
        <v>0</v>
      </c>
      <c r="AA144" s="1185">
        <f>+'P01 2022'!AQ109</f>
        <v>4634.6799999999994</v>
      </c>
      <c r="AB144" s="1168">
        <f>+'P01 2023'!BJ92</f>
        <v>183168</v>
      </c>
      <c r="AC144" s="1185">
        <v>0</v>
      </c>
      <c r="AD144" s="1168">
        <v>0</v>
      </c>
      <c r="AE144" s="1185">
        <v>0</v>
      </c>
      <c r="AF144" s="1468">
        <v>0</v>
      </c>
      <c r="AG144" s="1169">
        <v>0</v>
      </c>
      <c r="AH144" s="546">
        <v>0</v>
      </c>
      <c r="AI144" s="1056">
        <v>0</v>
      </c>
      <c r="AJ144" s="1584">
        <v>0</v>
      </c>
      <c r="AK144" s="18">
        <v>0</v>
      </c>
      <c r="AL144" s="185">
        <v>0</v>
      </c>
      <c r="AM144" s="97">
        <v>0</v>
      </c>
      <c r="AN144" s="1056">
        <f>+'P01 2022'!GX110</f>
        <v>163527.82500000001</v>
      </c>
      <c r="AO144" s="1601"/>
      <c r="AP144" s="1401"/>
      <c r="AQ144" s="1401"/>
      <c r="AR144" s="1401"/>
      <c r="AS144" s="1401"/>
      <c r="AT144" s="1401"/>
      <c r="AU144" s="1401"/>
      <c r="AV144" s="1401"/>
      <c r="AW144" s="1401"/>
      <c r="AX144" s="1401"/>
      <c r="AY144" s="753"/>
      <c r="AZ144" s="1602"/>
      <c r="BA144" s="1398"/>
      <c r="BB144" s="753"/>
      <c r="BC144" s="1610"/>
      <c r="BD144" s="1610"/>
    </row>
    <row r="145" spans="1:56" s="177" customFormat="1" ht="15" hidden="1" customHeight="1" x14ac:dyDescent="0.25">
      <c r="A145" s="175"/>
      <c r="B145" s="1413" t="s">
        <v>927</v>
      </c>
      <c r="C145" s="800"/>
      <c r="D145" s="182"/>
      <c r="E145" s="17"/>
      <c r="F145" s="17"/>
      <c r="G145" s="17" t="s">
        <v>934</v>
      </c>
      <c r="H145" s="1294" t="s">
        <v>932</v>
      </c>
      <c r="I145" s="1147">
        <v>0</v>
      </c>
      <c r="J145" s="97">
        <v>0</v>
      </c>
      <c r="K145" s="18">
        <f ca="1">SUMIF(T$3:$AN137,"ok",T145:AN145)</f>
        <v>0</v>
      </c>
      <c r="L145" s="1141">
        <f ca="1">IFERROR(K145/J145,"0,00"%)</f>
        <v>0</v>
      </c>
      <c r="M145" s="97">
        <v>0</v>
      </c>
      <c r="N145" s="694">
        <v>0</v>
      </c>
      <c r="O145" s="97">
        <v>0</v>
      </c>
      <c r="P145" s="1156">
        <f t="shared" si="57"/>
        <v>0</v>
      </c>
      <c r="Q145" s="1162">
        <v>0</v>
      </c>
      <c r="R145" s="997">
        <f ca="1">SUMIF(T$3:$AN138,"SI",T145:AN145)</f>
        <v>0</v>
      </c>
      <c r="S145" s="1734" t="str">
        <f ca="1">IFERROR(R145/Q145,"0,00%")</f>
        <v>0,00%</v>
      </c>
      <c r="T145" s="1725">
        <v>0</v>
      </c>
      <c r="U145" s="1169">
        <v>0</v>
      </c>
      <c r="V145" s="1168">
        <v>0</v>
      </c>
      <c r="W145" s="1185">
        <v>0</v>
      </c>
      <c r="X145" s="1214">
        <v>0</v>
      </c>
      <c r="Y145" s="1185">
        <v>0</v>
      </c>
      <c r="Z145" s="1168">
        <v>0</v>
      </c>
      <c r="AA145" s="1185">
        <v>0</v>
      </c>
      <c r="AB145" s="1168">
        <v>0</v>
      </c>
      <c r="AC145" s="1185">
        <v>0</v>
      </c>
      <c r="AD145" s="1168">
        <v>0</v>
      </c>
      <c r="AE145" s="1185">
        <v>0</v>
      </c>
      <c r="AF145" s="1468">
        <v>0</v>
      </c>
      <c r="AG145" s="1169">
        <v>0</v>
      </c>
      <c r="AH145" s="546">
        <v>0</v>
      </c>
      <c r="AI145" s="1169">
        <v>0</v>
      </c>
      <c r="AJ145" s="1590">
        <v>0</v>
      </c>
      <c r="AK145" s="97">
        <v>0</v>
      </c>
      <c r="AL145" s="97">
        <v>0</v>
      </c>
      <c r="AM145" s="97">
        <v>0</v>
      </c>
      <c r="AN145" s="1056">
        <f>+'P01 2022'!GX111</f>
        <v>2256.1750000000002</v>
      </c>
      <c r="AO145" s="1601"/>
      <c r="AP145" s="1401"/>
      <c r="AQ145" s="1401"/>
      <c r="AR145" s="1401"/>
      <c r="AS145" s="1401"/>
      <c r="AT145" s="1401"/>
      <c r="AU145" s="1401"/>
      <c r="AV145" s="1401"/>
      <c r="AW145" s="1401"/>
      <c r="AX145" s="1401"/>
      <c r="AY145" s="753"/>
      <c r="AZ145" s="1602"/>
      <c r="BA145" s="1398"/>
      <c r="BB145" s="753"/>
      <c r="BC145" s="1610"/>
      <c r="BD145" s="1610"/>
    </row>
    <row r="146" spans="1:56" s="177" customFormat="1" ht="15" customHeight="1" x14ac:dyDescent="0.25">
      <c r="A146" s="175"/>
      <c r="B146" s="1413" t="s">
        <v>412</v>
      </c>
      <c r="C146" s="798">
        <v>24</v>
      </c>
      <c r="D146" s="128" t="s">
        <v>2</v>
      </c>
      <c r="E146" s="133"/>
      <c r="F146" s="133"/>
      <c r="G146" s="133"/>
      <c r="H146" s="1293" t="s">
        <v>148</v>
      </c>
      <c r="I146" s="1145">
        <f>+I155+I162+I147</f>
        <v>136431</v>
      </c>
      <c r="J146" s="127">
        <f>+J155+J162+J147</f>
        <v>518867</v>
      </c>
      <c r="K146" s="127">
        <f ca="1">+K155+K162+K147</f>
        <v>160413.67099999997</v>
      </c>
      <c r="L146" s="783">
        <f ca="1">IFERROR(K146/J146,"0,00"%)</f>
        <v>0.30916144406948209</v>
      </c>
      <c r="M146" s="127">
        <f>+M155+M162+M147</f>
        <v>185984.041</v>
      </c>
      <c r="N146" s="783">
        <f>+N155+N162+N147</f>
        <v>1</v>
      </c>
      <c r="O146" s="127">
        <f>+O155+O162+O147</f>
        <v>332882.95900000003</v>
      </c>
      <c r="P146" s="1155">
        <f t="shared" si="57"/>
        <v>0.64155739139317014</v>
      </c>
      <c r="Q146" s="1145">
        <f>+Q155+Q162+Q147</f>
        <v>328338.37699999998</v>
      </c>
      <c r="R146" s="127">
        <f ca="1">+R155+R162+R147</f>
        <v>196533.46189500001</v>
      </c>
      <c r="S146" s="1146">
        <f ca="1">+S155+S162+S147</f>
        <v>0.5985698768773533</v>
      </c>
      <c r="T146" s="1070">
        <f>+T155+T162+T147</f>
        <v>8886.1550000000007</v>
      </c>
      <c r="U146" s="1078">
        <f>+U155+U162+U147</f>
        <v>16445.831386999998</v>
      </c>
      <c r="V146" s="1145">
        <f>+'P01 2023'!N90</f>
        <v>7734.8440000000001</v>
      </c>
      <c r="W146" s="1186">
        <f>+W155+W162+W147</f>
        <v>14796.281805999999</v>
      </c>
      <c r="X146" s="1215">
        <f>+X147+X155+X162</f>
        <v>9175.4689999999991</v>
      </c>
      <c r="Y146" s="1186">
        <f>+Y147+Y155+Y162</f>
        <v>34431.257761000001</v>
      </c>
      <c r="Z146" s="1145">
        <f>+Z155+Z162+Z147</f>
        <v>1775.4690000000001</v>
      </c>
      <c r="AA146" s="1186">
        <f>+AA155+AA162+AA147</f>
        <v>37647.527963</v>
      </c>
      <c r="AB146" s="1145">
        <f>+AB147+AB155+AB162</f>
        <v>7985.4690000000001</v>
      </c>
      <c r="AC146" s="1186">
        <f>+AC147+AC155+AC162</f>
        <v>18303.963890999999</v>
      </c>
      <c r="AD146" s="1145">
        <f>+'P01 2023'!BZ104</f>
        <v>99079.078999999998</v>
      </c>
      <c r="AE146" s="1186">
        <f>+AE155+AE162+AE147</f>
        <v>15500.08135</v>
      </c>
      <c r="AF146" s="1219">
        <f>+'P01 2023'!CP106</f>
        <v>11350.124</v>
      </c>
      <c r="AG146" s="1078">
        <f>+AG155+AG162+AG147</f>
        <v>12235.463781999999</v>
      </c>
      <c r="AH146" s="1215">
        <f>+'P01 2023'!DF93</f>
        <v>7985.4690000000001</v>
      </c>
      <c r="AI146" s="1078">
        <f>+AI155+AI162+AI147</f>
        <v>11445.866319000001</v>
      </c>
      <c r="AJ146" s="1591">
        <f>+'P01 2023'!DX112</f>
        <v>6441.5929999999998</v>
      </c>
      <c r="AK146" s="127">
        <f>+AK155+AK162+AK147</f>
        <v>35727.187636000002</v>
      </c>
      <c r="AL146" s="127">
        <f>+AL155+AL162+AL147</f>
        <v>11418.412</v>
      </c>
      <c r="AM146" s="127">
        <f>+AM147+AM155+AM162</f>
        <v>52753.813000000002</v>
      </c>
      <c r="AN146" s="1055">
        <f>+'P01 2022'!GX112</f>
        <v>327021.03700000001</v>
      </c>
      <c r="AO146" s="1601"/>
      <c r="AP146" s="1401"/>
      <c r="AQ146" s="1401"/>
      <c r="AR146" s="1401"/>
      <c r="AS146" s="1401"/>
      <c r="AT146" s="1401"/>
      <c r="AU146" s="1401"/>
      <c r="AV146" s="1401"/>
      <c r="AW146" s="1401"/>
      <c r="AX146" s="1401"/>
      <c r="AY146" s="753"/>
      <c r="AZ146" s="1602"/>
      <c r="BA146" s="1398"/>
      <c r="BB146" s="753"/>
      <c r="BC146" s="1610"/>
      <c r="BD146" s="1610"/>
    </row>
    <row r="147" spans="1:56" s="177" customFormat="1" ht="15" customHeight="1" x14ac:dyDescent="0.25">
      <c r="A147" s="175"/>
      <c r="B147" s="1413" t="s">
        <v>538</v>
      </c>
      <c r="C147" s="798" t="s">
        <v>2</v>
      </c>
      <c r="D147" s="1036" t="s">
        <v>311</v>
      </c>
      <c r="E147" s="133"/>
      <c r="F147" s="1037"/>
      <c r="G147" s="1037"/>
      <c r="H147" s="1293" t="s">
        <v>309</v>
      </c>
      <c r="I147" s="1145">
        <v>0</v>
      </c>
      <c r="J147" s="127">
        <f>SUM(J148:J154)</f>
        <v>90000</v>
      </c>
      <c r="K147" s="127">
        <f ca="1">SUM(K148:K154)</f>
        <v>90000</v>
      </c>
      <c r="L147" s="783">
        <f ca="1">IFERROR(K147/J147,"0,00"%)</f>
        <v>1</v>
      </c>
      <c r="M147" s="127">
        <f>SUM(M148:M154)</f>
        <v>90000</v>
      </c>
      <c r="N147" s="783">
        <f>+IFERROR(M147/J147,0)</f>
        <v>1</v>
      </c>
      <c r="O147" s="127">
        <f>SUM(O148:O154)</f>
        <v>0</v>
      </c>
      <c r="P147" s="1155">
        <f t="shared" si="57"/>
        <v>0</v>
      </c>
      <c r="Q147" s="1736">
        <v>0</v>
      </c>
      <c r="R147" s="998">
        <f ca="1">SUM(R149:R154)</f>
        <v>0</v>
      </c>
      <c r="S147" s="1732" t="str">
        <f ca="1">IFERROR(R147/Q147,"0,00%")</f>
        <v>0,00%</v>
      </c>
      <c r="T147" s="1286">
        <v>0</v>
      </c>
      <c r="U147" s="1078">
        <v>0</v>
      </c>
      <c r="V147" s="1145">
        <v>0</v>
      </c>
      <c r="W147" s="1186">
        <v>0</v>
      </c>
      <c r="X147" s="1215">
        <f>SUM(X149:X154)</f>
        <v>0</v>
      </c>
      <c r="Y147" s="1186">
        <v>0</v>
      </c>
      <c r="Z147" s="1145">
        <f>SUM(Z149:Z154)</f>
        <v>0</v>
      </c>
      <c r="AA147" s="1186">
        <f>SUM(AA149:AA154)</f>
        <v>0</v>
      </c>
      <c r="AB147" s="1145">
        <f>SUM(AB149:AB154)</f>
        <v>0</v>
      </c>
      <c r="AC147" s="1186">
        <f>SUM(AC149:AC152)</f>
        <v>0</v>
      </c>
      <c r="AD147" s="1145">
        <f>+'P01 2023'!BZ105</f>
        <v>90000</v>
      </c>
      <c r="AE147" s="1186">
        <f>+AE149+AE150+AE151+AE152</f>
        <v>0</v>
      </c>
      <c r="AF147" s="1219">
        <v>0</v>
      </c>
      <c r="AG147" s="1078">
        <v>0</v>
      </c>
      <c r="AH147" s="1215">
        <v>0</v>
      </c>
      <c r="AI147" s="1078">
        <v>0</v>
      </c>
      <c r="AJ147" s="1591">
        <v>0</v>
      </c>
      <c r="AK147" s="127">
        <v>0</v>
      </c>
      <c r="AL147" s="127">
        <f>SUM(AL149:AL154)</f>
        <v>0</v>
      </c>
      <c r="AM147" s="127">
        <v>0</v>
      </c>
      <c r="AN147" s="1055">
        <f>+'P01 2022'!GX113</f>
        <v>81155</v>
      </c>
      <c r="AO147" s="1601"/>
      <c r="AP147" s="1401"/>
      <c r="AQ147" s="1401"/>
      <c r="AR147" s="1401"/>
      <c r="AS147" s="1401"/>
      <c r="AT147" s="1401"/>
      <c r="AU147" s="1401"/>
      <c r="AV147" s="1401"/>
      <c r="AW147" s="1401"/>
      <c r="AX147" s="1401"/>
      <c r="AY147" s="753"/>
      <c r="AZ147" s="1602"/>
      <c r="BA147" s="1398"/>
      <c r="BB147" s="753"/>
      <c r="BC147" s="1610"/>
      <c r="BD147" s="1610"/>
    </row>
    <row r="148" spans="1:56" s="177" customFormat="1" ht="15" customHeight="1" x14ac:dyDescent="0.25">
      <c r="A148" s="175"/>
      <c r="B148" s="1413" t="s">
        <v>1024</v>
      </c>
      <c r="C148" s="1549"/>
      <c r="D148" s="17"/>
      <c r="E148" s="17"/>
      <c r="F148" s="17"/>
      <c r="G148" s="17" t="s">
        <v>1028</v>
      </c>
      <c r="H148" s="1294" t="s">
        <v>1027</v>
      </c>
      <c r="I148" s="1151">
        <v>0</v>
      </c>
      <c r="J148" s="1550">
        <f>+'P01 2023'!EF133</f>
        <v>90000</v>
      </c>
      <c r="K148" s="1550">
        <f>SUMIF(T$3:$AN136,"ok",T148:AN1452)</f>
        <v>90000</v>
      </c>
      <c r="L148" s="694">
        <f>IFERROR(K148/J148,"0,00"%)</f>
        <v>1</v>
      </c>
      <c r="M148" s="1550">
        <f>+'P01 2023'!EH133</f>
        <v>90000</v>
      </c>
      <c r="N148" s="694">
        <f>+IFERROR(M150/J150,0)</f>
        <v>0</v>
      </c>
      <c r="O148" s="1550">
        <f>+'P01 2023'!EI133</f>
        <v>0</v>
      </c>
      <c r="P148" s="1156">
        <f>+IFERROR(O150/J150,0)</f>
        <v>0</v>
      </c>
      <c r="Q148" s="1738">
        <v>0</v>
      </c>
      <c r="R148" s="1031">
        <v>0</v>
      </c>
      <c r="S148" s="1739">
        <v>0</v>
      </c>
      <c r="T148" s="1726"/>
      <c r="U148" s="1079"/>
      <c r="V148" s="1151"/>
      <c r="W148" s="1187"/>
      <c r="X148" s="1216"/>
      <c r="Y148" s="1187"/>
      <c r="Z148" s="1151"/>
      <c r="AA148" s="1187"/>
      <c r="AB148" s="1168">
        <v>0</v>
      </c>
      <c r="AC148" s="1185">
        <v>0</v>
      </c>
      <c r="AD148" s="1147">
        <f>+'P01 2023'!BZ106</f>
        <v>90000</v>
      </c>
      <c r="AE148" s="1176">
        <v>0</v>
      </c>
      <c r="AF148" s="1551">
        <v>0</v>
      </c>
      <c r="AG148" s="1169">
        <v>0</v>
      </c>
      <c r="AH148" s="546">
        <v>0</v>
      </c>
      <c r="AI148" s="1079"/>
      <c r="AJ148" s="1592">
        <v>0</v>
      </c>
      <c r="AK148" s="1550">
        <v>0</v>
      </c>
      <c r="AL148" s="1550"/>
      <c r="AM148" s="1550"/>
      <c r="AN148" s="1062"/>
      <c r="AO148" s="1601"/>
      <c r="AP148" s="1401"/>
      <c r="AQ148" s="1401"/>
      <c r="AR148" s="1401"/>
      <c r="AS148" s="1401"/>
      <c r="AT148" s="1401"/>
      <c r="AU148" s="1401"/>
      <c r="AV148" s="1401"/>
      <c r="AW148" s="1401"/>
      <c r="AX148" s="1401"/>
      <c r="AY148" s="753"/>
      <c r="AZ148" s="1602"/>
      <c r="BA148" s="1398"/>
      <c r="BB148" s="753"/>
      <c r="BC148" s="1610"/>
      <c r="BD148" s="1610"/>
    </row>
    <row r="149" spans="1:56" s="177" customFormat="1" ht="15" hidden="1" customHeight="1" x14ac:dyDescent="0.25">
      <c r="A149" s="175"/>
      <c r="B149" s="1413" t="s">
        <v>688</v>
      </c>
      <c r="C149" s="1549"/>
      <c r="D149" s="1552"/>
      <c r="E149" s="1048"/>
      <c r="F149" s="188"/>
      <c r="G149" s="17" t="s">
        <v>310</v>
      </c>
      <c r="H149" s="1301" t="s">
        <v>647</v>
      </c>
      <c r="I149" s="1147">
        <v>0</v>
      </c>
      <c r="J149" s="1030">
        <v>0</v>
      </c>
      <c r="K149" s="97">
        <v>0</v>
      </c>
      <c r="L149" s="694">
        <f>IFERROR(K149/J149,"0,00"%)</f>
        <v>0</v>
      </c>
      <c r="M149" s="1030">
        <v>0</v>
      </c>
      <c r="N149" s="694">
        <f>+IFERROR(M151/J151,0)</f>
        <v>0</v>
      </c>
      <c r="O149" s="1030">
        <v>0</v>
      </c>
      <c r="P149" s="1156">
        <f>+IFERROR(O151/J151,0)</f>
        <v>0</v>
      </c>
      <c r="Q149" s="1162">
        <v>0</v>
      </c>
      <c r="R149" s="1553">
        <f ca="1">SUMIF(T$3:$AN141,"SI",T149:AN149)</f>
        <v>0</v>
      </c>
      <c r="S149" s="1734" t="str">
        <f ca="1">IFERROR(R149/Q149,"0,00%")</f>
        <v>0,00%</v>
      </c>
      <c r="T149" s="1727">
        <v>0</v>
      </c>
      <c r="U149" s="1169">
        <v>0</v>
      </c>
      <c r="V149" s="1168">
        <v>0</v>
      </c>
      <c r="W149" s="1185">
        <v>0</v>
      </c>
      <c r="X149" s="1214">
        <v>0</v>
      </c>
      <c r="Y149" s="1185">
        <v>0</v>
      </c>
      <c r="Z149" s="1168">
        <v>0</v>
      </c>
      <c r="AA149" s="1185">
        <v>0</v>
      </c>
      <c r="AB149" s="1168">
        <v>0</v>
      </c>
      <c r="AC149" s="1185">
        <v>0</v>
      </c>
      <c r="AD149" s="1168">
        <v>0</v>
      </c>
      <c r="AE149" s="1185">
        <v>0</v>
      </c>
      <c r="AF149" s="1551">
        <v>0</v>
      </c>
      <c r="AG149" s="1169">
        <v>0</v>
      </c>
      <c r="AH149" s="546">
        <v>0</v>
      </c>
      <c r="AI149" s="1056">
        <v>0</v>
      </c>
      <c r="AJ149" s="1584">
        <v>0</v>
      </c>
      <c r="AK149" s="18">
        <v>0</v>
      </c>
      <c r="AL149" s="323">
        <f>+'P01 2022'!FC102</f>
        <v>0</v>
      </c>
      <c r="AM149" s="97">
        <v>0</v>
      </c>
      <c r="AN149" s="1056">
        <v>0</v>
      </c>
      <c r="AO149" s="1601"/>
      <c r="AP149" s="1401"/>
      <c r="AQ149" s="1401"/>
      <c r="AR149" s="1401"/>
      <c r="AS149" s="1401"/>
      <c r="AT149" s="1401"/>
      <c r="AU149" s="1401"/>
      <c r="AV149" s="1401"/>
      <c r="AW149" s="1401"/>
      <c r="AX149" s="1401"/>
      <c r="AY149" s="753"/>
      <c r="AZ149" s="1602"/>
      <c r="BA149" s="1398"/>
      <c r="BB149" s="753"/>
      <c r="BC149" s="1610"/>
      <c r="BD149" s="1610"/>
    </row>
    <row r="150" spans="1:56" s="177" customFormat="1" ht="15" hidden="1" customHeight="1" x14ac:dyDescent="0.25">
      <c r="A150" s="175"/>
      <c r="B150" s="1413" t="s">
        <v>689</v>
      </c>
      <c r="C150" s="1549"/>
      <c r="D150" s="1552"/>
      <c r="E150" s="1048"/>
      <c r="F150" s="188"/>
      <c r="G150" s="17" t="s">
        <v>317</v>
      </c>
      <c r="H150" s="1301" t="s">
        <v>654</v>
      </c>
      <c r="I150" s="1147">
        <v>0</v>
      </c>
      <c r="J150" s="1030">
        <v>0</v>
      </c>
      <c r="K150" s="97">
        <v>0</v>
      </c>
      <c r="L150" s="694">
        <v>0</v>
      </c>
      <c r="M150" s="1030">
        <v>0</v>
      </c>
      <c r="N150" s="694">
        <f>+IFERROR(M155/J155,0)</f>
        <v>0.70353542083544063</v>
      </c>
      <c r="O150" s="1030">
        <v>0</v>
      </c>
      <c r="P150" s="1156">
        <f>+IFERROR(O155/J155,0)</f>
        <v>0.29646457916455937</v>
      </c>
      <c r="Q150" s="1162">
        <v>0</v>
      </c>
      <c r="R150" s="1553">
        <f ca="1">SUMIF(T$3:$AN142,"SI",T150:AN150)</f>
        <v>0</v>
      </c>
      <c r="S150" s="1734" t="str">
        <f ca="1">IFERROR(R150/Q150,"0,00%")</f>
        <v>0,00%</v>
      </c>
      <c r="T150" s="1727">
        <v>0</v>
      </c>
      <c r="U150" s="1169">
        <v>0</v>
      </c>
      <c r="V150" s="1168">
        <v>0</v>
      </c>
      <c r="W150" s="1185">
        <v>0</v>
      </c>
      <c r="X150" s="1214">
        <v>0</v>
      </c>
      <c r="Y150" s="1185">
        <v>0</v>
      </c>
      <c r="Z150" s="1168">
        <v>0</v>
      </c>
      <c r="AA150" s="1185">
        <v>0</v>
      </c>
      <c r="AB150" s="1168">
        <v>0</v>
      </c>
      <c r="AC150" s="1176">
        <v>0</v>
      </c>
      <c r="AD150" s="1147">
        <v>0</v>
      </c>
      <c r="AE150" s="1185">
        <v>0</v>
      </c>
      <c r="AF150" s="1551">
        <v>0</v>
      </c>
      <c r="AG150" s="1169">
        <v>0</v>
      </c>
      <c r="AH150" s="546">
        <v>0</v>
      </c>
      <c r="AI150" s="1169">
        <v>0</v>
      </c>
      <c r="AJ150" s="1590">
        <v>0</v>
      </c>
      <c r="AK150" s="18">
        <v>0</v>
      </c>
      <c r="AL150" s="185">
        <v>0</v>
      </c>
      <c r="AM150" s="97">
        <v>0</v>
      </c>
      <c r="AN150" s="1056">
        <v>0</v>
      </c>
      <c r="AO150" s="1601"/>
      <c r="AP150" s="1401"/>
      <c r="AQ150" s="1401"/>
      <c r="AR150" s="1401"/>
      <c r="AS150" s="1401"/>
      <c r="AT150" s="1401"/>
      <c r="AU150" s="1401"/>
      <c r="AV150" s="1401"/>
      <c r="AW150" s="1401"/>
      <c r="AX150" s="1401"/>
      <c r="AY150" s="753"/>
      <c r="AZ150" s="1602"/>
      <c r="BA150" s="1398"/>
      <c r="BB150" s="753"/>
      <c r="BC150" s="1610"/>
      <c r="BD150" s="1610"/>
    </row>
    <row r="151" spans="1:56" s="177" customFormat="1" ht="15" hidden="1" customHeight="1" x14ac:dyDescent="0.25">
      <c r="A151" s="175"/>
      <c r="B151" s="1413" t="s">
        <v>690</v>
      </c>
      <c r="C151" s="1549"/>
      <c r="D151" s="1552"/>
      <c r="E151" s="1048"/>
      <c r="F151" s="188"/>
      <c r="G151" s="17" t="s">
        <v>338</v>
      </c>
      <c r="H151" s="1301" t="s">
        <v>754</v>
      </c>
      <c r="I151" s="1147">
        <v>0</v>
      </c>
      <c r="J151" s="97">
        <v>0</v>
      </c>
      <c r="K151" s="97">
        <f ca="1">SUMIF(T$3:$AN141,"ok",T151:AN151)</f>
        <v>0</v>
      </c>
      <c r="L151" s="694">
        <f ca="1">IFERROR(K151/J151,"0,00"%)</f>
        <v>0</v>
      </c>
      <c r="M151" s="1030">
        <v>0</v>
      </c>
      <c r="N151" s="694">
        <f>+IFERROR(M156/J156,0)</f>
        <v>0</v>
      </c>
      <c r="O151" s="1030">
        <v>0</v>
      </c>
      <c r="P151" s="1156">
        <f>+IFERROR(O156/J156,0)</f>
        <v>1</v>
      </c>
      <c r="Q151" s="1162">
        <v>0</v>
      </c>
      <c r="R151" s="1553">
        <f ca="1">SUMIF(T$3:$AN143,"SI",T151:AN151)</f>
        <v>0</v>
      </c>
      <c r="S151" s="1734" t="str">
        <f ca="1">IFERROR(R151/Q151,"0,00%")</f>
        <v>0,00%</v>
      </c>
      <c r="T151" s="1727">
        <v>0</v>
      </c>
      <c r="U151" s="1169">
        <v>0</v>
      </c>
      <c r="V151" s="1168">
        <v>0</v>
      </c>
      <c r="W151" s="1185">
        <v>0</v>
      </c>
      <c r="X151" s="1214">
        <v>0</v>
      </c>
      <c r="Y151" s="1185">
        <v>0</v>
      </c>
      <c r="Z151" s="1168">
        <v>0</v>
      </c>
      <c r="AA151" s="1185">
        <v>0</v>
      </c>
      <c r="AB151" s="1168">
        <v>0</v>
      </c>
      <c r="AC151" s="1185">
        <v>0</v>
      </c>
      <c r="AD151" s="1168">
        <v>0</v>
      </c>
      <c r="AE151" s="1185">
        <v>0</v>
      </c>
      <c r="AF151" s="1551">
        <v>0</v>
      </c>
      <c r="AG151" s="1169">
        <v>0</v>
      </c>
      <c r="AH151" s="546">
        <v>0</v>
      </c>
      <c r="AI151" s="1169">
        <v>0</v>
      </c>
      <c r="AJ151" s="1590">
        <v>0</v>
      </c>
      <c r="AK151" s="18">
        <v>0</v>
      </c>
      <c r="AL151" s="323">
        <f>+'P01 2022'!FC104</f>
        <v>0</v>
      </c>
      <c r="AM151" s="97">
        <v>0</v>
      </c>
      <c r="AN151" s="1056">
        <f>+'P01 2022'!GX114</f>
        <v>81155</v>
      </c>
      <c r="AO151" s="1601"/>
      <c r="AP151" s="1401"/>
      <c r="AQ151" s="1401"/>
      <c r="AR151" s="1401"/>
      <c r="AS151" s="1401"/>
      <c r="AT151" s="1401"/>
      <c r="AU151" s="1401"/>
      <c r="AV151" s="1401"/>
      <c r="AW151" s="1401"/>
      <c r="AX151" s="1401"/>
      <c r="AY151" s="753"/>
      <c r="AZ151" s="1602"/>
      <c r="BA151" s="1398"/>
      <c r="BB151" s="753"/>
      <c r="BC151" s="1610"/>
      <c r="BD151" s="1610"/>
    </row>
    <row r="152" spans="1:56" s="177" customFormat="1" ht="15" hidden="1" customHeight="1" x14ac:dyDescent="0.25">
      <c r="A152" s="175"/>
      <c r="B152" s="1413" t="s">
        <v>613</v>
      </c>
      <c r="C152" s="1549"/>
      <c r="D152" s="1552"/>
      <c r="E152" s="1048"/>
      <c r="F152" s="188"/>
      <c r="G152" s="17" t="s">
        <v>753</v>
      </c>
      <c r="H152" s="1301" t="s">
        <v>755</v>
      </c>
      <c r="I152" s="1147">
        <v>0</v>
      </c>
      <c r="J152" s="1030">
        <v>0</v>
      </c>
      <c r="K152" s="97">
        <v>0</v>
      </c>
      <c r="L152" s="694">
        <v>0</v>
      </c>
      <c r="M152" s="1030">
        <v>0</v>
      </c>
      <c r="N152" s="694">
        <f>+IFERROR(M157/J157,0)</f>
        <v>0</v>
      </c>
      <c r="O152" s="1030">
        <v>0</v>
      </c>
      <c r="P152" s="1156">
        <f>+IFERROR(O157/J157,0)</f>
        <v>0</v>
      </c>
      <c r="Q152" s="1162">
        <v>0</v>
      </c>
      <c r="R152" s="1553">
        <f ca="1">SUMIF(T$3:$AN144,"SI",T152:AN152)</f>
        <v>0</v>
      </c>
      <c r="S152" s="1734" t="str">
        <f ca="1">IFERROR(R152/Q152,"0,00%")</f>
        <v>0,00%</v>
      </c>
      <c r="T152" s="1727">
        <v>0</v>
      </c>
      <c r="U152" s="1169">
        <v>0</v>
      </c>
      <c r="V152" s="1168">
        <v>0</v>
      </c>
      <c r="W152" s="1185">
        <v>0</v>
      </c>
      <c r="X152" s="1214">
        <v>0</v>
      </c>
      <c r="Y152" s="1185">
        <v>0</v>
      </c>
      <c r="Z152" s="1168">
        <v>0</v>
      </c>
      <c r="AA152" s="1185">
        <v>0</v>
      </c>
      <c r="AB152" s="1168">
        <v>0</v>
      </c>
      <c r="AC152" s="1185">
        <v>0</v>
      </c>
      <c r="AD152" s="1168">
        <v>0</v>
      </c>
      <c r="AE152" s="1185">
        <v>0</v>
      </c>
      <c r="AF152" s="1551">
        <v>0</v>
      </c>
      <c r="AG152" s="1169">
        <v>0</v>
      </c>
      <c r="AH152" s="546">
        <v>0</v>
      </c>
      <c r="AI152" s="1169">
        <v>0</v>
      </c>
      <c r="AJ152" s="1590">
        <v>0</v>
      </c>
      <c r="AK152" s="18">
        <v>0</v>
      </c>
      <c r="AL152" s="185">
        <v>0</v>
      </c>
      <c r="AM152" s="97">
        <v>0</v>
      </c>
      <c r="AN152" s="1056">
        <v>0</v>
      </c>
      <c r="AO152" s="1601"/>
      <c r="AP152" s="1401"/>
      <c r="AQ152" s="1401"/>
      <c r="AR152" s="1401"/>
      <c r="AS152" s="1401"/>
      <c r="AT152" s="1401"/>
      <c r="AU152" s="1401"/>
      <c r="AV152" s="1401"/>
      <c r="AW152" s="1401"/>
      <c r="AX152" s="1401"/>
      <c r="AY152" s="753"/>
      <c r="AZ152" s="1602"/>
      <c r="BA152" s="1398"/>
      <c r="BB152" s="753"/>
      <c r="BC152" s="1610"/>
      <c r="BD152" s="1610"/>
    </row>
    <row r="153" spans="1:56" s="177" customFormat="1" ht="15" hidden="1" customHeight="1" x14ac:dyDescent="0.25">
      <c r="A153" s="175"/>
      <c r="B153" s="1413" t="s">
        <v>700</v>
      </c>
      <c r="C153" s="1549"/>
      <c r="D153" s="1552"/>
      <c r="E153" s="1048"/>
      <c r="F153" s="188"/>
      <c r="G153" s="17" t="s">
        <v>921</v>
      </c>
      <c r="H153" s="1301" t="s">
        <v>873</v>
      </c>
      <c r="I153" s="1147">
        <v>0</v>
      </c>
      <c r="J153" s="1030">
        <v>0</v>
      </c>
      <c r="K153" s="97">
        <v>0</v>
      </c>
      <c r="L153" s="694">
        <v>0</v>
      </c>
      <c r="M153" s="1030">
        <v>0</v>
      </c>
      <c r="N153" s="694">
        <f>+IFERROR(M159/J159,0)</f>
        <v>0.70358699173880856</v>
      </c>
      <c r="O153" s="1030">
        <v>0</v>
      </c>
      <c r="P153" s="1156">
        <f>+IFERROR(O159/J159,0)</f>
        <v>0.29641300826119149</v>
      </c>
      <c r="Q153" s="1162">
        <v>0</v>
      </c>
      <c r="R153" s="1553">
        <f ca="1">SUMIF(T$3:$AN145,"SI",T153:AN153)</f>
        <v>0</v>
      </c>
      <c r="S153" s="1734">
        <v>0</v>
      </c>
      <c r="T153" s="1727">
        <v>0</v>
      </c>
      <c r="U153" s="1169">
        <v>0</v>
      </c>
      <c r="V153" s="1168">
        <v>0</v>
      </c>
      <c r="W153" s="1185">
        <v>0</v>
      </c>
      <c r="X153" s="1214">
        <v>0</v>
      </c>
      <c r="Y153" s="1185">
        <v>0</v>
      </c>
      <c r="Z153" s="1168">
        <v>0</v>
      </c>
      <c r="AA153" s="1185">
        <v>0</v>
      </c>
      <c r="AB153" s="1168">
        <v>0</v>
      </c>
      <c r="AC153" s="1185">
        <v>0</v>
      </c>
      <c r="AD153" s="1168">
        <v>0</v>
      </c>
      <c r="AE153" s="1185">
        <v>0</v>
      </c>
      <c r="AF153" s="1551">
        <v>0</v>
      </c>
      <c r="AG153" s="1169">
        <v>0</v>
      </c>
      <c r="AH153" s="546">
        <v>0</v>
      </c>
      <c r="AI153" s="1169">
        <v>0</v>
      </c>
      <c r="AJ153" s="1590">
        <v>0</v>
      </c>
      <c r="AK153" s="18">
        <v>0</v>
      </c>
      <c r="AL153" s="323">
        <f>+'P01 2022'!FC106</f>
        <v>0</v>
      </c>
      <c r="AM153" s="97">
        <v>0</v>
      </c>
      <c r="AN153" s="1056">
        <v>0</v>
      </c>
      <c r="AO153" s="1601"/>
      <c r="AP153" s="1401"/>
      <c r="AQ153" s="1401"/>
      <c r="AR153" s="1401"/>
      <c r="AS153" s="1401"/>
      <c r="AT153" s="1401"/>
      <c r="AU153" s="1401"/>
      <c r="AV153" s="1401"/>
      <c r="AW153" s="1401"/>
      <c r="AX153" s="1401"/>
      <c r="AY153" s="753"/>
      <c r="AZ153" s="1602"/>
      <c r="BA153" s="1398"/>
      <c r="BB153" s="753"/>
      <c r="BC153" s="1610"/>
      <c r="BD153" s="1610"/>
    </row>
    <row r="154" spans="1:56" s="177" customFormat="1" ht="15" hidden="1" customHeight="1" x14ac:dyDescent="0.25">
      <c r="A154" s="175"/>
      <c r="B154" s="1413" t="s">
        <v>701</v>
      </c>
      <c r="C154" s="1549"/>
      <c r="D154" s="1552"/>
      <c r="E154" s="1048"/>
      <c r="F154" s="188"/>
      <c r="G154" s="17" t="s">
        <v>922</v>
      </c>
      <c r="H154" s="1301" t="s">
        <v>874</v>
      </c>
      <c r="I154" s="1147">
        <v>0</v>
      </c>
      <c r="J154" s="1030">
        <v>0</v>
      </c>
      <c r="K154" s="97">
        <v>0</v>
      </c>
      <c r="L154" s="694">
        <v>0</v>
      </c>
      <c r="M154" s="1030">
        <v>0</v>
      </c>
      <c r="N154" s="694">
        <f>+IFERROR(M161/J161,0)</f>
        <v>0</v>
      </c>
      <c r="O154" s="1030">
        <v>0</v>
      </c>
      <c r="P154" s="1156">
        <f>+IFERROR(O161/J161,0)</f>
        <v>0</v>
      </c>
      <c r="Q154" s="1162">
        <v>0</v>
      </c>
      <c r="R154" s="1553">
        <f ca="1">SUMIF(T$3:$AN146,"SI",T154:AN154)</f>
        <v>0</v>
      </c>
      <c r="S154" s="1734">
        <v>0</v>
      </c>
      <c r="T154" s="1727">
        <v>0</v>
      </c>
      <c r="U154" s="1169">
        <v>0</v>
      </c>
      <c r="V154" s="1168">
        <v>0</v>
      </c>
      <c r="W154" s="1185">
        <v>0</v>
      </c>
      <c r="X154" s="1214">
        <v>0</v>
      </c>
      <c r="Y154" s="1185">
        <v>0</v>
      </c>
      <c r="Z154" s="1168">
        <v>0</v>
      </c>
      <c r="AA154" s="1185">
        <v>0</v>
      </c>
      <c r="AB154" s="1168">
        <v>0</v>
      </c>
      <c r="AC154" s="1185">
        <v>0</v>
      </c>
      <c r="AD154" s="1168">
        <v>0</v>
      </c>
      <c r="AE154" s="1185">
        <v>0</v>
      </c>
      <c r="AF154" s="1551">
        <v>0</v>
      </c>
      <c r="AG154" s="1169">
        <v>0</v>
      </c>
      <c r="AH154" s="546">
        <v>0</v>
      </c>
      <c r="AI154" s="1169">
        <v>0</v>
      </c>
      <c r="AJ154" s="1590">
        <v>0</v>
      </c>
      <c r="AK154" s="18">
        <v>0</v>
      </c>
      <c r="AL154" s="185">
        <v>0</v>
      </c>
      <c r="AM154" s="97">
        <v>0</v>
      </c>
      <c r="AN154" s="1056">
        <v>0</v>
      </c>
      <c r="AO154" s="1601"/>
      <c r="AP154" s="1401"/>
      <c r="AQ154" s="1401"/>
      <c r="AR154" s="1401"/>
      <c r="AS154" s="1401"/>
      <c r="AT154" s="1401"/>
      <c r="AU154" s="1401"/>
      <c r="AV154" s="1401"/>
      <c r="AW154" s="1401"/>
      <c r="AX154" s="1401"/>
      <c r="AY154" s="753"/>
      <c r="AZ154" s="1602"/>
      <c r="BA154" s="1398"/>
      <c r="BB154" s="753"/>
      <c r="BC154" s="1610"/>
      <c r="BD154" s="1610"/>
    </row>
    <row r="155" spans="1:56" s="177" customFormat="1" ht="15" customHeight="1" x14ac:dyDescent="0.25">
      <c r="A155" s="175"/>
      <c r="B155" s="1413" t="s">
        <v>413</v>
      </c>
      <c r="C155" s="798" t="s">
        <v>2</v>
      </c>
      <c r="D155" s="128" t="s">
        <v>167</v>
      </c>
      <c r="E155" s="133"/>
      <c r="F155" s="1037"/>
      <c r="G155" s="1037"/>
      <c r="H155" s="1293" t="s">
        <v>314</v>
      </c>
      <c r="I155" s="1145">
        <f>SUM(I156:I161)</f>
        <v>136431</v>
      </c>
      <c r="J155" s="127">
        <f>SUM(J156:J161)</f>
        <v>136431</v>
      </c>
      <c r="K155" s="127">
        <f ca="1">SUM(K156:K161)</f>
        <v>70413.670999999988</v>
      </c>
      <c r="L155" s="783">
        <f ca="1">IFERROR(K155/J155,"0.00"%)</f>
        <v>0.51611196135775583</v>
      </c>
      <c r="M155" s="127">
        <f>SUM(M156:M161)</f>
        <v>95984.040999999997</v>
      </c>
      <c r="N155" s="783">
        <f>+IFERROR(M162/J162,0)</f>
        <v>0</v>
      </c>
      <c r="O155" s="127">
        <f>SUM(O156:O161)</f>
        <v>40446.959000000003</v>
      </c>
      <c r="P155" s="1155">
        <f>+IFERROR(O162/J162,0)</f>
        <v>1</v>
      </c>
      <c r="Q155" s="1736">
        <f>SUM(Q156:Q161)</f>
        <v>328338.37699999998</v>
      </c>
      <c r="R155" s="998">
        <f ca="1">SUM(R156:R161)</f>
        <v>196533.46189500001</v>
      </c>
      <c r="S155" s="1732">
        <f ca="1">IFERROR(R155/Q155,"0%")</f>
        <v>0.5985698768773533</v>
      </c>
      <c r="T155" s="1286">
        <f>SUM(T156:T161)</f>
        <v>8886.1550000000007</v>
      </c>
      <c r="U155" s="1078">
        <f>+SUM(U156:U161)</f>
        <v>16445.831386999998</v>
      </c>
      <c r="V155" s="1145">
        <f>+'P01 2023'!N91</f>
        <v>7734.8440000000001</v>
      </c>
      <c r="W155" s="1186">
        <f>+SUM(W156:W161)</f>
        <v>14796.281805999999</v>
      </c>
      <c r="X155" s="1215">
        <f>SUM(X156:X161)</f>
        <v>9175.4689999999991</v>
      </c>
      <c r="Y155" s="1186">
        <f>+SUM(Y156:Y161)</f>
        <v>34431.257761000001</v>
      </c>
      <c r="Z155" s="1145">
        <f>+SUM(Z156:Z161)</f>
        <v>1775.4690000000001</v>
      </c>
      <c r="AA155" s="1186">
        <f>+SUM(AA156:AA161)</f>
        <v>37647.527963</v>
      </c>
      <c r="AB155" s="1145">
        <f>SUM(AB156:AB161)</f>
        <v>7985.4690000000001</v>
      </c>
      <c r="AC155" s="1186">
        <f>SUM(AC156:AC161)</f>
        <v>18303.963890999999</v>
      </c>
      <c r="AD155" s="1145">
        <f>+'P01 2023'!BZ107</f>
        <v>9079.0789999999997</v>
      </c>
      <c r="AE155" s="1186">
        <f>+SUM(AE156:AE161)</f>
        <v>15500.08135</v>
      </c>
      <c r="AF155" s="1219">
        <f>+'P01 2023'!CP107</f>
        <v>11350.124</v>
      </c>
      <c r="AG155" s="1078">
        <f>+SUM(AG156:AG161)</f>
        <v>12235.463781999999</v>
      </c>
      <c r="AH155" s="1215">
        <f>+'P01 2023'!DF94</f>
        <v>7985.4690000000001</v>
      </c>
      <c r="AI155" s="1078">
        <f>+SUM(AI156:AI161)</f>
        <v>11445.866319000001</v>
      </c>
      <c r="AJ155" s="1591">
        <f>+'P01 2023'!DX113</f>
        <v>6441.5929999999998</v>
      </c>
      <c r="AK155" s="127">
        <f>+SUM(AK156:AK161)</f>
        <v>35727.187636000002</v>
      </c>
      <c r="AL155" s="127">
        <f>+SUM(AL156:AL161)</f>
        <v>11418.412</v>
      </c>
      <c r="AM155" s="127">
        <f>+AM159</f>
        <v>12753.813</v>
      </c>
      <c r="AN155" s="1055">
        <f>+'P01 2022'!GX115</f>
        <v>121075.757</v>
      </c>
      <c r="AO155" s="1601"/>
      <c r="AP155" s="1401"/>
      <c r="AQ155" s="1401"/>
      <c r="AR155" s="1401"/>
      <c r="AS155" s="1401"/>
      <c r="AT155" s="1401"/>
      <c r="AU155" s="1401"/>
      <c r="AV155" s="1401"/>
      <c r="AW155" s="1401"/>
      <c r="AX155" s="1401"/>
      <c r="AY155" s="753"/>
      <c r="AZ155" s="1602"/>
      <c r="BA155" s="1398"/>
      <c r="BB155" s="753"/>
      <c r="BC155" s="1610"/>
      <c r="BD155" s="1610"/>
    </row>
    <row r="156" spans="1:56" s="177" customFormat="1" ht="15" customHeight="1" x14ac:dyDescent="0.25">
      <c r="A156" s="175"/>
      <c r="B156" s="1413" t="s">
        <v>614</v>
      </c>
      <c r="C156" s="124"/>
      <c r="D156" s="1038"/>
      <c r="E156" s="1091" t="s">
        <v>195</v>
      </c>
      <c r="F156" s="49"/>
      <c r="G156" s="17" t="str">
        <f>+CONCATENATE($C$146,"",$D$155,"",E156)</f>
        <v>24.03.024</v>
      </c>
      <c r="H156" s="1301" t="s">
        <v>242</v>
      </c>
      <c r="I156" s="1147">
        <f>+'P01 2023'!F129</f>
        <v>10</v>
      </c>
      <c r="J156" s="97">
        <f>+'P01 2023'!EF136</f>
        <v>10</v>
      </c>
      <c r="K156" s="97">
        <f ca="1">SUMIF(T$3:$AN146,"ok",T156:AN156)</f>
        <v>0</v>
      </c>
      <c r="L156" s="694">
        <f t="shared" ref="L156:L167" ca="1" si="64">IFERROR(K156/J156,"0,00"%)</f>
        <v>0</v>
      </c>
      <c r="M156" s="97">
        <f>+'P01 2023'!EH136</f>
        <v>0</v>
      </c>
      <c r="N156" s="694">
        <f>+IFERROR(M163/J163,0)</f>
        <v>0</v>
      </c>
      <c r="O156" s="97">
        <f>+'P01 2023'!EI136</f>
        <v>10</v>
      </c>
      <c r="P156" s="1156">
        <f>+IFERROR(O163/J163,0)</f>
        <v>1</v>
      </c>
      <c r="Q156" s="1162">
        <f>+'P01 2022'!ES129</f>
        <v>58475.63</v>
      </c>
      <c r="R156" s="997">
        <f ca="1">SUMIF(T$3:$AN147,"SI",T156:AN156)</f>
        <v>23386</v>
      </c>
      <c r="S156" s="1734">
        <f ca="1">IFERROR(R156/Q156,"0%")</f>
        <v>0.39992728594800947</v>
      </c>
      <c r="T156" s="1287">
        <v>0</v>
      </c>
      <c r="U156" s="1169">
        <v>0</v>
      </c>
      <c r="V156" s="1168">
        <v>0</v>
      </c>
      <c r="W156" s="1185">
        <v>0</v>
      </c>
      <c r="X156" s="1214">
        <v>0</v>
      </c>
      <c r="Y156" s="1185">
        <v>0</v>
      </c>
      <c r="Z156" s="1168">
        <v>0</v>
      </c>
      <c r="AA156" s="1185">
        <v>0</v>
      </c>
      <c r="AB156" s="1168">
        <v>0</v>
      </c>
      <c r="AC156" s="1185">
        <v>0</v>
      </c>
      <c r="AD156" s="1168">
        <v>0</v>
      </c>
      <c r="AE156" s="1185">
        <v>0</v>
      </c>
      <c r="AF156" s="1468">
        <v>0</v>
      </c>
      <c r="AG156" s="1169">
        <v>0</v>
      </c>
      <c r="AH156" s="546">
        <v>0</v>
      </c>
      <c r="AI156" s="1169">
        <v>0</v>
      </c>
      <c r="AJ156" s="1590">
        <v>0</v>
      </c>
      <c r="AK156" s="18">
        <f>+'P01 2022'!EJ109</f>
        <v>23386</v>
      </c>
      <c r="AL156" s="323">
        <f>+'P01 2022'!FC104</f>
        <v>0</v>
      </c>
      <c r="AM156" s="97">
        <v>0</v>
      </c>
      <c r="AN156" s="1056">
        <f>+'P01 2022'!GX116</f>
        <v>33000</v>
      </c>
      <c r="AO156" s="1601"/>
      <c r="AP156" s="1401"/>
      <c r="AQ156" s="1401"/>
      <c r="AR156" s="1401"/>
      <c r="AS156" s="1401"/>
      <c r="AT156" s="1401"/>
      <c r="AU156" s="1401"/>
      <c r="AV156" s="1401"/>
      <c r="AW156" s="1401"/>
      <c r="AX156" s="1401"/>
      <c r="AY156" s="753"/>
      <c r="AZ156" s="1602"/>
      <c r="BA156" s="1398"/>
      <c r="BB156" s="753"/>
      <c r="BC156" s="1610"/>
      <c r="BD156" s="1610"/>
    </row>
    <row r="157" spans="1:56" s="177" customFormat="1" ht="15" hidden="1" customHeight="1" x14ac:dyDescent="0.25">
      <c r="A157" s="175"/>
      <c r="B157" s="1413" t="s">
        <v>928</v>
      </c>
      <c r="C157" s="124"/>
      <c r="D157" s="1038"/>
      <c r="E157" s="1091" t="s">
        <v>939</v>
      </c>
      <c r="F157" s="49"/>
      <c r="G157" s="17" t="str">
        <f>+CONCATENATE($C$146,"",$D$155,"",E157)</f>
        <v>24.03.027</v>
      </c>
      <c r="H157" s="1301" t="s">
        <v>933</v>
      </c>
      <c r="I157" s="1147">
        <v>0</v>
      </c>
      <c r="J157" s="97">
        <v>0</v>
      </c>
      <c r="K157" s="97">
        <f ca="1">SUMIF(T$3:$AN147,"ok",T157:AN157)</f>
        <v>0</v>
      </c>
      <c r="L157" s="694">
        <f t="shared" ca="1" si="64"/>
        <v>0</v>
      </c>
      <c r="M157" s="97">
        <v>0</v>
      </c>
      <c r="N157" s="694">
        <v>0</v>
      </c>
      <c r="O157" s="97">
        <v>0</v>
      </c>
      <c r="P157" s="1156">
        <v>0</v>
      </c>
      <c r="Q157" s="1162">
        <v>0</v>
      </c>
      <c r="R157" s="997">
        <f ca="1">SUMIF(T$3:$AN149,"SI",T157:AN157)</f>
        <v>0</v>
      </c>
      <c r="S157" s="1734" t="str">
        <f ca="1">IFERROR(R157/Q157,"0,00%")</f>
        <v>0,00%</v>
      </c>
      <c r="T157" s="218">
        <v>0</v>
      </c>
      <c r="U157" s="1169">
        <v>0</v>
      </c>
      <c r="V157" s="1168">
        <v>0</v>
      </c>
      <c r="W157" s="1185">
        <v>0</v>
      </c>
      <c r="X157" s="1214">
        <v>0</v>
      </c>
      <c r="Y157" s="1185">
        <v>0</v>
      </c>
      <c r="Z157" s="1168">
        <v>0</v>
      </c>
      <c r="AA157" s="1185">
        <v>0</v>
      </c>
      <c r="AB157" s="1168">
        <v>0</v>
      </c>
      <c r="AC157" s="1185">
        <v>0</v>
      </c>
      <c r="AD157" s="1168">
        <v>0</v>
      </c>
      <c r="AE157" s="1185">
        <v>0</v>
      </c>
      <c r="AF157" s="1468">
        <v>0</v>
      </c>
      <c r="AG157" s="1169">
        <v>0</v>
      </c>
      <c r="AH157" s="546">
        <v>0</v>
      </c>
      <c r="AI157" s="1169">
        <v>0</v>
      </c>
      <c r="AJ157" s="1590">
        <v>0</v>
      </c>
      <c r="AK157" s="97">
        <v>0</v>
      </c>
      <c r="AL157" s="97">
        <v>0</v>
      </c>
      <c r="AM157" s="97">
        <v>0</v>
      </c>
      <c r="AN157" s="1056">
        <f>+'P01 2022'!GX117</f>
        <v>70000</v>
      </c>
      <c r="AO157" s="1601"/>
      <c r="AP157" s="1401"/>
      <c r="AQ157" s="1401"/>
      <c r="AR157" s="1401"/>
      <c r="AS157" s="1401"/>
      <c r="AT157" s="1401"/>
      <c r="AU157" s="1401"/>
      <c r="AV157" s="1401"/>
      <c r="AW157" s="1401"/>
      <c r="AX157" s="1401"/>
      <c r="AY157" s="753"/>
      <c r="AZ157" s="1602"/>
      <c r="BA157" s="1398"/>
      <c r="BB157" s="753"/>
      <c r="BC157" s="1610"/>
      <c r="BD157" s="1610"/>
    </row>
    <row r="158" spans="1:56" s="177" customFormat="1" ht="15" hidden="1" customHeight="1" x14ac:dyDescent="0.25">
      <c r="A158" s="175"/>
      <c r="B158" s="1416" t="s">
        <v>702</v>
      </c>
      <c r="C158" s="124" t="s">
        <v>337</v>
      </c>
      <c r="D158" s="1038"/>
      <c r="E158" s="1091" t="s">
        <v>780</v>
      </c>
      <c r="F158" s="49"/>
      <c r="G158" s="17" t="s">
        <v>880</v>
      </c>
      <c r="H158" s="1058" t="s">
        <v>874</v>
      </c>
      <c r="I158" s="1147">
        <v>0</v>
      </c>
      <c r="J158" s="1030">
        <v>0</v>
      </c>
      <c r="K158" s="97">
        <v>0</v>
      </c>
      <c r="L158" s="694">
        <f t="shared" si="64"/>
        <v>0</v>
      </c>
      <c r="M158" s="1030">
        <v>0</v>
      </c>
      <c r="N158" s="694">
        <v>0</v>
      </c>
      <c r="O158" s="1030">
        <v>0</v>
      </c>
      <c r="P158" s="1156">
        <v>0</v>
      </c>
      <c r="Q158" s="1162">
        <v>0</v>
      </c>
      <c r="R158" s="997">
        <f ca="1">SUMIF(T$3:$AN150,"SI",T158:AN158)</f>
        <v>0</v>
      </c>
      <c r="S158" s="1734" t="str">
        <f ca="1">IFERROR(R158/Q158,"0,00%")</f>
        <v>0,00%</v>
      </c>
      <c r="T158" s="218">
        <v>0</v>
      </c>
      <c r="U158" s="1169">
        <v>0</v>
      </c>
      <c r="V158" s="1168">
        <v>0</v>
      </c>
      <c r="W158" s="1185">
        <v>0</v>
      </c>
      <c r="X158" s="1214">
        <v>0</v>
      </c>
      <c r="Y158" s="1185">
        <v>0</v>
      </c>
      <c r="Z158" s="1168">
        <v>0</v>
      </c>
      <c r="AA158" s="1185">
        <v>0</v>
      </c>
      <c r="AB158" s="1168">
        <v>0</v>
      </c>
      <c r="AC158" s="1185">
        <v>0</v>
      </c>
      <c r="AD158" s="1168">
        <v>0</v>
      </c>
      <c r="AE158" s="1185">
        <v>0</v>
      </c>
      <c r="AF158" s="1468">
        <v>0</v>
      </c>
      <c r="AG158" s="1169">
        <v>0</v>
      </c>
      <c r="AH158" s="546">
        <v>0</v>
      </c>
      <c r="AI158" s="1169">
        <v>0</v>
      </c>
      <c r="AJ158" s="1590">
        <v>0</v>
      </c>
      <c r="AK158" s="97">
        <v>0</v>
      </c>
      <c r="AL158" s="185">
        <v>0</v>
      </c>
      <c r="AM158" s="97">
        <v>0</v>
      </c>
      <c r="AN158" s="1056">
        <v>0</v>
      </c>
      <c r="AO158" s="1601"/>
      <c r="AP158" s="1401"/>
      <c r="AQ158" s="1401"/>
      <c r="AR158" s="1401"/>
      <c r="AS158" s="1401"/>
      <c r="AT158" s="1401"/>
      <c r="AU158" s="1401"/>
      <c r="AV158" s="1401"/>
      <c r="AW158" s="1401"/>
      <c r="AX158" s="1401"/>
      <c r="AY158" s="753"/>
      <c r="AZ158" s="1602"/>
      <c r="BA158" s="1398"/>
      <c r="BB158" s="753"/>
      <c r="BC158" s="1610"/>
      <c r="BD158" s="1610"/>
    </row>
    <row r="159" spans="1:56" s="177" customFormat="1" ht="15" customHeight="1" x14ac:dyDescent="0.25">
      <c r="A159" s="175"/>
      <c r="B159" s="1413" t="s">
        <v>532</v>
      </c>
      <c r="C159" s="124" t="s">
        <v>2</v>
      </c>
      <c r="D159" s="1038"/>
      <c r="E159" s="1091" t="s">
        <v>257</v>
      </c>
      <c r="F159" s="49"/>
      <c r="G159" s="17" t="str">
        <f>+CONCATENATE($C$146,"",$D$155,"",E159)</f>
        <v>24.03.409</v>
      </c>
      <c r="H159" s="1301" t="s">
        <v>261</v>
      </c>
      <c r="I159" s="1147">
        <f>+'P01 2023'!F130</f>
        <v>136421</v>
      </c>
      <c r="J159" s="97">
        <f>+'P01 2023'!EF137</f>
        <v>136421</v>
      </c>
      <c r="K159" s="97">
        <f ca="1">SUMIF(T$3:$AN147,"ok",T159:AN159)</f>
        <v>70413.670999999988</v>
      </c>
      <c r="L159" s="694">
        <f t="shared" ca="1" si="64"/>
        <v>0.51614979365346969</v>
      </c>
      <c r="M159" s="97">
        <f>+'P01 2023'!EH137</f>
        <v>95984.040999999997</v>
      </c>
      <c r="N159" s="694">
        <f>+IFERROR(M167/J167,0)</f>
        <v>0</v>
      </c>
      <c r="O159" s="97">
        <f>+'P01 2023'!EI137</f>
        <v>40436.959000000003</v>
      </c>
      <c r="P159" s="1156">
        <f>+IFERROR(O167/J167,0)</f>
        <v>0</v>
      </c>
      <c r="Q159" s="1162">
        <f>+'P01 2022'!ES130</f>
        <v>221616.36599999998</v>
      </c>
      <c r="R159" s="997">
        <f ca="1">SUMIF(T$3:$AN151,"SI",T159:AN159)</f>
        <v>128203.82189499999</v>
      </c>
      <c r="S159" s="1734">
        <f ca="1">IFERROR(R159/Q159,"0%")</f>
        <v>0.57849437841156548</v>
      </c>
      <c r="T159" s="218">
        <f>+'P01 2023'!I130</f>
        <v>8886.1550000000007</v>
      </c>
      <c r="U159" s="1169">
        <f>+'P01 2022'!F116</f>
        <v>16445.831386999998</v>
      </c>
      <c r="V159" s="1168">
        <f>+'P01 2023'!N92</f>
        <v>7734.8440000000001</v>
      </c>
      <c r="W159" s="1185">
        <f>+'P01 2022'!M93</f>
        <v>14796.281805999999</v>
      </c>
      <c r="X159" s="1214">
        <f>+'P01 2023'!AD113</f>
        <v>9175.4689999999991</v>
      </c>
      <c r="Y159" s="1185">
        <f>+'P01 2022'!AB105</f>
        <v>15424.817761</v>
      </c>
      <c r="Z159" s="1147">
        <f>+'P01 2023'!AT109</f>
        <v>1775.4690000000001</v>
      </c>
      <c r="AA159" s="1185">
        <f>+'P01 2022'!AQ112</f>
        <v>11710.327963</v>
      </c>
      <c r="AB159" s="1168">
        <f>+'P01 2023'!BJ93</f>
        <v>7985.4690000000001</v>
      </c>
      <c r="AC159" s="1185">
        <f>+'P01 2022'!BI97</f>
        <v>18303.963890999999</v>
      </c>
      <c r="AD159" s="1168">
        <f>+'P01 2023'!BZ108</f>
        <v>9079.0789999999997</v>
      </c>
      <c r="AE159" s="1185">
        <f>+'P01 2022'!CC111</f>
        <v>15500.08135</v>
      </c>
      <c r="AF159" s="1468">
        <f>+'P01 2023'!CP108</f>
        <v>11350.124</v>
      </c>
      <c r="AG159" s="1169">
        <f>+'P01 2022'!CY108</f>
        <v>12235.463781999999</v>
      </c>
      <c r="AH159" s="1214">
        <f>+'P01 2023'!DF95</f>
        <v>7985.4690000000001</v>
      </c>
      <c r="AI159" s="1169">
        <f>+'P01 2022'!DR104</f>
        <v>11445.866319000001</v>
      </c>
      <c r="AJ159" s="1590">
        <f>+'P01 2023'!DX114</f>
        <v>6441.5929999999998</v>
      </c>
      <c r="AK159" s="18">
        <f>+'P01 2022'!EJ110</f>
        <v>12341.187636000001</v>
      </c>
      <c r="AL159" s="323">
        <f>+'P01 2022'!FC105</f>
        <v>11418.412</v>
      </c>
      <c r="AM159" s="97">
        <f>+'P01 2022'!GA112</f>
        <v>12753.813</v>
      </c>
      <c r="AN159" s="1056">
        <f>+'P01 2022'!GX118</f>
        <v>18075.757000000001</v>
      </c>
      <c r="AO159" s="1601"/>
      <c r="AP159" s="1401"/>
      <c r="AQ159" s="1401"/>
      <c r="AR159" s="1401"/>
      <c r="AS159" s="1401"/>
      <c r="AT159" s="1401"/>
      <c r="AU159" s="1401"/>
      <c r="AV159" s="1401"/>
      <c r="AW159" s="1401"/>
      <c r="AX159" s="1401"/>
      <c r="AY159" s="753"/>
      <c r="AZ159" s="1602"/>
      <c r="BA159" s="1398"/>
      <c r="BB159" s="753"/>
      <c r="BC159" s="1610"/>
      <c r="BD159" s="1610"/>
    </row>
    <row r="160" spans="1:56" s="177" customFormat="1" ht="15" hidden="1" customHeight="1" x14ac:dyDescent="0.25">
      <c r="A160" s="175"/>
      <c r="B160" s="1413" t="s">
        <v>706</v>
      </c>
      <c r="C160" s="124"/>
      <c r="D160" s="1038"/>
      <c r="E160" s="1091" t="s">
        <v>935</v>
      </c>
      <c r="F160" s="49"/>
      <c r="G160" s="17" t="s">
        <v>920</v>
      </c>
      <c r="H160" s="1301" t="s">
        <v>919</v>
      </c>
      <c r="I160" s="1147">
        <v>0</v>
      </c>
      <c r="J160" s="1030">
        <v>0</v>
      </c>
      <c r="K160" s="97">
        <v>0</v>
      </c>
      <c r="L160" s="694">
        <f t="shared" si="64"/>
        <v>0</v>
      </c>
      <c r="M160" s="1030">
        <v>0</v>
      </c>
      <c r="N160" s="785">
        <v>0</v>
      </c>
      <c r="O160" s="1030">
        <v>0</v>
      </c>
      <c r="P160" s="1156">
        <v>0</v>
      </c>
      <c r="Q160" s="1162">
        <v>0</v>
      </c>
      <c r="R160" s="997">
        <f ca="1">SUMIF(T$3:$AN152,"SI",T160:AN160)</f>
        <v>0</v>
      </c>
      <c r="S160" s="1734" t="str">
        <f ca="1">IFERROR(R160/Q160,"0,00%")</f>
        <v>0,00%</v>
      </c>
      <c r="T160" s="218">
        <v>0</v>
      </c>
      <c r="U160" s="1169">
        <v>0</v>
      </c>
      <c r="V160" s="1168">
        <v>0</v>
      </c>
      <c r="W160" s="1185">
        <v>0</v>
      </c>
      <c r="X160" s="1214">
        <v>0</v>
      </c>
      <c r="Y160" s="1185">
        <v>0</v>
      </c>
      <c r="Z160" s="1168">
        <v>0</v>
      </c>
      <c r="AA160" s="1185">
        <v>0</v>
      </c>
      <c r="AB160" s="1168">
        <v>0</v>
      </c>
      <c r="AC160" s="1185">
        <v>0</v>
      </c>
      <c r="AD160" s="1168">
        <v>0</v>
      </c>
      <c r="AE160" s="1185">
        <v>0</v>
      </c>
      <c r="AF160" s="1468">
        <v>0</v>
      </c>
      <c r="AG160" s="1169">
        <v>0</v>
      </c>
      <c r="AH160" s="546">
        <v>0</v>
      </c>
      <c r="AI160" s="1169">
        <v>0</v>
      </c>
      <c r="AJ160" s="1590">
        <v>0</v>
      </c>
      <c r="AK160" s="97">
        <v>0</v>
      </c>
      <c r="AL160" s="97">
        <v>0</v>
      </c>
      <c r="AM160" s="97">
        <v>0</v>
      </c>
      <c r="AN160" s="1056">
        <v>0</v>
      </c>
      <c r="AO160" s="1601"/>
      <c r="AP160" s="1401"/>
      <c r="AQ160" s="1401"/>
      <c r="AR160" s="1401"/>
      <c r="AS160" s="1401"/>
      <c r="AT160" s="1401"/>
      <c r="AU160" s="1401"/>
      <c r="AV160" s="1401"/>
      <c r="AW160" s="1401"/>
      <c r="AX160" s="1401"/>
      <c r="AY160" s="753"/>
      <c r="AZ160" s="1602"/>
      <c r="BA160" s="1398"/>
      <c r="BB160" s="753"/>
      <c r="BC160" s="1610"/>
      <c r="BD160" s="1610"/>
    </row>
    <row r="161" spans="1:56" s="177" customFormat="1" ht="15" hidden="1" customHeight="1" x14ac:dyDescent="0.25">
      <c r="A161" s="175"/>
      <c r="B161" s="1413" t="s">
        <v>531</v>
      </c>
      <c r="C161" s="124" t="s">
        <v>2</v>
      </c>
      <c r="D161" s="1038"/>
      <c r="E161" s="1091" t="s">
        <v>258</v>
      </c>
      <c r="F161" s="49"/>
      <c r="G161" s="17" t="str">
        <f>+CONCATENATE($C$146,"",$D$155,"",E161)</f>
        <v>24.03.415</v>
      </c>
      <c r="H161" s="1301" t="s">
        <v>262</v>
      </c>
      <c r="I161" s="1147">
        <v>0</v>
      </c>
      <c r="J161" s="97">
        <v>0</v>
      </c>
      <c r="K161" s="97">
        <f ca="1">SUMIF(T$3:$AN149,"ok",T161:AN161)</f>
        <v>0</v>
      </c>
      <c r="L161" s="694">
        <f t="shared" ca="1" si="64"/>
        <v>0</v>
      </c>
      <c r="M161" s="97">
        <v>0</v>
      </c>
      <c r="N161" s="694">
        <v>0</v>
      </c>
      <c r="O161" s="97">
        <v>0</v>
      </c>
      <c r="P161" s="1156">
        <v>0</v>
      </c>
      <c r="Q161" s="1167">
        <f>+'P01 2022'!ES131</f>
        <v>48246.380999999994</v>
      </c>
      <c r="R161" s="1142">
        <f ca="1">SUMIF(T$3:$AN153,"SI",T161:AN161)</f>
        <v>44943.64</v>
      </c>
      <c r="S161" s="1735">
        <f ca="1">IFERROR(R161/Q161,"0%")</f>
        <v>0.93154427479234148</v>
      </c>
      <c r="T161" s="218">
        <v>0</v>
      </c>
      <c r="U161" s="1169">
        <v>0</v>
      </c>
      <c r="V161" s="1168">
        <v>0</v>
      </c>
      <c r="W161" s="1185">
        <v>0</v>
      </c>
      <c r="X161" s="1214">
        <v>0</v>
      </c>
      <c r="Y161" s="1185">
        <f>+'P01 2022'!AB106</f>
        <v>19006.439999999999</v>
      </c>
      <c r="Z161" s="1168">
        <v>0</v>
      </c>
      <c r="AA161" s="1185">
        <f>+'P01 2022'!AQ113</f>
        <v>25937.199999999997</v>
      </c>
      <c r="AB161" s="1168">
        <v>0</v>
      </c>
      <c r="AC161" s="1185">
        <v>0</v>
      </c>
      <c r="AD161" s="1168">
        <v>0</v>
      </c>
      <c r="AE161" s="1185">
        <v>0</v>
      </c>
      <c r="AF161" s="1468">
        <v>0</v>
      </c>
      <c r="AG161" s="1169">
        <v>0</v>
      </c>
      <c r="AH161" s="546">
        <v>0</v>
      </c>
      <c r="AI161" s="1169">
        <v>0</v>
      </c>
      <c r="AJ161" s="1590">
        <v>0</v>
      </c>
      <c r="AK161" s="18">
        <v>0</v>
      </c>
      <c r="AL161" s="323">
        <f>+'P01 2022'!FC107</f>
        <v>0</v>
      </c>
      <c r="AM161" s="97">
        <v>0</v>
      </c>
      <c r="AN161" s="1056">
        <v>0</v>
      </c>
      <c r="AO161" s="1601"/>
      <c r="AP161" s="1401"/>
      <c r="AQ161" s="1401"/>
      <c r="AR161" s="1401"/>
      <c r="AS161" s="1401"/>
      <c r="AT161" s="1401"/>
      <c r="AU161" s="1401"/>
      <c r="AV161" s="1401"/>
      <c r="AW161" s="1401"/>
      <c r="AX161" s="1401"/>
      <c r="AY161" s="753"/>
      <c r="AZ161" s="1602"/>
      <c r="BA161" s="1398"/>
      <c r="BB161" s="753"/>
      <c r="BC161" s="1610"/>
      <c r="BD161" s="1610"/>
    </row>
    <row r="162" spans="1:56" s="177" customFormat="1" ht="15" customHeight="1" x14ac:dyDescent="0.25">
      <c r="A162" s="175"/>
      <c r="B162" s="1413" t="s">
        <v>495</v>
      </c>
      <c r="C162" s="20" t="s">
        <v>2</v>
      </c>
      <c r="D162" s="1039" t="s">
        <v>183</v>
      </c>
      <c r="E162" s="23"/>
      <c r="F162" s="189"/>
      <c r="G162" s="189"/>
      <c r="H162" s="527" t="s">
        <v>135</v>
      </c>
      <c r="I162" s="1148">
        <v>0</v>
      </c>
      <c r="J162" s="127">
        <f>SUM(J163:J167)</f>
        <v>292436</v>
      </c>
      <c r="K162" s="127">
        <f ca="1">SUMIF(T$3:$AN150,"ok",T162:AN162)</f>
        <v>0</v>
      </c>
      <c r="L162" s="783">
        <f t="shared" ca="1" si="64"/>
        <v>0</v>
      </c>
      <c r="M162" s="127">
        <f>SUM(M163:M167)</f>
        <v>0</v>
      </c>
      <c r="N162" s="783">
        <f>+IFERROR(#REF!/J169,0)</f>
        <v>0</v>
      </c>
      <c r="O162" s="127">
        <f>SUM(O163:O167)</f>
        <v>292436</v>
      </c>
      <c r="P162" s="1155">
        <f>+IFERROR(O174/J174,0)</f>
        <v>0.48594520564442079</v>
      </c>
      <c r="Q162" s="1736">
        <f>SUM(Q163:Q167)</f>
        <v>0</v>
      </c>
      <c r="R162" s="1027">
        <f ca="1">SUMIF(T$3:$AN152,"SI",T162:AN162)</f>
        <v>0</v>
      </c>
      <c r="S162" s="1732" t="str">
        <f t="shared" ref="S162:S169" ca="1" si="65">IFERROR(R162/Q162,"0,00%")</f>
        <v>0,00%</v>
      </c>
      <c r="T162" s="1070">
        <v>0</v>
      </c>
      <c r="U162" s="1078">
        <v>0</v>
      </c>
      <c r="V162" s="1145">
        <v>0</v>
      </c>
      <c r="W162" s="1186">
        <f>SUM(W163:W164)</f>
        <v>0</v>
      </c>
      <c r="X162" s="1215">
        <f>SUM(X163:X167)</f>
        <v>0</v>
      </c>
      <c r="Y162" s="1186">
        <f>+SUM(Y163:Y166)</f>
        <v>0</v>
      </c>
      <c r="Z162" s="1145">
        <f>SUM(Z163:Z167)</f>
        <v>0</v>
      </c>
      <c r="AA162" s="1186">
        <f>SUM(AA163:AA167)</f>
        <v>0</v>
      </c>
      <c r="AB162" s="1145">
        <f>SUM(AB163:AB167)</f>
        <v>0</v>
      </c>
      <c r="AC162" s="1186">
        <f>SUM(AC163:AC166)</f>
        <v>0</v>
      </c>
      <c r="AD162" s="1145">
        <v>0</v>
      </c>
      <c r="AE162" s="1186">
        <f>SUM(AE163:AE166)</f>
        <v>0</v>
      </c>
      <c r="AF162" s="1219">
        <v>0</v>
      </c>
      <c r="AG162" s="1078">
        <v>0</v>
      </c>
      <c r="AH162" s="1215">
        <v>0</v>
      </c>
      <c r="AI162" s="1078">
        <v>0</v>
      </c>
      <c r="AJ162" s="1591">
        <v>0</v>
      </c>
      <c r="AK162" s="127">
        <f>SUM(AK163:AK166)</f>
        <v>0</v>
      </c>
      <c r="AL162" s="127">
        <f>SUM(AL163:AL166)</f>
        <v>0</v>
      </c>
      <c r="AM162" s="127">
        <f>+AM167</f>
        <v>40000</v>
      </c>
      <c r="AN162" s="1055">
        <f>+'P01 2022'!GX119</f>
        <v>124790.28</v>
      </c>
      <c r="AO162" s="1601"/>
      <c r="AP162" s="1401"/>
      <c r="AQ162" s="1401"/>
      <c r="AR162" s="1401"/>
      <c r="AS162" s="1401"/>
      <c r="AT162" s="1401"/>
      <c r="AU162" s="1401"/>
      <c r="AV162" s="1401"/>
      <c r="AW162" s="1401"/>
      <c r="AX162" s="1401"/>
      <c r="AY162" s="753"/>
      <c r="AZ162" s="1602"/>
      <c r="BA162" s="1398"/>
      <c r="BB162" s="753"/>
      <c r="BC162" s="1610"/>
      <c r="BD162" s="1610"/>
    </row>
    <row r="163" spans="1:56" s="177" customFormat="1" ht="15" customHeight="1" x14ac:dyDescent="0.25">
      <c r="A163" s="175"/>
      <c r="B163" s="1413" t="s">
        <v>615</v>
      </c>
      <c r="C163" s="124"/>
      <c r="D163" s="1040"/>
      <c r="E163" s="1092" t="s">
        <v>758</v>
      </c>
      <c r="F163" s="190"/>
      <c r="G163" s="17" t="s">
        <v>244</v>
      </c>
      <c r="H163" s="1301" t="s">
        <v>757</v>
      </c>
      <c r="I163" s="1147">
        <v>0</v>
      </c>
      <c r="J163" s="97">
        <f>+'P01 2023'!EF139</f>
        <v>165000</v>
      </c>
      <c r="K163" s="97">
        <f ca="1">SUMIF(T$3:$AN151,"ok",T163:AN163)</f>
        <v>0</v>
      </c>
      <c r="L163" s="694">
        <f t="shared" ca="1" si="64"/>
        <v>0</v>
      </c>
      <c r="M163" s="97">
        <f>+'P01 2023'!EH139</f>
        <v>0</v>
      </c>
      <c r="N163" s="694">
        <f>+IFERROR(M174/J174,0)</f>
        <v>0.51405479435557933</v>
      </c>
      <c r="O163" s="97">
        <f>+'P01 2023'!EI139</f>
        <v>165000</v>
      </c>
      <c r="P163" s="1156">
        <f>+IFERROR(O175/J175,0)</f>
        <v>7.8638082832814732E-2</v>
      </c>
      <c r="Q163" s="1162">
        <v>0</v>
      </c>
      <c r="R163" s="997">
        <f ca="1">SUMIF(T$3:$AN150,"SI",T163:AN163)</f>
        <v>0</v>
      </c>
      <c r="S163" s="1734" t="str">
        <f t="shared" ca="1" si="65"/>
        <v>0,00%</v>
      </c>
      <c r="T163" s="218">
        <v>0</v>
      </c>
      <c r="U163" s="1169">
        <v>0</v>
      </c>
      <c r="V163" s="1168">
        <v>0</v>
      </c>
      <c r="W163" s="1185">
        <v>0</v>
      </c>
      <c r="X163" s="1214">
        <v>0</v>
      </c>
      <c r="Y163" s="1185">
        <v>0</v>
      </c>
      <c r="Z163" s="1168">
        <v>0</v>
      </c>
      <c r="AA163" s="1185">
        <v>0</v>
      </c>
      <c r="AB163" s="1168">
        <v>0</v>
      </c>
      <c r="AC163" s="1185">
        <v>0</v>
      </c>
      <c r="AD163" s="1168">
        <v>0</v>
      </c>
      <c r="AE163" s="1185">
        <v>0</v>
      </c>
      <c r="AF163" s="1468">
        <v>0</v>
      </c>
      <c r="AG163" s="1169">
        <v>0</v>
      </c>
      <c r="AH163" s="546">
        <v>0</v>
      </c>
      <c r="AI163" s="1169">
        <v>0</v>
      </c>
      <c r="AJ163" s="1590">
        <v>0</v>
      </c>
      <c r="AK163" s="18">
        <f>+'P01 2022'!EJ124</f>
        <v>0</v>
      </c>
      <c r="AL163" s="185">
        <v>0</v>
      </c>
      <c r="AM163" s="97">
        <v>0</v>
      </c>
      <c r="AN163" s="1056">
        <f>+'P01 2022'!GX120</f>
        <v>4762.68</v>
      </c>
      <c r="AO163" s="1601"/>
      <c r="AP163" s="1401"/>
      <c r="AQ163" s="1401"/>
      <c r="AR163" s="1401"/>
      <c r="AS163" s="1401"/>
      <c r="AT163" s="1401"/>
      <c r="AU163" s="1401"/>
      <c r="AV163" s="1401"/>
      <c r="AW163" s="1401"/>
      <c r="AX163" s="1401"/>
      <c r="AY163" s="753"/>
      <c r="AZ163" s="1602"/>
      <c r="BA163" s="1398"/>
      <c r="BB163" s="753"/>
      <c r="BC163" s="1610"/>
      <c r="BD163" s="1610"/>
    </row>
    <row r="164" spans="1:56" s="177" customFormat="1" ht="15" customHeight="1" x14ac:dyDescent="0.25">
      <c r="A164" s="175"/>
      <c r="B164" s="1413" t="s">
        <v>1025</v>
      </c>
      <c r="C164" s="124"/>
      <c r="D164" s="1040"/>
      <c r="E164" s="1092" t="s">
        <v>759</v>
      </c>
      <c r="F164" s="190"/>
      <c r="G164" s="17" t="s">
        <v>326</v>
      </c>
      <c r="H164" s="1301" t="s">
        <v>327</v>
      </c>
      <c r="I164" s="1147">
        <v>0</v>
      </c>
      <c r="J164" s="97">
        <f>+'P01 2023'!EF140</f>
        <v>51678</v>
      </c>
      <c r="K164" s="97">
        <f ca="1">SUMIF(T$3:$AN152,"ok",T164:AN164)</f>
        <v>0</v>
      </c>
      <c r="L164" s="694">
        <f t="shared" ca="1" si="64"/>
        <v>0</v>
      </c>
      <c r="M164" s="97">
        <f>+'P01 2023'!EH140</f>
        <v>0</v>
      </c>
      <c r="N164" s="694">
        <f>+IFERROR(M175/J175,0)</f>
        <v>0.92136191716718518</v>
      </c>
      <c r="O164" s="97">
        <f>+'P01 2023'!EI140</f>
        <v>51678</v>
      </c>
      <c r="P164" s="1156">
        <f t="shared" ref="P164:P173" si="66">+IFERROR(O177/J177,0)</f>
        <v>0</v>
      </c>
      <c r="Q164" s="1162">
        <v>0</v>
      </c>
      <c r="R164" s="997">
        <f ca="1">SUMIF(T$3:$AN151,"SI",T164:AN164)</f>
        <v>0</v>
      </c>
      <c r="S164" s="1734" t="str">
        <f t="shared" ca="1" si="65"/>
        <v>0,00%</v>
      </c>
      <c r="T164" s="218">
        <v>0</v>
      </c>
      <c r="U164" s="1169">
        <v>0</v>
      </c>
      <c r="V164" s="1168">
        <v>0</v>
      </c>
      <c r="W164" s="1185">
        <v>0</v>
      </c>
      <c r="X164" s="1214">
        <v>0</v>
      </c>
      <c r="Y164" s="1185">
        <v>0</v>
      </c>
      <c r="Z164" s="1168">
        <v>0</v>
      </c>
      <c r="AA164" s="1185">
        <v>0</v>
      </c>
      <c r="AB164" s="1168">
        <v>0</v>
      </c>
      <c r="AC164" s="1185">
        <v>0</v>
      </c>
      <c r="AD164" s="1168">
        <v>0</v>
      </c>
      <c r="AE164" s="1185">
        <v>0</v>
      </c>
      <c r="AF164" s="1468">
        <v>0</v>
      </c>
      <c r="AG164" s="1169">
        <v>0</v>
      </c>
      <c r="AH164" s="546">
        <v>0</v>
      </c>
      <c r="AI164" s="1169">
        <v>0</v>
      </c>
      <c r="AJ164" s="1590">
        <v>0</v>
      </c>
      <c r="AK164" s="18">
        <f>+'P01 2022'!EJ125</f>
        <v>0</v>
      </c>
      <c r="AL164" s="185">
        <v>0</v>
      </c>
      <c r="AM164" s="97">
        <v>0</v>
      </c>
      <c r="AN164" s="1056">
        <f>+'P01 2022'!GX121</f>
        <v>120027.6</v>
      </c>
      <c r="AO164" s="1601"/>
      <c r="AP164" s="1401"/>
      <c r="AQ164" s="1401"/>
      <c r="AR164" s="1401"/>
      <c r="AS164" s="1401"/>
      <c r="AT164" s="1401"/>
      <c r="AU164" s="1401"/>
      <c r="AV164" s="1401"/>
      <c r="AW164" s="1401"/>
      <c r="AX164" s="1401"/>
      <c r="AY164" s="753"/>
      <c r="AZ164" s="1602"/>
      <c r="BA164" s="1398"/>
      <c r="BB164" s="753"/>
      <c r="BC164" s="1610"/>
      <c r="BD164" s="1610"/>
    </row>
    <row r="165" spans="1:56" s="177" customFormat="1" ht="15" hidden="1" customHeight="1" x14ac:dyDescent="0.25">
      <c r="A165" s="175"/>
      <c r="B165" s="1413" t="s">
        <v>505</v>
      </c>
      <c r="C165" s="124"/>
      <c r="D165" s="1040"/>
      <c r="E165" s="1092" t="s">
        <v>336</v>
      </c>
      <c r="F165" s="190"/>
      <c r="G165" s="17" t="s">
        <v>756</v>
      </c>
      <c r="H165" s="1301" t="s">
        <v>501</v>
      </c>
      <c r="I165" s="1147">
        <v>0</v>
      </c>
      <c r="J165" s="1030">
        <v>0</v>
      </c>
      <c r="K165" s="97">
        <f ca="1">SUMIF(T$3:$AN153,"ok",T165:AN165)</f>
        <v>0</v>
      </c>
      <c r="L165" s="694">
        <f t="shared" ca="1" si="64"/>
        <v>0</v>
      </c>
      <c r="M165" s="1030">
        <v>0</v>
      </c>
      <c r="N165" s="694">
        <f t="shared" ref="N165:N173" si="67">+IFERROR(M177/J177,0)</f>
        <v>0</v>
      </c>
      <c r="O165" s="97">
        <v>0</v>
      </c>
      <c r="P165" s="1156">
        <f t="shared" si="66"/>
        <v>0</v>
      </c>
      <c r="Q165" s="1162">
        <v>0</v>
      </c>
      <c r="R165" s="997">
        <f ca="1">SUMIF(T$3:$AN152,"SI",T165:AN165)</f>
        <v>0</v>
      </c>
      <c r="S165" s="1734" t="str">
        <f t="shared" ca="1" si="65"/>
        <v>0,00%</v>
      </c>
      <c r="T165" s="218">
        <v>0</v>
      </c>
      <c r="U165" s="1169">
        <v>0</v>
      </c>
      <c r="V165" s="1168">
        <v>0</v>
      </c>
      <c r="W165" s="1185">
        <v>0</v>
      </c>
      <c r="X165" s="1214">
        <v>0</v>
      </c>
      <c r="Y165" s="1185">
        <v>0</v>
      </c>
      <c r="Z165" s="1168">
        <v>0</v>
      </c>
      <c r="AA165" s="1185">
        <v>0</v>
      </c>
      <c r="AB165" s="1168">
        <v>0</v>
      </c>
      <c r="AC165" s="1185">
        <v>0</v>
      </c>
      <c r="AD165" s="1168">
        <v>0</v>
      </c>
      <c r="AE165" s="1185">
        <v>0</v>
      </c>
      <c r="AF165" s="1468">
        <v>0</v>
      </c>
      <c r="AG165" s="1169">
        <v>0</v>
      </c>
      <c r="AH165" s="546">
        <v>0</v>
      </c>
      <c r="AI165" s="1169">
        <v>0</v>
      </c>
      <c r="AJ165" s="1590">
        <v>0</v>
      </c>
      <c r="AK165" s="18">
        <f>+'P01 2022'!EJ126</f>
        <v>0</v>
      </c>
      <c r="AL165" s="185">
        <v>0</v>
      </c>
      <c r="AM165" s="97">
        <v>0</v>
      </c>
      <c r="AN165" s="1056">
        <v>0</v>
      </c>
      <c r="AO165" s="1601"/>
      <c r="AP165" s="1401"/>
      <c r="AQ165" s="1401"/>
      <c r="AR165" s="1401"/>
      <c r="AS165" s="1401"/>
      <c r="AT165" s="1401"/>
      <c r="AU165" s="1401"/>
      <c r="AV165" s="1401"/>
      <c r="AW165" s="1401"/>
      <c r="AX165" s="1401"/>
      <c r="AY165" s="753"/>
      <c r="AZ165" s="1602"/>
      <c r="BA165" s="1398"/>
      <c r="BB165" s="753"/>
      <c r="BC165" s="1610"/>
      <c r="BD165" s="1610"/>
    </row>
    <row r="166" spans="1:56" s="177" customFormat="1" ht="15" customHeight="1" x14ac:dyDescent="0.25">
      <c r="A166" s="175"/>
      <c r="B166" s="1413" t="s">
        <v>617</v>
      </c>
      <c r="C166" s="124"/>
      <c r="D166" s="1040"/>
      <c r="E166" s="1092" t="s">
        <v>319</v>
      </c>
      <c r="F166" s="190"/>
      <c r="G166" s="17" t="s">
        <v>760</v>
      </c>
      <c r="H166" s="1301" t="s">
        <v>761</v>
      </c>
      <c r="I166" s="1147">
        <v>0</v>
      </c>
      <c r="J166" s="97">
        <f>+'P01 2023'!EF141</f>
        <v>75758</v>
      </c>
      <c r="K166" s="1030">
        <v>0</v>
      </c>
      <c r="L166" s="694">
        <f t="shared" si="64"/>
        <v>0</v>
      </c>
      <c r="M166" s="97">
        <f>+'P01 2023'!EH141</f>
        <v>0</v>
      </c>
      <c r="N166" s="694">
        <f t="shared" si="67"/>
        <v>0</v>
      </c>
      <c r="O166" s="97">
        <f>+'P01 2023'!EI141</f>
        <v>75758</v>
      </c>
      <c r="P166" s="1156">
        <f t="shared" si="66"/>
        <v>0.59459280106905466</v>
      </c>
      <c r="Q166" s="1162">
        <v>0</v>
      </c>
      <c r="R166" s="997">
        <f ca="1">SUMIF(T$3:$AN153,"SI",T166:AN166)</f>
        <v>0</v>
      </c>
      <c r="S166" s="1734" t="str">
        <f t="shared" ca="1" si="65"/>
        <v>0,00%</v>
      </c>
      <c r="T166" s="218">
        <v>0</v>
      </c>
      <c r="U166" s="1169">
        <v>0</v>
      </c>
      <c r="V166" s="1168">
        <v>0</v>
      </c>
      <c r="W166" s="1185">
        <v>0</v>
      </c>
      <c r="X166" s="1214">
        <v>0</v>
      </c>
      <c r="Y166" s="1185">
        <v>0</v>
      </c>
      <c r="Z166" s="1168">
        <v>0</v>
      </c>
      <c r="AA166" s="1185">
        <v>0</v>
      </c>
      <c r="AB166" s="1168">
        <v>0</v>
      </c>
      <c r="AC166" s="1185">
        <v>0</v>
      </c>
      <c r="AD166" s="1168">
        <v>0</v>
      </c>
      <c r="AE166" s="1185">
        <v>0</v>
      </c>
      <c r="AF166" s="1468">
        <v>0</v>
      </c>
      <c r="AG166" s="1169">
        <v>0</v>
      </c>
      <c r="AH166" s="546">
        <v>0</v>
      </c>
      <c r="AI166" s="1169">
        <v>0</v>
      </c>
      <c r="AJ166" s="1590">
        <v>0</v>
      </c>
      <c r="AK166" s="18">
        <f>+'P01 2022'!EJ127</f>
        <v>0</v>
      </c>
      <c r="AL166" s="185">
        <v>0</v>
      </c>
      <c r="AM166" s="97">
        <v>0</v>
      </c>
      <c r="AN166" s="1056">
        <v>0</v>
      </c>
      <c r="AO166" s="1601"/>
      <c r="AP166" s="1401"/>
      <c r="AQ166" s="1401"/>
      <c r="AR166" s="1401"/>
      <c r="AS166" s="1401"/>
      <c r="AT166" s="1401"/>
      <c r="AU166" s="1401"/>
      <c r="AV166" s="1401"/>
      <c r="AW166" s="1401"/>
      <c r="AX166" s="1401"/>
      <c r="AY166" s="753"/>
      <c r="AZ166" s="1602"/>
      <c r="BA166" s="1398"/>
      <c r="BB166" s="753"/>
      <c r="BC166" s="1610"/>
      <c r="BD166" s="1610"/>
    </row>
    <row r="167" spans="1:56" s="177" customFormat="1" ht="15" hidden="1" customHeight="1" x14ac:dyDescent="0.25">
      <c r="A167" s="175"/>
      <c r="B167" s="1413" t="s">
        <v>904</v>
      </c>
      <c r="C167" s="124"/>
      <c r="D167" s="1040"/>
      <c r="E167" s="1092"/>
      <c r="F167" s="190"/>
      <c r="G167" s="17" t="s">
        <v>906</v>
      </c>
      <c r="H167" s="1301" t="s">
        <v>905</v>
      </c>
      <c r="I167" s="1147">
        <v>0</v>
      </c>
      <c r="J167" s="97">
        <v>0</v>
      </c>
      <c r="K167" s="1030">
        <f ca="1">SUMIF(T$3:$AN155,"ok",T167:AN167)</f>
        <v>0</v>
      </c>
      <c r="L167" s="694">
        <f t="shared" ca="1" si="64"/>
        <v>0</v>
      </c>
      <c r="M167" s="97">
        <v>0</v>
      </c>
      <c r="N167" s="694">
        <f t="shared" si="67"/>
        <v>0.40540719893094546</v>
      </c>
      <c r="O167" s="97">
        <v>0</v>
      </c>
      <c r="P167" s="1156">
        <f t="shared" si="66"/>
        <v>0.60536153533197146</v>
      </c>
      <c r="Q167" s="1162">
        <v>0</v>
      </c>
      <c r="R167" s="997">
        <f ca="1">SUMIF(T$3:$AN154,"SI",T167:AN167)</f>
        <v>0</v>
      </c>
      <c r="S167" s="1734" t="str">
        <f t="shared" ca="1" si="65"/>
        <v>0,00%</v>
      </c>
      <c r="T167" s="218">
        <v>0</v>
      </c>
      <c r="U167" s="1169">
        <v>0</v>
      </c>
      <c r="V167" s="1168">
        <v>0</v>
      </c>
      <c r="W167" s="1185">
        <v>0</v>
      </c>
      <c r="X167" s="1214">
        <v>0</v>
      </c>
      <c r="Y167" s="1185">
        <v>0</v>
      </c>
      <c r="Z167" s="1168">
        <v>0</v>
      </c>
      <c r="AA167" s="1185">
        <v>0</v>
      </c>
      <c r="AB167" s="1168">
        <v>0</v>
      </c>
      <c r="AC167" s="1185">
        <v>0</v>
      </c>
      <c r="AD167" s="1168">
        <v>0</v>
      </c>
      <c r="AE167" s="1185">
        <v>0</v>
      </c>
      <c r="AF167" s="1468">
        <v>0</v>
      </c>
      <c r="AG167" s="1169">
        <v>0</v>
      </c>
      <c r="AH167" s="546">
        <v>0</v>
      </c>
      <c r="AI167" s="1169">
        <v>0</v>
      </c>
      <c r="AJ167" s="1590">
        <v>0</v>
      </c>
      <c r="AK167" s="97">
        <v>0</v>
      </c>
      <c r="AL167" s="97">
        <v>0</v>
      </c>
      <c r="AM167" s="97">
        <f>+'P01 2022'!GA114</f>
        <v>40000</v>
      </c>
      <c r="AN167" s="1056">
        <v>0</v>
      </c>
      <c r="AO167" s="1601"/>
      <c r="AP167" s="1401"/>
      <c r="AQ167" s="1401"/>
      <c r="AR167" s="1401"/>
      <c r="AS167" s="1401"/>
      <c r="AT167" s="1401"/>
      <c r="AU167" s="1401"/>
      <c r="AV167" s="1401"/>
      <c r="AW167" s="1401"/>
      <c r="AX167" s="1401"/>
      <c r="AY167" s="753"/>
      <c r="AZ167" s="1602"/>
      <c r="BA167" s="1398"/>
      <c r="BB167" s="753"/>
      <c r="BC167" s="1610"/>
      <c r="BD167" s="1610"/>
    </row>
    <row r="168" spans="1:56" s="1024" customFormat="1" ht="15" customHeight="1" x14ac:dyDescent="0.25">
      <c r="A168" s="175"/>
      <c r="B168" s="1413" t="s">
        <v>638</v>
      </c>
      <c r="C168" s="20">
        <v>25</v>
      </c>
      <c r="D168" s="1041"/>
      <c r="E168" s="1093"/>
      <c r="F168" s="1042"/>
      <c r="G168" s="189"/>
      <c r="H168" s="527" t="s">
        <v>644</v>
      </c>
      <c r="I168" s="1145">
        <f>+I169</f>
        <v>165389</v>
      </c>
      <c r="J168" s="127">
        <f>+'P01 2023'!EF142</f>
        <v>165745</v>
      </c>
      <c r="K168" s="127">
        <f ca="1">+K169</f>
        <v>358967.674</v>
      </c>
      <c r="L168" s="783">
        <f ca="1">IFERROR(K168/J168,"0.00"%)</f>
        <v>2.1657828230112521</v>
      </c>
      <c r="M168" s="127">
        <f>+'P01 2023'!EH142</f>
        <v>358967.674</v>
      </c>
      <c r="N168" s="783">
        <f t="shared" si="67"/>
        <v>0.39463846466802865</v>
      </c>
      <c r="O168" s="127">
        <f>+'P01 2023'!EI142</f>
        <v>-193222.674</v>
      </c>
      <c r="P168" s="1155">
        <f t="shared" si="66"/>
        <v>0</v>
      </c>
      <c r="Q168" s="1736">
        <f>+Q169</f>
        <v>165388.981</v>
      </c>
      <c r="R168" s="1027">
        <f ca="1">SUMIF(T$3:$AN161,"SI",T168:AN168)</f>
        <v>568465.80373999989</v>
      </c>
      <c r="S168" s="1146">
        <f t="shared" ca="1" si="65"/>
        <v>3.4371443629609151</v>
      </c>
      <c r="T168" s="1286">
        <f>+T169</f>
        <v>35780.627999999997</v>
      </c>
      <c r="U168" s="1078">
        <v>0</v>
      </c>
      <c r="V168" s="1145">
        <f>+V169</f>
        <v>7589.4160000000002</v>
      </c>
      <c r="W168" s="1186">
        <v>0</v>
      </c>
      <c r="X168" s="1215">
        <v>0</v>
      </c>
      <c r="Y168" s="1186">
        <f>SUM(Y169:Y169)</f>
        <v>0</v>
      </c>
      <c r="Z168" s="1145">
        <f>+Z169</f>
        <v>30377.952000000001</v>
      </c>
      <c r="AA168" s="1186">
        <f>+AA169</f>
        <v>0</v>
      </c>
      <c r="AB168" s="1145">
        <f>+AB169</f>
        <v>115710.58900000001</v>
      </c>
      <c r="AC168" s="1186">
        <f>+AC169</f>
        <v>417658.76760399994</v>
      </c>
      <c r="AD168" s="1145">
        <f>+AD169+AD170</f>
        <v>58108.99</v>
      </c>
      <c r="AE168" s="1186">
        <v>0</v>
      </c>
      <c r="AF168" s="1219">
        <f>+'P01 2023'!CP109</f>
        <v>78596.793000000005</v>
      </c>
      <c r="AG168" s="1078">
        <f>+AG169</f>
        <v>86489.641800999991</v>
      </c>
      <c r="AH168" s="1215">
        <f>+'P01 2023'!DF96</f>
        <v>21246.516</v>
      </c>
      <c r="AI168" s="1078">
        <v>0</v>
      </c>
      <c r="AJ168" s="1591">
        <f>+'P01 2023'!DX115</f>
        <v>40484.771000000001</v>
      </c>
      <c r="AK168" s="127">
        <f>+AK169</f>
        <v>64317.394334999997</v>
      </c>
      <c r="AL168" s="127">
        <f>+AL169</f>
        <v>25328.784</v>
      </c>
      <c r="AM168" s="127">
        <f>+'P01 2022'!GA115</f>
        <v>34813.769999999997</v>
      </c>
      <c r="AN168" s="1055">
        <f>+'P01 2022'!GX122</f>
        <v>35078.995999999999</v>
      </c>
      <c r="AO168" s="1601"/>
      <c r="AP168" s="1401"/>
      <c r="AQ168" s="1401"/>
      <c r="AR168" s="1401"/>
      <c r="AS168" s="1401"/>
      <c r="AT168" s="1401"/>
      <c r="AU168" s="1401"/>
      <c r="AV168" s="1401"/>
      <c r="AW168" s="1401"/>
      <c r="AX168" s="1401"/>
      <c r="AY168" s="753"/>
      <c r="AZ168" s="1602"/>
      <c r="BA168" s="1398"/>
      <c r="BB168" s="753"/>
      <c r="BC168" s="1610"/>
      <c r="BD168" s="1610"/>
    </row>
    <row r="169" spans="1:56" s="1616" customFormat="1" ht="15" customHeight="1" x14ac:dyDescent="0.25">
      <c r="A169" s="1614"/>
      <c r="B169" s="1413" t="s">
        <v>639</v>
      </c>
      <c r="C169" s="356"/>
      <c r="D169" s="1043">
        <v>99</v>
      </c>
      <c r="E169" s="1043"/>
      <c r="F169" s="1043"/>
      <c r="G169" s="1410" t="s">
        <v>728</v>
      </c>
      <c r="H169" s="1302" t="s">
        <v>643</v>
      </c>
      <c r="I169" s="1168">
        <f>+'P01 2023'!F132</f>
        <v>165389</v>
      </c>
      <c r="J169" s="97">
        <f>+'P01 2023'!EF143</f>
        <v>165745</v>
      </c>
      <c r="K169" s="494">
        <f ca="1">SUMIF(T$3:$AN157,"ok",T169:AN169)</f>
        <v>358967.674</v>
      </c>
      <c r="L169" s="694">
        <f ca="1">IFERROR(K169/J169,"0,00"%)</f>
        <v>2.1657828230112521</v>
      </c>
      <c r="M169" s="1094">
        <f>+'P01 2023'!EH143</f>
        <v>358967.674</v>
      </c>
      <c r="N169" s="694">
        <f t="shared" si="67"/>
        <v>1</v>
      </c>
      <c r="O169" s="97">
        <f>+'P01 2023'!EI143</f>
        <v>-193222.674</v>
      </c>
      <c r="P169" s="1557">
        <f t="shared" si="66"/>
        <v>7.0470363809909106E-2</v>
      </c>
      <c r="Q169" s="1740">
        <f>+'P01 2022'!ES133</f>
        <v>165388.981</v>
      </c>
      <c r="R169" s="1031">
        <f ca="1">SUMIF(T$3:$AN162,"SI",T169:AN169)</f>
        <v>568465.80373999989</v>
      </c>
      <c r="S169" s="1741">
        <f t="shared" ca="1" si="65"/>
        <v>3.4371443629609151</v>
      </c>
      <c r="T169" s="1725">
        <f>+'P01 2023'!I132</f>
        <v>35780.627999999997</v>
      </c>
      <c r="U169" s="1079">
        <v>0</v>
      </c>
      <c r="V169" s="1151">
        <f>+'P01 2023'!N94</f>
        <v>7589.4160000000002</v>
      </c>
      <c r="W169" s="1187">
        <v>0</v>
      </c>
      <c r="X169" s="1216">
        <v>0</v>
      </c>
      <c r="Y169" s="1187">
        <v>0</v>
      </c>
      <c r="Z169" s="1168">
        <f>+'P01 2023'!AT111</f>
        <v>30377.952000000001</v>
      </c>
      <c r="AA169" s="1187">
        <v>0</v>
      </c>
      <c r="AB169" s="1151">
        <f>+'P01 2023'!BJ103</f>
        <v>115710.58900000001</v>
      </c>
      <c r="AC169" s="1187">
        <f>+'P01 2022'!BI99</f>
        <v>417658.76760399994</v>
      </c>
      <c r="AD169" s="1168">
        <f>+'P01 2023'!BZ110</f>
        <v>29181.008999999998</v>
      </c>
      <c r="AE169" s="1187">
        <v>0</v>
      </c>
      <c r="AF169" s="1551">
        <f>+'P01 2023'!CP110</f>
        <v>78596.793000000005</v>
      </c>
      <c r="AG169" s="1079">
        <f>+'P01 2022'!CY110</f>
        <v>86489.641800999991</v>
      </c>
      <c r="AH169" s="1214">
        <f>+'P01 2023'!DF97</f>
        <v>21246.516</v>
      </c>
      <c r="AI169" s="1079">
        <v>0</v>
      </c>
      <c r="AJ169" s="1592">
        <f>+'P01 2023'!DX116</f>
        <v>40484.771000000001</v>
      </c>
      <c r="AK169" s="1550">
        <f>+'P01 2022'!EJ112</f>
        <v>64317.394334999997</v>
      </c>
      <c r="AL169" s="1189">
        <f>+'P01 2022'!FC110</f>
        <v>25328.784</v>
      </c>
      <c r="AM169" s="97">
        <f>+'P01 2022'!GA116</f>
        <v>34813.769999999997</v>
      </c>
      <c r="AN169" s="1169">
        <f>+'P01 2022'!GX123</f>
        <v>35078.995999999999</v>
      </c>
      <c r="AO169" s="1601"/>
      <c r="AP169" s="1401"/>
      <c r="AQ169" s="1401"/>
      <c r="AR169" s="1401"/>
      <c r="AS169" s="1401"/>
      <c r="AT169" s="1401"/>
      <c r="AU169" s="1401"/>
      <c r="AV169" s="1401"/>
      <c r="AW169" s="1401"/>
      <c r="AX169" s="1401"/>
      <c r="AY169" s="1615"/>
      <c r="AZ169" s="1602"/>
      <c r="BA169" s="1398"/>
      <c r="BB169" s="753"/>
      <c r="BC169" s="1610"/>
      <c r="BD169" s="1610"/>
    </row>
    <row r="170" spans="1:56" s="177" customFormat="1" ht="14.25" hidden="1" customHeight="1" x14ac:dyDescent="0.25">
      <c r="A170" s="175"/>
      <c r="B170" s="1413" t="s">
        <v>1040</v>
      </c>
      <c r="C170" s="124"/>
      <c r="D170" s="1410"/>
      <c r="E170" s="1410"/>
      <c r="F170" s="1410"/>
      <c r="G170" s="1410" t="s">
        <v>1043</v>
      </c>
      <c r="H170" s="1301" t="s">
        <v>1042</v>
      </c>
      <c r="I170" s="1147">
        <v>0</v>
      </c>
      <c r="J170" s="97">
        <f>+'P01 2023'!EF144</f>
        <v>0</v>
      </c>
      <c r="K170" s="1030">
        <f ca="1">SUMIF(T$3:$AN158,"ok",T170:AN170)</f>
        <v>169256.06100000002</v>
      </c>
      <c r="L170" s="694">
        <f ca="1">IFERROR(K170/J170,"0,00"%)</f>
        <v>0</v>
      </c>
      <c r="M170" s="1094">
        <f>+'P01 2023'!EH144</f>
        <v>169256.06099999999</v>
      </c>
      <c r="N170" s="694">
        <f t="shared" si="67"/>
        <v>0.92952963619009099</v>
      </c>
      <c r="O170" s="97">
        <f>+'P01 2023'!EI144</f>
        <v>-169256.06099999999</v>
      </c>
      <c r="P170" s="1156">
        <f t="shared" si="66"/>
        <v>8.3944981222382697E-2</v>
      </c>
      <c r="Q170" s="1162">
        <v>0</v>
      </c>
      <c r="R170" s="1411">
        <v>0</v>
      </c>
      <c r="S170" s="1734">
        <v>0</v>
      </c>
      <c r="T170" s="1728">
        <v>0</v>
      </c>
      <c r="U170" s="1169">
        <v>0</v>
      </c>
      <c r="V170" s="1412">
        <v>0</v>
      </c>
      <c r="W170" s="1169">
        <v>0</v>
      </c>
      <c r="X170" s="1412">
        <v>0</v>
      </c>
      <c r="Y170" s="1169">
        <v>0</v>
      </c>
      <c r="Z170" s="1412">
        <v>0</v>
      </c>
      <c r="AA170" s="1169">
        <v>0</v>
      </c>
      <c r="AB170" s="1168">
        <v>0</v>
      </c>
      <c r="AC170" s="1185">
        <v>0</v>
      </c>
      <c r="AD170" s="1168">
        <f>+'P01 2023'!BZ111</f>
        <v>28927.981</v>
      </c>
      <c r="AE170" s="1185">
        <v>0</v>
      </c>
      <c r="AF170" s="1468">
        <f>+'P01 2023'!CP111</f>
        <v>78596.793000000005</v>
      </c>
      <c r="AG170" s="1169">
        <v>0</v>
      </c>
      <c r="AH170" s="546">
        <f>+'P01 2023'!DF98</f>
        <v>21246.516</v>
      </c>
      <c r="AI170" s="1169"/>
      <c r="AJ170" s="1590">
        <f>+'P01 2023'!DX117</f>
        <v>40484.771000000001</v>
      </c>
      <c r="AK170" s="97"/>
      <c r="AL170" s="323"/>
      <c r="AM170" s="97"/>
      <c r="AN170" s="1056"/>
      <c r="AO170" s="1601"/>
      <c r="AP170" s="1401"/>
      <c r="AQ170" s="1401"/>
      <c r="AR170" s="1401"/>
      <c r="AS170" s="1401"/>
      <c r="AT170" s="1401"/>
      <c r="AU170" s="1401"/>
      <c r="AV170" s="1401"/>
      <c r="AW170" s="1401"/>
      <c r="AX170" s="1401"/>
      <c r="AY170" s="753"/>
      <c r="AZ170" s="1602"/>
      <c r="BA170" s="1398"/>
      <c r="BB170" s="753"/>
      <c r="BC170" s="1610"/>
      <c r="BD170" s="1610"/>
    </row>
    <row r="171" spans="1:56" s="177" customFormat="1" ht="14.25" hidden="1" customHeight="1" x14ac:dyDescent="0.25">
      <c r="A171" s="175"/>
      <c r="B171" s="1413" t="s">
        <v>1047</v>
      </c>
      <c r="C171" s="124"/>
      <c r="D171" s="1410"/>
      <c r="E171" s="1410"/>
      <c r="F171" s="1410"/>
      <c r="G171" s="1410"/>
      <c r="H171" s="1301" t="s">
        <v>1055</v>
      </c>
      <c r="I171" s="1147">
        <v>0</v>
      </c>
      <c r="J171" s="97">
        <f>+'P01 2023'!EF145</f>
        <v>253.02799999999999</v>
      </c>
      <c r="K171" s="1030">
        <f ca="1">SUMIF(T$3:$AN159,"ok",T171:AN171)</f>
        <v>0</v>
      </c>
      <c r="L171" s="694">
        <f t="shared" ref="L171:L173" ca="1" si="68">IFERROR(K171/J171,"0.00"%)</f>
        <v>0</v>
      </c>
      <c r="M171" s="1094">
        <f>+'P01 2023'!EH145</f>
        <v>0</v>
      </c>
      <c r="N171" s="694">
        <f t="shared" si="67"/>
        <v>0.9160550187776173</v>
      </c>
      <c r="O171" s="97">
        <f>+'P01 2023'!EI145</f>
        <v>253.02799999999999</v>
      </c>
      <c r="P171" s="1156">
        <f t="shared" si="66"/>
        <v>0</v>
      </c>
      <c r="Q171" s="1162">
        <v>0</v>
      </c>
      <c r="R171" s="1411">
        <v>0</v>
      </c>
      <c r="S171" s="1734">
        <v>0</v>
      </c>
      <c r="T171" s="1728">
        <v>0</v>
      </c>
      <c r="U171" s="1169">
        <v>0</v>
      </c>
      <c r="V171" s="1412">
        <v>0</v>
      </c>
      <c r="W171" s="1169">
        <v>0</v>
      </c>
      <c r="X171" s="1412">
        <v>0</v>
      </c>
      <c r="Y171" s="1169">
        <v>0</v>
      </c>
      <c r="Z171" s="1412">
        <v>0</v>
      </c>
      <c r="AA171" s="1169">
        <v>0</v>
      </c>
      <c r="AB171" s="1412">
        <v>0</v>
      </c>
      <c r="AC171" s="1169">
        <v>0</v>
      </c>
      <c r="AD171" s="1412">
        <v>0</v>
      </c>
      <c r="AE171" s="1169">
        <v>0</v>
      </c>
      <c r="AF171" s="1412">
        <v>0</v>
      </c>
      <c r="AG171" s="1169">
        <v>0</v>
      </c>
      <c r="AH171" s="1412">
        <v>0</v>
      </c>
      <c r="AI171" s="1169">
        <v>0</v>
      </c>
      <c r="AJ171" s="1590">
        <v>0</v>
      </c>
      <c r="AK171" s="97">
        <v>0</v>
      </c>
      <c r="AL171" s="323"/>
      <c r="AM171" s="97"/>
      <c r="AN171" s="1056"/>
      <c r="AO171" s="1601"/>
      <c r="AP171" s="1401"/>
      <c r="AQ171" s="1401"/>
      <c r="AR171" s="1401"/>
      <c r="AS171" s="1401"/>
      <c r="AT171" s="1401"/>
      <c r="AU171" s="1401"/>
      <c r="AV171" s="1401"/>
      <c r="AW171" s="1401"/>
      <c r="AX171" s="1401"/>
      <c r="AY171" s="753"/>
      <c r="AZ171" s="1602"/>
      <c r="BA171" s="1398"/>
      <c r="BB171" s="753"/>
      <c r="BC171" s="1610"/>
      <c r="BD171" s="1610"/>
    </row>
    <row r="172" spans="1:56" s="177" customFormat="1" ht="14.25" hidden="1" customHeight="1" x14ac:dyDescent="0.25">
      <c r="A172" s="175"/>
      <c r="B172" s="1413" t="s">
        <v>1048</v>
      </c>
      <c r="C172" s="124"/>
      <c r="D172" s="1410"/>
      <c r="E172" s="1410"/>
      <c r="F172" s="1410"/>
      <c r="G172" s="1410"/>
      <c r="H172" s="1301" t="s">
        <v>1056</v>
      </c>
      <c r="I172" s="1147">
        <v>0</v>
      </c>
      <c r="J172" s="97">
        <f>+'P01 2023'!EF146</f>
        <v>102.97199999999999</v>
      </c>
      <c r="K172" s="1030">
        <f ca="1">SUMIF(T$3:$AN160,"ok",T172:AN172)</f>
        <v>0</v>
      </c>
      <c r="L172" s="694">
        <f t="shared" ca="1" si="68"/>
        <v>0</v>
      </c>
      <c r="M172" s="1094">
        <f>+'P01 2023'!EH146</f>
        <v>0</v>
      </c>
      <c r="N172" s="694">
        <f t="shared" si="67"/>
        <v>1</v>
      </c>
      <c r="O172" s="97">
        <f>+'P01 2023'!EI146</f>
        <v>102.97199999999999</v>
      </c>
      <c r="P172" s="1156">
        <f t="shared" si="66"/>
        <v>0</v>
      </c>
      <c r="Q172" s="1162">
        <v>0</v>
      </c>
      <c r="R172" s="1411">
        <v>0</v>
      </c>
      <c r="S172" s="1734">
        <v>0</v>
      </c>
      <c r="T172" s="1728">
        <v>0</v>
      </c>
      <c r="U172" s="1169">
        <v>0</v>
      </c>
      <c r="V172" s="1412">
        <v>0</v>
      </c>
      <c r="W172" s="1169">
        <v>0</v>
      </c>
      <c r="X172" s="1412">
        <v>0</v>
      </c>
      <c r="Y172" s="1169">
        <v>0</v>
      </c>
      <c r="Z172" s="1412">
        <v>0</v>
      </c>
      <c r="AA172" s="1169">
        <v>0</v>
      </c>
      <c r="AB172" s="1412">
        <v>0</v>
      </c>
      <c r="AC172" s="1169">
        <v>0</v>
      </c>
      <c r="AD172" s="1412">
        <v>0</v>
      </c>
      <c r="AE172" s="1169">
        <v>0</v>
      </c>
      <c r="AF172" s="1412">
        <v>0</v>
      </c>
      <c r="AG172" s="1169">
        <v>0</v>
      </c>
      <c r="AH172" s="1412">
        <v>0</v>
      </c>
      <c r="AI172" s="1169">
        <v>0</v>
      </c>
      <c r="AJ172" s="1590">
        <v>0</v>
      </c>
      <c r="AK172" s="97">
        <v>0</v>
      </c>
      <c r="AL172" s="323"/>
      <c r="AM172" s="97"/>
      <c r="AN172" s="1056"/>
      <c r="AO172" s="1601"/>
      <c r="AP172" s="1401"/>
      <c r="AQ172" s="1401"/>
      <c r="AR172" s="1401"/>
      <c r="AS172" s="1401"/>
      <c r="AT172" s="1401"/>
      <c r="AU172" s="1401"/>
      <c r="AV172" s="1401"/>
      <c r="AW172" s="1401"/>
      <c r="AX172" s="1401"/>
      <c r="AY172" s="753"/>
      <c r="AZ172" s="1602"/>
      <c r="BA172" s="1398"/>
      <c r="BB172" s="753"/>
      <c r="BC172" s="1610"/>
      <c r="BD172" s="1610"/>
    </row>
    <row r="173" spans="1:56" s="177" customFormat="1" ht="14.25" hidden="1" customHeight="1" x14ac:dyDescent="0.25">
      <c r="A173" s="175"/>
      <c r="B173" s="1413" t="s">
        <v>1049</v>
      </c>
      <c r="C173" s="124"/>
      <c r="D173" s="1410"/>
      <c r="E173" s="1410"/>
      <c r="F173" s="1410"/>
      <c r="G173" s="1410"/>
      <c r="H173" s="1301" t="s">
        <v>51</v>
      </c>
      <c r="I173" s="1147">
        <v>0</v>
      </c>
      <c r="J173" s="97">
        <f>+'P01 2023'!EF147</f>
        <v>165389</v>
      </c>
      <c r="K173" s="1030">
        <f ca="1">+K169-K170</f>
        <v>189711.61299999998</v>
      </c>
      <c r="L173" s="694">
        <f t="shared" ca="1" si="68"/>
        <v>1.1470630634443644</v>
      </c>
      <c r="M173" s="1094">
        <f>+'P01 2023'!EH147</f>
        <v>189711.61300000001</v>
      </c>
      <c r="N173" s="694">
        <f t="shared" si="67"/>
        <v>0</v>
      </c>
      <c r="O173" s="97">
        <f>+'P01 2023'!EI147</f>
        <v>-24322.613000000001</v>
      </c>
      <c r="P173" s="1156">
        <f t="shared" si="66"/>
        <v>2.0146576174597833E-6</v>
      </c>
      <c r="Q173" s="1162">
        <v>0</v>
      </c>
      <c r="R173" s="1411">
        <v>0</v>
      </c>
      <c r="S173" s="1734">
        <v>0</v>
      </c>
      <c r="T173" s="1728">
        <v>0</v>
      </c>
      <c r="U173" s="1169">
        <v>0</v>
      </c>
      <c r="V173" s="1412">
        <v>0</v>
      </c>
      <c r="W173" s="1169">
        <v>0</v>
      </c>
      <c r="X173" s="1412">
        <v>0</v>
      </c>
      <c r="Y173" s="1169">
        <v>0</v>
      </c>
      <c r="Z173" s="1412">
        <v>0</v>
      </c>
      <c r="AA173" s="1169">
        <v>0</v>
      </c>
      <c r="AB173" s="1412">
        <v>0</v>
      </c>
      <c r="AC173" s="1169">
        <v>0</v>
      </c>
      <c r="AD173" s="1412">
        <v>0</v>
      </c>
      <c r="AE173" s="1169">
        <v>0</v>
      </c>
      <c r="AF173" s="1412">
        <v>0</v>
      </c>
      <c r="AG173" s="1169">
        <v>0</v>
      </c>
      <c r="AH173" s="1412">
        <v>0</v>
      </c>
      <c r="AI173" s="1169">
        <v>0</v>
      </c>
      <c r="AJ173" s="1590">
        <v>0</v>
      </c>
      <c r="AK173" s="97">
        <v>0</v>
      </c>
      <c r="AL173" s="323"/>
      <c r="AM173" s="97"/>
      <c r="AN173" s="1056"/>
      <c r="AO173" s="1601"/>
      <c r="AP173" s="1401"/>
      <c r="AQ173" s="1401"/>
      <c r="AR173" s="1401"/>
      <c r="AS173" s="1401"/>
      <c r="AT173" s="1401"/>
      <c r="AU173" s="1401"/>
      <c r="AV173" s="1401"/>
      <c r="AW173" s="1401"/>
      <c r="AX173" s="1401"/>
      <c r="AY173" s="753"/>
      <c r="AZ173" s="1602"/>
      <c r="BA173" s="1398"/>
      <c r="BB173" s="753"/>
      <c r="BC173" s="1610"/>
      <c r="BD173" s="1610"/>
    </row>
    <row r="174" spans="1:56" s="177" customFormat="1" ht="15" customHeight="1" x14ac:dyDescent="0.25">
      <c r="A174" s="175"/>
      <c r="B174" s="1413" t="s">
        <v>618</v>
      </c>
      <c r="C174" s="20">
        <v>29</v>
      </c>
      <c r="D174" s="1041" t="s">
        <v>2</v>
      </c>
      <c r="E174" s="23"/>
      <c r="F174" s="23"/>
      <c r="G174" s="1044"/>
      <c r="H174" s="527" t="s">
        <v>315</v>
      </c>
      <c r="I174" s="1145">
        <f>+'P01 2023'!F135</f>
        <v>332151</v>
      </c>
      <c r="J174" s="127">
        <f>+J175+J176+J177+J179</f>
        <v>332151</v>
      </c>
      <c r="K174" s="127">
        <f ca="1">SUMIF(T$3:$AN158,"ok",T174:AN174)</f>
        <v>166156.31400000001</v>
      </c>
      <c r="L174" s="783">
        <f ca="1">IFERROR(K174/J174,"0.00"%)</f>
        <v>0.50024330500284508</v>
      </c>
      <c r="M174" s="127">
        <f>+M175+M176+M177+M179</f>
        <v>170743.81400000001</v>
      </c>
      <c r="N174" s="783">
        <f>+IFERROR(M182/J182,0)</f>
        <v>0.92952963619009099</v>
      </c>
      <c r="O174" s="127">
        <f>+O175+O176+O177+O179</f>
        <v>161407.18600000002</v>
      </c>
      <c r="P174" s="1155">
        <f>+IFERROR(#REF!/J183,0)</f>
        <v>0</v>
      </c>
      <c r="Q174" s="1736">
        <f>+Q175+Q176+Q177+Q179</f>
        <v>178095.02</v>
      </c>
      <c r="R174" s="1027">
        <f ca="1">SUMIF(T$3:$AN162,"SI",T174:AN174)</f>
        <v>111430.597138</v>
      </c>
      <c r="S174" s="1732" t="str">
        <f ca="1">IFERROR(R174/#REF!,"0,00%")</f>
        <v>0,00%</v>
      </c>
      <c r="T174" s="1070">
        <v>0</v>
      </c>
      <c r="U174" s="1071">
        <f>+U177+U179</f>
        <v>0</v>
      </c>
      <c r="V174" s="1148">
        <v>0</v>
      </c>
      <c r="W174" s="243">
        <f>+W177+W179</f>
        <v>0</v>
      </c>
      <c r="X174" s="369">
        <v>0</v>
      </c>
      <c r="Y174" s="243">
        <f>+Y177+Y179</f>
        <v>685.63499999999999</v>
      </c>
      <c r="Z174" s="1148">
        <f>+Z177+Z179</f>
        <v>4140</v>
      </c>
      <c r="AA174" s="243">
        <f>+AA177+AA179</f>
        <v>0</v>
      </c>
      <c r="AB174" s="1148">
        <f>+'P01 2023'!BJ104</f>
        <v>4412.5</v>
      </c>
      <c r="AC174" s="243">
        <f>+AC177+AC179</f>
        <v>15976.401019999999</v>
      </c>
      <c r="AD174" s="1145">
        <f>+'P01 2023'!BZ112</f>
        <v>51286.201000000001</v>
      </c>
      <c r="AE174" s="243">
        <f>+AE177+AE179</f>
        <v>9354.3989369999999</v>
      </c>
      <c r="AF174" s="1219">
        <f>+'P01 2023'!CP114</f>
        <v>12361.918</v>
      </c>
      <c r="AG174" s="1071">
        <f>+AG177+AG179</f>
        <v>15620.617045999999</v>
      </c>
      <c r="AH174" s="1215">
        <f>+'P01 2023'!DF99</f>
        <v>25464.600999999999</v>
      </c>
      <c r="AI174" s="1071">
        <f>+AI177+AI179</f>
        <v>8845.3781980000003</v>
      </c>
      <c r="AJ174" s="1593">
        <f>+'P01 2023'!DX118</f>
        <v>68491.093999999997</v>
      </c>
      <c r="AK174" s="16">
        <f>+AK177+AK179</f>
        <v>60948.166937000002</v>
      </c>
      <c r="AL174" s="132">
        <f>+'P01 2022'!FC111</f>
        <v>4412.5</v>
      </c>
      <c r="AM174" s="127">
        <f>+'P01 2022'!GA117</f>
        <v>104.18300000000001</v>
      </c>
      <c r="AN174" s="1055">
        <f>+'P01 2022'!GX124</f>
        <v>76271.471000000005</v>
      </c>
      <c r="AO174" s="1601"/>
      <c r="AP174" s="1401"/>
      <c r="AQ174" s="1401"/>
      <c r="AR174" s="1401"/>
      <c r="AS174" s="1401"/>
      <c r="AT174" s="1401"/>
      <c r="AU174" s="1401"/>
      <c r="AV174" s="1401"/>
      <c r="AW174" s="1401"/>
      <c r="AX174" s="1401"/>
      <c r="AY174" s="753"/>
      <c r="AZ174" s="1602"/>
      <c r="BA174" s="1398"/>
      <c r="BB174" s="753"/>
      <c r="BC174" s="1610"/>
      <c r="BD174" s="1610"/>
    </row>
    <row r="175" spans="1:56" s="177" customFormat="1" ht="15" customHeight="1" x14ac:dyDescent="0.25">
      <c r="A175" s="175"/>
      <c r="B175" s="1413" t="s">
        <v>929</v>
      </c>
      <c r="C175" s="24"/>
      <c r="D175" s="1554" t="s">
        <v>167</v>
      </c>
      <c r="E175" s="25"/>
      <c r="F175" s="25"/>
      <c r="G175" s="1555" t="s">
        <v>938</v>
      </c>
      <c r="H175" s="1556" t="s">
        <v>937</v>
      </c>
      <c r="I175" s="1151">
        <f>+'P01 2023'!F136</f>
        <v>82914</v>
      </c>
      <c r="J175" s="97">
        <f>+'P01 2023'!EF151</f>
        <v>82914</v>
      </c>
      <c r="K175" s="97">
        <f ca="1">SUMIF(T$3:$AN159,"ok",T175:AN175)</f>
        <v>76393.801999999996</v>
      </c>
      <c r="L175" s="694">
        <f ca="1">IFERROR(K175/J175,"0.00"%)</f>
        <v>0.92136191716718518</v>
      </c>
      <c r="M175" s="97">
        <f>+'P01 2023'!EH151</f>
        <v>76393.801999999996</v>
      </c>
      <c r="N175" s="694">
        <f>+IFERROR(M183/J183,0)</f>
        <v>0.9160550187776173</v>
      </c>
      <c r="O175" s="97">
        <f>+'P01 2023'!EI151</f>
        <v>6520.1980000000003</v>
      </c>
      <c r="P175" s="1557">
        <v>0</v>
      </c>
      <c r="Q175" s="1151">
        <v>0</v>
      </c>
      <c r="R175" s="1550">
        <v>0</v>
      </c>
      <c r="S175" s="1291">
        <v>0</v>
      </c>
      <c r="T175" s="1157">
        <v>0</v>
      </c>
      <c r="U175" s="1558">
        <v>0</v>
      </c>
      <c r="V175" s="1559">
        <v>0</v>
      </c>
      <c r="W175" s="1560">
        <v>0</v>
      </c>
      <c r="X175" s="1561">
        <v>0</v>
      </c>
      <c r="Y175" s="1560">
        <v>0</v>
      </c>
      <c r="Z175" s="1559">
        <v>0</v>
      </c>
      <c r="AA175" s="1560">
        <v>0</v>
      </c>
      <c r="AB175" s="1559">
        <v>0</v>
      </c>
      <c r="AC175" s="1560">
        <v>0</v>
      </c>
      <c r="AD175" s="1151">
        <f>+'P01 2023'!BZ113</f>
        <v>50929.201000000001</v>
      </c>
      <c r="AE175" s="1560">
        <v>0</v>
      </c>
      <c r="AF175" s="1551">
        <v>0</v>
      </c>
      <c r="AG175" s="1558">
        <v>0</v>
      </c>
      <c r="AH175" s="546">
        <f>+'P01 2023'!DF100</f>
        <v>25464.600999999999</v>
      </c>
      <c r="AI175" s="1558">
        <v>0</v>
      </c>
      <c r="AJ175" s="1590">
        <f>+'P01 2023'!DX119</f>
        <v>0</v>
      </c>
      <c r="AK175" s="1562">
        <v>0</v>
      </c>
      <c r="AL175" s="1562">
        <v>0</v>
      </c>
      <c r="AM175" s="1562">
        <v>0</v>
      </c>
      <c r="AN175" s="1062">
        <f>+'P01 2022'!GX125</f>
        <v>26956.633999999998</v>
      </c>
      <c r="AO175" s="1601"/>
      <c r="AP175" s="1401"/>
      <c r="AQ175" s="1401"/>
      <c r="AR175" s="1401"/>
      <c r="AS175" s="1401"/>
      <c r="AT175" s="1401"/>
      <c r="AU175" s="1401"/>
      <c r="AV175" s="1401"/>
      <c r="AW175" s="1401"/>
      <c r="AX175" s="1401"/>
      <c r="AY175" s="753"/>
      <c r="AZ175" s="1602"/>
      <c r="BA175" s="1398"/>
      <c r="BB175" s="753"/>
      <c r="BC175" s="1610"/>
      <c r="BD175" s="1610"/>
    </row>
    <row r="176" spans="1:56" s="177" customFormat="1" ht="15" customHeight="1" x14ac:dyDescent="0.25">
      <c r="A176" s="175"/>
      <c r="B176" s="1413" t="s">
        <v>997</v>
      </c>
      <c r="C176" s="24"/>
      <c r="D176" s="1554" t="s">
        <v>168</v>
      </c>
      <c r="E176" s="25"/>
      <c r="F176" s="25"/>
      <c r="G176" s="1555" t="s">
        <v>1017</v>
      </c>
      <c r="H176" s="1556" t="s">
        <v>999</v>
      </c>
      <c r="I176" s="1151">
        <f>+'P01 2023'!F137</f>
        <v>16508</v>
      </c>
      <c r="J176" s="97">
        <f>+'P01 2023'!EF152</f>
        <v>16508</v>
      </c>
      <c r="K176" s="97">
        <f ca="1">SUMIF(T$3:$AN160,"ok",T176:AN176)</f>
        <v>0</v>
      </c>
      <c r="L176" s="694">
        <f ca="1">IFERROR(K176/J176,"0.00"%)</f>
        <v>0</v>
      </c>
      <c r="M176" s="97">
        <f>+'P01 2023'!EH152</f>
        <v>0</v>
      </c>
      <c r="N176" s="694">
        <v>0</v>
      </c>
      <c r="O176" s="97">
        <f>+'P01 2023'!EI152</f>
        <v>16508</v>
      </c>
      <c r="P176" s="1557">
        <v>0</v>
      </c>
      <c r="Q176" s="1151">
        <v>0</v>
      </c>
      <c r="R176" s="1550">
        <v>0</v>
      </c>
      <c r="S176" s="1291">
        <v>0</v>
      </c>
      <c r="T176" s="1157">
        <v>0</v>
      </c>
      <c r="U176" s="1558">
        <v>0</v>
      </c>
      <c r="V176" s="1559">
        <v>0</v>
      </c>
      <c r="W176" s="1560">
        <v>0</v>
      </c>
      <c r="X176" s="1561">
        <v>0</v>
      </c>
      <c r="Y176" s="1560">
        <v>0</v>
      </c>
      <c r="Z176" s="1559">
        <v>0</v>
      </c>
      <c r="AA176" s="1560">
        <v>0</v>
      </c>
      <c r="AB176" s="1559">
        <v>0</v>
      </c>
      <c r="AC176" s="1560">
        <v>0</v>
      </c>
      <c r="AD176" s="1151">
        <f>+'P01 2023'!BZ114</f>
        <v>0</v>
      </c>
      <c r="AE176" s="1560">
        <v>0</v>
      </c>
      <c r="AF176" s="1551">
        <v>0</v>
      </c>
      <c r="AG176" s="1558">
        <v>0</v>
      </c>
      <c r="AH176" s="546">
        <v>0</v>
      </c>
      <c r="AI176" s="1558">
        <v>0</v>
      </c>
      <c r="AJ176" s="1594">
        <v>0</v>
      </c>
      <c r="AK176" s="1562">
        <v>0</v>
      </c>
      <c r="AL176" s="1562">
        <v>0</v>
      </c>
      <c r="AM176" s="1562">
        <v>0</v>
      </c>
      <c r="AN176" s="1062">
        <v>0</v>
      </c>
      <c r="AO176" s="1601"/>
      <c r="AP176" s="1401"/>
      <c r="AQ176" s="1401"/>
      <c r="AR176" s="1401"/>
      <c r="AS176" s="1401"/>
      <c r="AT176" s="1401"/>
      <c r="AU176" s="1401"/>
      <c r="AV176" s="1401"/>
      <c r="AW176" s="1401"/>
      <c r="AX176" s="1401"/>
      <c r="AY176" s="753"/>
      <c r="AZ176" s="1602"/>
      <c r="BA176" s="1398"/>
      <c r="BB176" s="753"/>
      <c r="BC176" s="1610"/>
      <c r="BD176" s="1610"/>
    </row>
    <row r="177" spans="1:56" s="177" customFormat="1" ht="15" customHeight="1" x14ac:dyDescent="0.25">
      <c r="A177" s="175"/>
      <c r="B177" s="1413" t="s">
        <v>414</v>
      </c>
      <c r="C177" s="1563"/>
      <c r="D177" s="1564" t="s">
        <v>182</v>
      </c>
      <c r="E177" s="1564"/>
      <c r="F177" s="1564"/>
      <c r="G177" s="1555" t="s">
        <v>212</v>
      </c>
      <c r="H177" s="1556" t="s">
        <v>81</v>
      </c>
      <c r="I177" s="1151">
        <f>+I178</f>
        <v>0</v>
      </c>
      <c r="J177" s="97">
        <v>0</v>
      </c>
      <c r="K177" s="97">
        <f ca="1">SUMIF(T$3:$AN160,"ok",T177:AN177)</f>
        <v>0</v>
      </c>
      <c r="L177" s="694">
        <f ca="1">IFERROR(K177/J177,"0,00"%)</f>
        <v>0</v>
      </c>
      <c r="M177" s="97">
        <v>0</v>
      </c>
      <c r="N177" s="694">
        <v>0</v>
      </c>
      <c r="O177" s="97">
        <v>0</v>
      </c>
      <c r="P177" s="1557">
        <f>+IFERROR(#REF!/J184,0)</f>
        <v>0</v>
      </c>
      <c r="Q177" s="1151">
        <f>+Q178</f>
        <v>8982.35</v>
      </c>
      <c r="R177" s="1157">
        <f ca="1">SUMIF(T$3:$AN163,"SI",T177:AN177)</f>
        <v>8845.3781980000003</v>
      </c>
      <c r="S177" s="1291">
        <f ca="1">IFERROR(R177/Q177,"0,00%")</f>
        <v>0.98475100591715981</v>
      </c>
      <c r="T177" s="218">
        <v>0</v>
      </c>
      <c r="U177" s="1056">
        <v>0</v>
      </c>
      <c r="V177" s="1147">
        <v>0</v>
      </c>
      <c r="W177" s="1560">
        <v>0</v>
      </c>
      <c r="X177" s="1561">
        <v>0</v>
      </c>
      <c r="Y177" s="1560">
        <v>0</v>
      </c>
      <c r="Z177" s="1559">
        <v>0</v>
      </c>
      <c r="AA177" s="1560">
        <v>0</v>
      </c>
      <c r="AB177" s="1559">
        <f>+AB178</f>
        <v>0</v>
      </c>
      <c r="AC177" s="1560">
        <f>+AC178</f>
        <v>0</v>
      </c>
      <c r="AD177" s="1559">
        <v>0</v>
      </c>
      <c r="AE177" s="1560">
        <v>0</v>
      </c>
      <c r="AF177" s="1551">
        <v>0</v>
      </c>
      <c r="AG177" s="1077">
        <f>+AG178</f>
        <v>0</v>
      </c>
      <c r="AH177" s="546">
        <v>0</v>
      </c>
      <c r="AI177" s="1077">
        <f>+AI178</f>
        <v>8845.3781980000003</v>
      </c>
      <c r="AJ177" s="1595">
        <v>0</v>
      </c>
      <c r="AK177" s="1052">
        <v>0</v>
      </c>
      <c r="AL177" s="185">
        <v>0</v>
      </c>
      <c r="AM177" s="97">
        <f>+'P01 2022'!GA118</f>
        <v>104.18300000000001</v>
      </c>
      <c r="AN177" s="1056">
        <v>0</v>
      </c>
      <c r="AO177" s="1601"/>
      <c r="AP177" s="1401"/>
      <c r="AQ177" s="1401"/>
      <c r="AR177" s="1401"/>
      <c r="AS177" s="1401"/>
      <c r="AT177" s="1401"/>
      <c r="AU177" s="1401"/>
      <c r="AV177" s="1401"/>
      <c r="AW177" s="1401"/>
      <c r="AX177" s="1401"/>
      <c r="AY177" s="753"/>
      <c r="AZ177" s="1602"/>
      <c r="BA177" s="1398"/>
      <c r="BB177" s="753"/>
      <c r="BC177" s="1610"/>
      <c r="BD177" s="1610"/>
    </row>
    <row r="178" spans="1:56" s="177" customFormat="1" ht="15" hidden="1" customHeight="1" x14ac:dyDescent="0.25">
      <c r="A178" s="175"/>
      <c r="B178" s="1413" t="s">
        <v>619</v>
      </c>
      <c r="C178" s="124"/>
      <c r="D178" s="1038"/>
      <c r="E178" s="1045" t="s">
        <v>169</v>
      </c>
      <c r="F178" s="1045"/>
      <c r="G178" s="1555" t="s">
        <v>213</v>
      </c>
      <c r="H178" s="528" t="s">
        <v>214</v>
      </c>
      <c r="I178" s="1147">
        <v>0</v>
      </c>
      <c r="J178" s="97">
        <v>0</v>
      </c>
      <c r="K178" s="1030">
        <f ca="1">SUMIF(T$3:$AN161,"ok",T178:AN178)</f>
        <v>0</v>
      </c>
      <c r="L178" s="694">
        <f ca="1">IFERROR(K178/J178,"0,00"%)</f>
        <v>0</v>
      </c>
      <c r="M178" s="97">
        <v>0</v>
      </c>
      <c r="N178" s="694">
        <f>+IFERROR(M184/J184,0)</f>
        <v>1</v>
      </c>
      <c r="O178" s="97">
        <v>0</v>
      </c>
      <c r="P178" s="1156">
        <f>+IFERROR(#REF!/#REF!,0)</f>
        <v>0</v>
      </c>
      <c r="Q178" s="1162">
        <f>+'P01 2022'!ES135</f>
        <v>8982.35</v>
      </c>
      <c r="R178" s="997">
        <f ca="1">SUMIF(T$3:$AN164,"SI",T178:AN178)</f>
        <v>8845.3781980000003</v>
      </c>
      <c r="S178" s="1734">
        <f ca="1">IFERROR(R178/Q178,"0,00%")</f>
        <v>0.98475100591715981</v>
      </c>
      <c r="T178" s="218">
        <v>0</v>
      </c>
      <c r="U178" s="1056">
        <v>0</v>
      </c>
      <c r="V178" s="1147">
        <v>0</v>
      </c>
      <c r="W178" s="1176">
        <v>0</v>
      </c>
      <c r="X178" s="546">
        <v>0</v>
      </c>
      <c r="Y178" s="1176">
        <v>0</v>
      </c>
      <c r="Z178" s="1147">
        <v>0</v>
      </c>
      <c r="AA178" s="1345">
        <v>0</v>
      </c>
      <c r="AB178" s="1347">
        <v>0</v>
      </c>
      <c r="AC178" s="1259">
        <v>0</v>
      </c>
      <c r="AD178" s="1405">
        <v>0</v>
      </c>
      <c r="AE178" s="1259">
        <v>0</v>
      </c>
      <c r="AF178" s="1551">
        <v>0</v>
      </c>
      <c r="AG178" s="1255">
        <v>0</v>
      </c>
      <c r="AH178" s="546">
        <v>0</v>
      </c>
      <c r="AI178" s="1255">
        <f>+'P01 2022'!DR107</f>
        <v>8845.3781980000003</v>
      </c>
      <c r="AJ178" s="1466">
        <v>0</v>
      </c>
      <c r="AK178" s="18">
        <f>+'P01 2022'!EJ132</f>
        <v>0</v>
      </c>
      <c r="AL178" s="185">
        <v>0</v>
      </c>
      <c r="AM178" s="97">
        <f>+'P01 2022'!GA119</f>
        <v>104.18300000000001</v>
      </c>
      <c r="AN178" s="1056">
        <v>0</v>
      </c>
      <c r="AO178" s="1601"/>
      <c r="AP178" s="1401"/>
      <c r="AQ178" s="1401"/>
      <c r="AR178" s="1401"/>
      <c r="AS178" s="1401"/>
      <c r="AT178" s="1401"/>
      <c r="AU178" s="1401"/>
      <c r="AV178" s="1401"/>
      <c r="AW178" s="1401"/>
      <c r="AX178" s="1401"/>
      <c r="AY178" s="753"/>
      <c r="AZ178" s="1602"/>
      <c r="BA178" s="1398"/>
      <c r="BB178" s="753"/>
      <c r="BC178" s="1610"/>
      <c r="BD178" s="1610"/>
    </row>
    <row r="179" spans="1:56" s="177" customFormat="1" ht="15" customHeight="1" x14ac:dyDescent="0.25">
      <c r="A179" s="175"/>
      <c r="B179" s="1413" t="s">
        <v>415</v>
      </c>
      <c r="C179" s="1563" t="s">
        <v>2</v>
      </c>
      <c r="D179" s="1564" t="s">
        <v>183</v>
      </c>
      <c r="E179" s="1564"/>
      <c r="F179" s="1564"/>
      <c r="G179" s="1577" t="str">
        <f>+CONCATENATE($C$174,"",D179,"",E179)</f>
        <v>29.07</v>
      </c>
      <c r="H179" s="1556" t="s">
        <v>80</v>
      </c>
      <c r="I179" s="1151">
        <f>+I180</f>
        <v>232729</v>
      </c>
      <c r="J179" s="1550">
        <f>+J180+J181</f>
        <v>232729</v>
      </c>
      <c r="K179" s="1550">
        <f ca="1">SUMIF(T$3:$AN162,"ok",T179:AN179)</f>
        <v>89762.511999999988</v>
      </c>
      <c r="L179" s="1565">
        <f ca="1">IFERROR(K179/J179,"0,00"%)</f>
        <v>0.38569543116672178</v>
      </c>
      <c r="M179" s="1550">
        <f>+M180+M181</f>
        <v>94350.012000000002</v>
      </c>
      <c r="N179" s="1565">
        <f>+IFERROR(#REF!/#REF!,0)</f>
        <v>0</v>
      </c>
      <c r="O179" s="1550">
        <f>+O180+O181</f>
        <v>138378.98800000001</v>
      </c>
      <c r="P179" s="1557">
        <f>+IFERROR(#REF!/#REF!,0)</f>
        <v>0</v>
      </c>
      <c r="Q179" s="1151">
        <f>+Q180</f>
        <v>169112.66999999998</v>
      </c>
      <c r="R179" s="1157">
        <f ca="1">SUMIF(T$3:$AN165,"SI",T179:AN179)</f>
        <v>102585.21893999999</v>
      </c>
      <c r="S179" s="1291">
        <f ca="1">IFERROR(R179/Q179,"0%")</f>
        <v>0.60660871204978317</v>
      </c>
      <c r="T179" s="218">
        <v>0</v>
      </c>
      <c r="U179" s="1169">
        <v>0</v>
      </c>
      <c r="V179" s="1168">
        <v>0</v>
      </c>
      <c r="W179" s="1187">
        <v>0</v>
      </c>
      <c r="X179" s="1561">
        <v>0</v>
      </c>
      <c r="Y179" s="1560">
        <f>+Y180</f>
        <v>685.63499999999999</v>
      </c>
      <c r="Z179" s="1559">
        <f>+Z180+Z181</f>
        <v>4140</v>
      </c>
      <c r="AA179" s="1560">
        <f>+AA180+AA181</f>
        <v>0</v>
      </c>
      <c r="AB179" s="1559">
        <f>+AB180+AB181</f>
        <v>4412.5</v>
      </c>
      <c r="AC179" s="1560">
        <f>+AC180</f>
        <v>15976.401019999999</v>
      </c>
      <c r="AD179" s="1559">
        <f>+'P01 2023'!BZ115</f>
        <v>357</v>
      </c>
      <c r="AE179" s="1560">
        <f>+AE180</f>
        <v>9354.3989369999999</v>
      </c>
      <c r="AF179" s="1551">
        <f>+'P01 2023'!CP116</f>
        <v>12361.918</v>
      </c>
      <c r="AG179" s="1079">
        <f>+AG180</f>
        <v>15620.617045999999</v>
      </c>
      <c r="AH179" s="546">
        <v>0</v>
      </c>
      <c r="AI179" s="1079">
        <v>0</v>
      </c>
      <c r="AJ179" s="1592">
        <f>+'P01 2023'!DX120</f>
        <v>68491.093999999997</v>
      </c>
      <c r="AK179" s="1550">
        <f>+AK180</f>
        <v>60948.166937000002</v>
      </c>
      <c r="AL179" s="323">
        <f>+'P01 2022'!FC112</f>
        <v>4412.5</v>
      </c>
      <c r="AM179" s="1550">
        <v>0</v>
      </c>
      <c r="AN179" s="1056">
        <f>+'P01 2022'!GX126</f>
        <v>49314.837</v>
      </c>
      <c r="AO179" s="1601"/>
      <c r="AP179" s="1401"/>
      <c r="AQ179" s="1401"/>
      <c r="AR179" s="1401"/>
      <c r="AS179" s="1401"/>
      <c r="AT179" s="1401"/>
      <c r="AU179" s="1401"/>
      <c r="AV179" s="1401"/>
      <c r="AW179" s="1401"/>
      <c r="AX179" s="1401"/>
      <c r="AY179" s="753"/>
      <c r="AZ179" s="1602"/>
      <c r="BA179" s="1398"/>
      <c r="BB179" s="753"/>
      <c r="BC179" s="1610"/>
      <c r="BD179" s="1610"/>
    </row>
    <row r="180" spans="1:56" s="177" customFormat="1" ht="15" hidden="1" customHeight="1" x14ac:dyDescent="0.25">
      <c r="A180" s="175"/>
      <c r="B180" s="1413" t="s">
        <v>620</v>
      </c>
      <c r="C180" s="124"/>
      <c r="D180" s="1038"/>
      <c r="E180" s="1045" t="s">
        <v>169</v>
      </c>
      <c r="F180" s="1045"/>
      <c r="G180" s="17" t="str">
        <f>+CONCATENATE($C$174,"",$D$179,"",E180)</f>
        <v>29.07.001</v>
      </c>
      <c r="H180" s="1294" t="s">
        <v>216</v>
      </c>
      <c r="I180" s="1147">
        <f>+'P01 2023'!F138</f>
        <v>232729</v>
      </c>
      <c r="J180" s="97">
        <f>+'P01 2023'!EF154</f>
        <v>228589</v>
      </c>
      <c r="K180" s="1030">
        <f ca="1">SUMIF(T$3:$AN163,"ok",T180:AN180)</f>
        <v>85622.511999999988</v>
      </c>
      <c r="L180" s="694">
        <f ca="1">IFERROR(K180/J180,"0,00"%)</f>
        <v>0.37456969495470033</v>
      </c>
      <c r="M180" s="97">
        <f>+'P01 2023'!EH154</f>
        <v>90210.012000000002</v>
      </c>
      <c r="N180" s="694">
        <f>+N181+N182</f>
        <v>0.99999798534238249</v>
      </c>
      <c r="O180" s="97">
        <f>+'P01 2023'!EI154</f>
        <v>138378.98800000001</v>
      </c>
      <c r="P180" s="1156">
        <f>+IFERROR(O185/J185,0)</f>
        <v>0</v>
      </c>
      <c r="Q180" s="1162">
        <f>+'P01 2022'!ES137</f>
        <v>169112.66999999998</v>
      </c>
      <c r="R180" s="997">
        <f ca="1">SUMIF(T$3:$AN166,"SI",T180:AN180)</f>
        <v>102585.21893999999</v>
      </c>
      <c r="S180" s="1734">
        <f ca="1">IFERROR(R180/Q180,"0%")</f>
        <v>0.60660871204978317</v>
      </c>
      <c r="T180" s="218">
        <v>0</v>
      </c>
      <c r="U180" s="1056">
        <v>0</v>
      </c>
      <c r="V180" s="1147">
        <v>0</v>
      </c>
      <c r="W180" s="1176">
        <v>0</v>
      </c>
      <c r="X180" s="546">
        <v>0</v>
      </c>
      <c r="Y180" s="1176">
        <f>+'P01 2022'!AB111</f>
        <v>685.63499999999999</v>
      </c>
      <c r="Z180" s="1147">
        <f>+'P01 2023'!AT114</f>
        <v>0</v>
      </c>
      <c r="AA180" s="1176">
        <f>+'P01 2022'!AQ116</f>
        <v>0</v>
      </c>
      <c r="AB180" s="1147">
        <f>+'P01 2023'!BJ105</f>
        <v>4412.5</v>
      </c>
      <c r="AC180" s="1176">
        <f>+'P01 2022'!BI102</f>
        <v>15976.401019999999</v>
      </c>
      <c r="AD180" s="1168">
        <f>+'P01 2023'!BZ116</f>
        <v>357</v>
      </c>
      <c r="AE180" s="1176">
        <f>+'P01 2022'!CC114</f>
        <v>9354.3989369999999</v>
      </c>
      <c r="AF180" s="1551">
        <f>+'P01 2023'!CP117</f>
        <v>12361.918</v>
      </c>
      <c r="AG180" s="1056">
        <f>+'P01 2022'!CY113</f>
        <v>15620.617045999999</v>
      </c>
      <c r="AH180" s="546">
        <v>0</v>
      </c>
      <c r="AI180" s="1056">
        <v>0</v>
      </c>
      <c r="AJ180" s="1592">
        <f>+'P01 2023'!DX121</f>
        <v>68491.093999999997</v>
      </c>
      <c r="AK180" s="18">
        <f>+'P01 2022'!EJ117</f>
        <v>60948.166937000002</v>
      </c>
      <c r="AL180" s="323">
        <f>+'P01 2022'!FC113</f>
        <v>4412.5</v>
      </c>
      <c r="AM180" s="4">
        <v>0</v>
      </c>
      <c r="AN180" s="1056">
        <f>+'P01 2022'!GX127</f>
        <v>29366.056</v>
      </c>
      <c r="AO180" s="1601"/>
      <c r="AP180" s="1401"/>
      <c r="AQ180" s="1401"/>
      <c r="AR180" s="1401"/>
      <c r="AS180" s="1401"/>
      <c r="AT180" s="1401"/>
      <c r="AU180" s="1401"/>
      <c r="AV180" s="1401"/>
      <c r="AW180" s="1401"/>
      <c r="AX180" s="1401"/>
      <c r="AY180" s="753"/>
      <c r="AZ180" s="1602"/>
      <c r="BA180" s="1398"/>
      <c r="BB180" s="753"/>
      <c r="BC180" s="1610"/>
      <c r="BD180" s="1610"/>
    </row>
    <row r="181" spans="1:56" s="177" customFormat="1" ht="15" hidden="1" customHeight="1" x14ac:dyDescent="0.25">
      <c r="A181" s="175"/>
      <c r="B181" s="1413" t="s">
        <v>914</v>
      </c>
      <c r="C181" s="124"/>
      <c r="D181" s="1038"/>
      <c r="E181" s="1045"/>
      <c r="F181" s="1045"/>
      <c r="G181" s="17" t="s">
        <v>1016</v>
      </c>
      <c r="H181" s="1294" t="s">
        <v>1015</v>
      </c>
      <c r="I181" s="1147">
        <v>0</v>
      </c>
      <c r="J181" s="97">
        <f>+'P01 2023'!EF155</f>
        <v>4140</v>
      </c>
      <c r="K181" s="1030">
        <f ca="1">SUMIF(T$3:$AN164,"ok",T181:AN181)</f>
        <v>4140</v>
      </c>
      <c r="L181" s="694">
        <f ca="1">IFERROR(K181/J181,"0,00"%)</f>
        <v>1</v>
      </c>
      <c r="M181" s="97">
        <f>+'P01 2023'!EH155</f>
        <v>4140</v>
      </c>
      <c r="N181" s="694">
        <f>+IFERROR(M185/J185,0)</f>
        <v>0</v>
      </c>
      <c r="O181" s="97">
        <f>+'P01 2023'!EI155</f>
        <v>0</v>
      </c>
      <c r="P181" s="1156">
        <f>+IFERROR(#REF!/#REF!,0)</f>
        <v>0</v>
      </c>
      <c r="Q181" s="1162">
        <v>0</v>
      </c>
      <c r="R181" s="997">
        <f ca="1">SUMIF(T$3:$AN167,"SI",T181:AN181)</f>
        <v>0</v>
      </c>
      <c r="S181" s="1734" t="str">
        <f ca="1">IFERROR(R181/Q181,"0,00%")</f>
        <v>0,00%</v>
      </c>
      <c r="T181" s="1287">
        <v>0</v>
      </c>
      <c r="U181" s="1056">
        <v>0</v>
      </c>
      <c r="V181" s="1147">
        <v>0</v>
      </c>
      <c r="W181" s="1176">
        <v>0</v>
      </c>
      <c r="X181" s="546">
        <v>0</v>
      </c>
      <c r="Y181" s="1176">
        <v>0</v>
      </c>
      <c r="Z181" s="1147">
        <f>+'P01 2023'!AT115</f>
        <v>4140</v>
      </c>
      <c r="AA181" s="1176">
        <v>0</v>
      </c>
      <c r="AB181" s="1147">
        <v>0</v>
      </c>
      <c r="AC181" s="1176">
        <v>0</v>
      </c>
      <c r="AD181" s="1168">
        <v>0</v>
      </c>
      <c r="AE181" s="1176">
        <v>0</v>
      </c>
      <c r="AF181" s="1551">
        <v>0</v>
      </c>
      <c r="AG181" s="1056">
        <v>0</v>
      </c>
      <c r="AH181" s="546">
        <v>0</v>
      </c>
      <c r="AI181" s="1056">
        <v>0</v>
      </c>
      <c r="AJ181" s="1584">
        <v>0</v>
      </c>
      <c r="AK181" s="18">
        <v>0</v>
      </c>
      <c r="AL181" s="323"/>
      <c r="AM181" s="4">
        <v>0</v>
      </c>
      <c r="AN181" s="1056">
        <f>+'P01 2022'!GX128</f>
        <v>19948.780999999999</v>
      </c>
      <c r="AO181" s="1601"/>
      <c r="AP181" s="1401"/>
      <c r="AQ181" s="1401"/>
      <c r="AR181" s="1401"/>
      <c r="AS181" s="1401"/>
      <c r="AT181" s="1401"/>
      <c r="AU181" s="1401"/>
      <c r="AV181" s="1401"/>
      <c r="AW181" s="1401"/>
      <c r="AX181" s="1401"/>
      <c r="AY181" s="753"/>
      <c r="AZ181" s="1602"/>
      <c r="BA181" s="1398"/>
      <c r="BB181" s="753"/>
      <c r="BC181" s="1610"/>
      <c r="BD181" s="1610"/>
    </row>
    <row r="182" spans="1:56" s="177" customFormat="1" ht="15" customHeight="1" x14ac:dyDescent="0.25">
      <c r="A182" s="175"/>
      <c r="B182" s="1413" t="s">
        <v>416</v>
      </c>
      <c r="C182" s="20">
        <v>34</v>
      </c>
      <c r="D182" s="1041"/>
      <c r="E182" s="23"/>
      <c r="F182" s="23"/>
      <c r="G182" s="23"/>
      <c r="H182" s="527" t="s">
        <v>83</v>
      </c>
      <c r="I182" s="1148">
        <f>SUM(I183:I186)</f>
        <v>17962478</v>
      </c>
      <c r="J182" s="16">
        <f>SUM(J183:J186)</f>
        <v>18420114</v>
      </c>
      <c r="K182" s="127">
        <f ca="1">+K183+K184+K185+K186</f>
        <v>17122041.865000002</v>
      </c>
      <c r="L182" s="783">
        <f ca="1">IFERROR(K182/J182,"0.00"%)</f>
        <v>0.92952963619009099</v>
      </c>
      <c r="M182" s="127">
        <f>+M183+M184+M185+M186</f>
        <v>17122041.865000002</v>
      </c>
      <c r="N182" s="783">
        <f>+N183+N184+N185+N186</f>
        <v>0.99999798534238249</v>
      </c>
      <c r="O182" s="127">
        <f>SUM(O183:O186)</f>
        <v>1298072.135</v>
      </c>
      <c r="P182" s="1155">
        <f>+IFERROR(#REF!/#REF!,0)</f>
        <v>0</v>
      </c>
      <c r="Q182" s="1736">
        <f>+Q183+Q184+Q185+Q186</f>
        <v>17018060.231999997</v>
      </c>
      <c r="R182" s="1028">
        <f ca="1">SUM(R183:R186)</f>
        <v>10285318.936628999</v>
      </c>
      <c r="S182" s="1742">
        <f ca="1">IFERROR(R182/Q182,"0%")</f>
        <v>0.60437669137455197</v>
      </c>
      <c r="T182" s="1729">
        <f>SUM(T183:T186)</f>
        <v>1044492.824</v>
      </c>
      <c r="U182" s="1075">
        <f>SUM(U183:U186)</f>
        <v>319927.23961699998</v>
      </c>
      <c r="V182" s="1164">
        <f>+'P01 2023'!N95</f>
        <v>1149.0160000000001</v>
      </c>
      <c r="W182" s="1179">
        <f>+SUM(W183:W186)</f>
        <v>254638.957421</v>
      </c>
      <c r="X182" s="1217">
        <f>+'P01 2023'!AD118</f>
        <v>7043505.9409999996</v>
      </c>
      <c r="Y182" s="1179">
        <f>SUM(Y183:Y186)</f>
        <v>7881772.2622389998</v>
      </c>
      <c r="Z182" s="1281">
        <f>SUM(Z183:Z186)</f>
        <v>1331291.2879999999</v>
      </c>
      <c r="AA182" s="1179">
        <f>SUM(AA183:AA186)</f>
        <v>1406289.383771</v>
      </c>
      <c r="AB182" s="1281">
        <v>0</v>
      </c>
      <c r="AC182" s="1179">
        <v>0</v>
      </c>
      <c r="AD182" s="1281">
        <f>+'P01 2023'!BZ117</f>
        <v>126010.32799999999</v>
      </c>
      <c r="AE182" s="1179">
        <f>SUM(AE183:AE186)</f>
        <v>150674.07928499999</v>
      </c>
      <c r="AF182" s="1219">
        <f>+'P01 2023'!CP118</f>
        <v>799662.79599999997</v>
      </c>
      <c r="AG182" s="1073">
        <f>+AG183+AG184+AG185+AG186</f>
        <v>272017.01429600001</v>
      </c>
      <c r="AH182" s="1215">
        <v>0</v>
      </c>
      <c r="AI182" s="1073">
        <v>0</v>
      </c>
      <c r="AJ182" s="1587">
        <f>+'P01 2023'!DX122</f>
        <v>6775929.6720000003</v>
      </c>
      <c r="AK182" s="187">
        <f>+AK183+AK184+AK185+AK186</f>
        <v>0</v>
      </c>
      <c r="AL182" s="132">
        <f>+'P01 2022'!FC114</f>
        <v>1513006.736</v>
      </c>
      <c r="AM182" s="187">
        <v>0</v>
      </c>
      <c r="AN182" s="1055">
        <f>+'P01 2022'!GX129</f>
        <v>8417250.4969999995</v>
      </c>
      <c r="AO182" s="1601"/>
      <c r="AP182" s="1401"/>
      <c r="AQ182" s="1401"/>
      <c r="AR182" s="1401"/>
      <c r="AS182" s="1401"/>
      <c r="AT182" s="1401"/>
      <c r="AU182" s="1401"/>
      <c r="AV182" s="1401"/>
      <c r="AW182" s="1401"/>
      <c r="AX182" s="1401"/>
      <c r="AY182" s="753"/>
      <c r="AZ182" s="1602"/>
      <c r="BA182" s="1398"/>
      <c r="BB182" s="753"/>
      <c r="BC182" s="1610"/>
      <c r="BD182" s="1610"/>
    </row>
    <row r="183" spans="1:56" s="177" customFormat="1" ht="15" customHeight="1" x14ac:dyDescent="0.25">
      <c r="A183" s="175"/>
      <c r="B183" s="1413" t="s">
        <v>417</v>
      </c>
      <c r="C183" s="124"/>
      <c r="D183" s="1046">
        <v>2</v>
      </c>
      <c r="E183" s="1045"/>
      <c r="F183" s="1045"/>
      <c r="G183" s="1047" t="s">
        <v>203</v>
      </c>
      <c r="H183" s="1301" t="s">
        <v>872</v>
      </c>
      <c r="I183" s="1147">
        <f>+'P01 2023'!F141</f>
        <v>15463357</v>
      </c>
      <c r="J183" s="97">
        <f>+'P01 2023'!EF157</f>
        <v>15463357</v>
      </c>
      <c r="K183" s="1030">
        <f ca="1">SUMIF(T$3:$AN169,"ok",T183:AN183)</f>
        <v>14165285.787</v>
      </c>
      <c r="L183" s="694">
        <f ca="1">IFERROR(K183/J183,"0.00"%)</f>
        <v>0.9160550187776173</v>
      </c>
      <c r="M183" s="97">
        <f>+'P01 2023'!EH157</f>
        <v>14165285.787</v>
      </c>
      <c r="N183" s="694">
        <f>+IFERROR(M186/J186,0)</f>
        <v>0.99999798534238249</v>
      </c>
      <c r="O183" s="97">
        <f>+'P01 2023'!EI157</f>
        <v>1298071.213</v>
      </c>
      <c r="P183" s="1156">
        <f>+IFERROR(O188/J187,0)</f>
        <v>0</v>
      </c>
      <c r="Q183" s="1168">
        <f>+'P01 2022'!ES140</f>
        <v>14023529.704</v>
      </c>
      <c r="R183" s="97">
        <f ca="1">SUMIF(T$3:$AN174,"SI",T183:AN183)</f>
        <v>8016883.6622299999</v>
      </c>
      <c r="S183" s="596">
        <f ca="1">IFERROR(R183/Q183,"0%")</f>
        <v>0.5716737391687704</v>
      </c>
      <c r="T183" s="218">
        <v>0</v>
      </c>
      <c r="U183" s="1056">
        <f>+'P01 2022'!F124</f>
        <v>0</v>
      </c>
      <c r="V183" s="1147">
        <v>0</v>
      </c>
      <c r="W183" s="1176">
        <v>0</v>
      </c>
      <c r="X183" s="546">
        <f>+'P01 2023'!AD119</f>
        <v>6079119.4299999997</v>
      </c>
      <c r="Y183" s="1176">
        <f>+'P01 2022'!AB114</f>
        <v>6518590.8769180002</v>
      </c>
      <c r="Z183" s="1147">
        <f>+'P01 2023'!AT117</f>
        <v>1258472.1399999999</v>
      </c>
      <c r="AA183" s="1176">
        <f>+'P01 2022'!AQ118</f>
        <v>1371926.824511</v>
      </c>
      <c r="AB183" s="1147">
        <v>0</v>
      </c>
      <c r="AC183" s="1176">
        <v>0</v>
      </c>
      <c r="AD183" s="1168">
        <f>+'P01 2023'!BZ118</f>
        <v>106350.132</v>
      </c>
      <c r="AE183" s="1176">
        <f>+'P01 2022'!CC116</f>
        <v>126365.96080099999</v>
      </c>
      <c r="AF183" s="1468">
        <v>0</v>
      </c>
      <c r="AG183" s="1056">
        <v>0</v>
      </c>
      <c r="AH183" s="546">
        <v>0</v>
      </c>
      <c r="AI183" s="1056">
        <v>0</v>
      </c>
      <c r="AJ183" s="1592">
        <f>+'P01 2023'!DX123</f>
        <v>6721344.085</v>
      </c>
      <c r="AK183" s="18">
        <f>+'P01 2022'!EJ136</f>
        <v>0</v>
      </c>
      <c r="AL183" s="323">
        <f>+'P01 2022'!FC115</f>
        <v>1445419.0889999999</v>
      </c>
      <c r="AM183" s="185">
        <v>0</v>
      </c>
      <c r="AN183" s="1056">
        <f>+'P01 2022'!GX130</f>
        <v>7102184.4649999999</v>
      </c>
      <c r="AO183" s="1601"/>
      <c r="AP183" s="1401"/>
      <c r="AQ183" s="1401"/>
      <c r="AR183" s="1401"/>
      <c r="AS183" s="1401"/>
      <c r="AT183" s="1401"/>
      <c r="AU183" s="1401"/>
      <c r="AV183" s="1401"/>
      <c r="AW183" s="1401"/>
      <c r="AX183" s="1401"/>
      <c r="AY183" s="753"/>
      <c r="AZ183" s="1602"/>
      <c r="BA183" s="1398"/>
      <c r="BB183" s="753"/>
      <c r="BC183" s="1610"/>
      <c r="BD183" s="1610"/>
    </row>
    <row r="184" spans="1:56" s="177" customFormat="1" ht="15" customHeight="1" x14ac:dyDescent="0.25">
      <c r="A184" s="175"/>
      <c r="B184" s="1413" t="s">
        <v>419</v>
      </c>
      <c r="C184" s="124"/>
      <c r="D184" s="1046">
        <v>4</v>
      </c>
      <c r="E184" s="1045"/>
      <c r="F184" s="1045"/>
      <c r="G184" s="1047" t="s">
        <v>204</v>
      </c>
      <c r="H184" s="1301" t="s">
        <v>85</v>
      </c>
      <c r="I184" s="1147">
        <f>+'P01 2023'!F143</f>
        <v>2499111</v>
      </c>
      <c r="J184" s="97">
        <f>+'P01 2023'!EF159</f>
        <v>2499111</v>
      </c>
      <c r="K184" s="1030">
        <f ca="1">SUMIF(T$3:$AN174,"ok",T184:AN184)</f>
        <v>2499111</v>
      </c>
      <c r="L184" s="694">
        <f ca="1">IFERROR(K184/J184,"0,00"%)</f>
        <v>1</v>
      </c>
      <c r="M184" s="97">
        <f>+'P01 2023'!EH159</f>
        <v>2499111</v>
      </c>
      <c r="N184" s="694">
        <f>+IFERROR(#REF!/J187,0)</f>
        <v>0</v>
      </c>
      <c r="O184" s="97">
        <f>+'P01 2023'!EI159</f>
        <v>0</v>
      </c>
      <c r="P184" s="1156">
        <f>+IFERROR(O191/#REF!,0)</f>
        <v>0</v>
      </c>
      <c r="Q184" s="1168">
        <f>+'P01 2022'!ES142</f>
        <v>2406447.0379999997</v>
      </c>
      <c r="R184" s="97">
        <f ca="1">SUMIF(T$3:$AN175,"SI",T184:AN184)</f>
        <v>1805616.7865329995</v>
      </c>
      <c r="S184" s="596">
        <f ca="1">IFERROR(R184/Q184,"0%")</f>
        <v>0.75032475596622694</v>
      </c>
      <c r="T184" s="218">
        <f>+'P01 2023'!I143</f>
        <v>587996.76199999999</v>
      </c>
      <c r="U184" s="1056">
        <f>+'P01 2022'!F126</f>
        <v>139907.20527899999</v>
      </c>
      <c r="V184" s="1147">
        <v>0</v>
      </c>
      <c r="W184" s="1176">
        <v>0</v>
      </c>
      <c r="X184" s="546">
        <f>+'P01 2023'!AD121</f>
        <v>964386.51100000006</v>
      </c>
      <c r="Y184" s="1176">
        <f>+'P01 2022'!AB115</f>
        <v>1335348.5236019997</v>
      </c>
      <c r="Z184" s="1147">
        <f>+'P01 2023'!AT119</f>
        <v>72819.148000000001</v>
      </c>
      <c r="AA184" s="1176">
        <f>+'P01 2022'!AQ120</f>
        <v>34362.559260000002</v>
      </c>
      <c r="AB184" s="1147">
        <v>0</v>
      </c>
      <c r="AC184" s="1176">
        <v>0</v>
      </c>
      <c r="AD184" s="1168">
        <f>+'P01 2023'!BZ120</f>
        <v>19660.196</v>
      </c>
      <c r="AE184" s="1176">
        <f>+'P01 2022'!CC118</f>
        <v>24308.118483999999</v>
      </c>
      <c r="AF184" s="1468">
        <f>+'P01 2023'!CP121</f>
        <v>799662.79599999997</v>
      </c>
      <c r="AG184" s="1056">
        <f>+'P01 2022'!CY117</f>
        <v>271690.379908</v>
      </c>
      <c r="AH184" s="546">
        <v>0</v>
      </c>
      <c r="AI184" s="1056">
        <v>0</v>
      </c>
      <c r="AJ184" s="1592">
        <f>+'P01 2023'!DX125</f>
        <v>54585.587</v>
      </c>
      <c r="AK184" s="18">
        <f>+'P01 2022'!EJ137</f>
        <v>0</v>
      </c>
      <c r="AL184" s="323">
        <f>+'P01 2022'!FC117</f>
        <v>67587.646999999997</v>
      </c>
      <c r="AM184" s="185">
        <v>0</v>
      </c>
      <c r="AN184" s="1056">
        <f>+'P01 2022'!GX132</f>
        <v>1315066.0319999999</v>
      </c>
      <c r="AO184" s="1601"/>
      <c r="AP184" s="1401"/>
      <c r="AQ184" s="1401"/>
      <c r="AR184" s="1401"/>
      <c r="AS184" s="1401"/>
      <c r="AT184" s="1401"/>
      <c r="AU184" s="1401"/>
      <c r="AV184" s="1401"/>
      <c r="AW184" s="1401"/>
      <c r="AX184" s="1401"/>
      <c r="AY184" s="753"/>
      <c r="AZ184" s="1602"/>
      <c r="BA184" s="1398"/>
      <c r="BB184" s="753"/>
      <c r="BC184" s="1610"/>
      <c r="BD184" s="1610"/>
    </row>
    <row r="185" spans="1:56" s="177" customFormat="1" ht="15" hidden="1" customHeight="1" x14ac:dyDescent="0.25">
      <c r="A185" s="175"/>
      <c r="B185" s="1413" t="s">
        <v>622</v>
      </c>
      <c r="C185" s="124"/>
      <c r="D185" s="1046">
        <v>6</v>
      </c>
      <c r="E185" s="1045"/>
      <c r="F185" s="1045"/>
      <c r="G185" s="1047" t="s">
        <v>296</v>
      </c>
      <c r="H185" s="1301" t="s">
        <v>295</v>
      </c>
      <c r="I185" s="1147">
        <v>0</v>
      </c>
      <c r="J185" s="97">
        <v>0</v>
      </c>
      <c r="K185" s="1030">
        <f ca="1">SUMIF(T$3:$AN177,"ok",T185:AN185)</f>
        <v>0</v>
      </c>
      <c r="L185" s="694">
        <f ca="1">IFERROR(K185/J185,"0,00"%)</f>
        <v>0</v>
      </c>
      <c r="M185" s="97">
        <v>0</v>
      </c>
      <c r="N185" s="694">
        <f>+IFERROR(#REF!/#REF!,0)</f>
        <v>0</v>
      </c>
      <c r="O185" s="97">
        <v>0</v>
      </c>
      <c r="P185" s="1156">
        <f>+IFERROR(O192/#REF!,0)</f>
        <v>0</v>
      </c>
      <c r="Q185" s="1168">
        <f>+'P01 2022'!ES146</f>
        <v>231102.57799999998</v>
      </c>
      <c r="R185" s="97">
        <f ca="1">SUMIF(T$3:$AN177,"SI",T185:AN185)</f>
        <v>101467.177863</v>
      </c>
      <c r="S185" s="596">
        <f ca="1">IFERROR(R185/Q185,"0%")</f>
        <v>0.4390568843546177</v>
      </c>
      <c r="T185" s="218">
        <v>0</v>
      </c>
      <c r="U185" s="1056">
        <f>+'P01 2022'!F129</f>
        <v>101140.543475</v>
      </c>
      <c r="V185" s="1147">
        <v>0</v>
      </c>
      <c r="W185" s="1176">
        <v>0</v>
      </c>
      <c r="X185" s="546">
        <v>0</v>
      </c>
      <c r="Y185" s="1176">
        <v>0</v>
      </c>
      <c r="Z185" s="1147">
        <v>0</v>
      </c>
      <c r="AA185" s="1345">
        <v>0</v>
      </c>
      <c r="AB185" s="1347">
        <v>0</v>
      </c>
      <c r="AC185" s="1176">
        <v>0</v>
      </c>
      <c r="AD185" s="1147">
        <v>0</v>
      </c>
      <c r="AE185" s="1176">
        <v>0</v>
      </c>
      <c r="AF185" s="1468">
        <v>0</v>
      </c>
      <c r="AG185" s="1056">
        <f>+'P01 2022'!CY120</f>
        <v>326.634388</v>
      </c>
      <c r="AH185" s="546">
        <v>0</v>
      </c>
      <c r="AI185" s="1056">
        <v>0</v>
      </c>
      <c r="AJ185" s="1584">
        <v>0</v>
      </c>
      <c r="AK185" s="18">
        <f>+'P01 2022'!EJ138</f>
        <v>0</v>
      </c>
      <c r="AL185" s="1190">
        <v>0</v>
      </c>
      <c r="AM185" s="18">
        <v>0</v>
      </c>
      <c r="AN185" s="1061">
        <v>0</v>
      </c>
      <c r="AO185" s="1601"/>
      <c r="AP185" s="1401"/>
      <c r="AQ185" s="1401"/>
      <c r="AR185" s="1401"/>
      <c r="AS185" s="1401"/>
      <c r="AT185" s="1401"/>
      <c r="AU185" s="1401"/>
      <c r="AV185" s="1401"/>
      <c r="AW185" s="1401"/>
      <c r="AX185" s="1401"/>
      <c r="AY185" s="753"/>
      <c r="AZ185" s="1602"/>
      <c r="BA185" s="1398"/>
      <c r="BB185" s="753"/>
      <c r="BC185" s="1610"/>
      <c r="BD185" s="1610"/>
    </row>
    <row r="186" spans="1:56" s="177" customFormat="1" ht="15" customHeight="1" x14ac:dyDescent="0.25">
      <c r="A186" s="175"/>
      <c r="B186" s="1413" t="s">
        <v>422</v>
      </c>
      <c r="C186" s="124"/>
      <c r="D186" s="1046">
        <v>7</v>
      </c>
      <c r="E186" s="1045"/>
      <c r="F186" s="1045"/>
      <c r="G186" s="1047" t="s">
        <v>205</v>
      </c>
      <c r="H186" s="1301" t="s">
        <v>128</v>
      </c>
      <c r="I186" s="1147">
        <f>+'P01 2023'!F146</f>
        <v>10</v>
      </c>
      <c r="J186" s="97">
        <f>+'P01 2023'!EF162</f>
        <v>457646</v>
      </c>
      <c r="K186" s="1030">
        <f ca="1">SUMIF(T$3:$AN178,"ok",T186:AN186)</f>
        <v>457645.07799999998</v>
      </c>
      <c r="L186" s="694">
        <f ca="1">IFERROR(K186/J186,"0,00"%)</f>
        <v>0.99999798534238249</v>
      </c>
      <c r="M186" s="97">
        <f>+'P01 2023'!EH162</f>
        <v>457645.07799999998</v>
      </c>
      <c r="N186" s="694">
        <f>+IFERROR(M190/#REF!,0)</f>
        <v>0</v>
      </c>
      <c r="O186" s="1094">
        <f>+'P01 2023'!EI162</f>
        <v>0.92200000000000004</v>
      </c>
      <c r="P186" s="1156">
        <f>+IFERROR(#REF!/#REF!,0)</f>
        <v>0</v>
      </c>
      <c r="Q186" s="1743">
        <f>+'P01 2022'!ES147</f>
        <v>356980.91199999995</v>
      </c>
      <c r="R186" s="1140">
        <f ca="1">SUMIF(T$3:$AN178,"SI",T186:AN186)</f>
        <v>361351.31000299996</v>
      </c>
      <c r="S186" s="596">
        <f ca="1">IFERROR(R186/Q186,"0%")</f>
        <v>1.0122426658011339</v>
      </c>
      <c r="T186" s="218">
        <f>+'P01 2023'!I146</f>
        <v>456496.06199999998</v>
      </c>
      <c r="U186" s="1056">
        <f>+'P01 2022'!F131</f>
        <v>78879.490862999985</v>
      </c>
      <c r="V186" s="1147">
        <f>+'P01 2023'!N96</f>
        <v>1149.0160000000001</v>
      </c>
      <c r="W186" s="1176">
        <f>+'P01 2022'!M99</f>
        <v>254638.957421</v>
      </c>
      <c r="X186" s="546">
        <v>0</v>
      </c>
      <c r="Y186" s="1176">
        <f>+'P01 2022'!AB118</f>
        <v>27832.861718999997</v>
      </c>
      <c r="Z186" s="1147">
        <v>0</v>
      </c>
      <c r="AA186" s="1176">
        <v>0</v>
      </c>
      <c r="AB186" s="1147">
        <v>0</v>
      </c>
      <c r="AC186" s="1176">
        <v>0</v>
      </c>
      <c r="AD186" s="1147">
        <v>0</v>
      </c>
      <c r="AE186" s="1176">
        <v>0</v>
      </c>
      <c r="AF186" s="1468">
        <v>0</v>
      </c>
      <c r="AG186" s="1056">
        <v>0</v>
      </c>
      <c r="AH186" s="546">
        <v>0</v>
      </c>
      <c r="AI186" s="1056">
        <v>0</v>
      </c>
      <c r="AJ186" s="1584">
        <v>0</v>
      </c>
      <c r="AK186" s="18">
        <f>+'P01 2022'!EJ139</f>
        <v>0</v>
      </c>
      <c r="AL186" s="1189">
        <v>0</v>
      </c>
      <c r="AM186" s="18">
        <v>0</v>
      </c>
      <c r="AN186" s="1056">
        <v>0</v>
      </c>
      <c r="AO186" s="1601"/>
      <c r="AP186" s="1401"/>
      <c r="AQ186" s="1401"/>
      <c r="AR186" s="1401"/>
      <c r="AS186" s="1401"/>
      <c r="AT186" s="1401"/>
      <c r="AU186" s="1401"/>
      <c r="AV186" s="1401"/>
      <c r="AW186" s="1401"/>
      <c r="AX186" s="1401"/>
      <c r="AY186" s="753"/>
      <c r="AZ186" s="1602"/>
      <c r="BA186" s="1398"/>
      <c r="BB186" s="753"/>
      <c r="BC186" s="1610"/>
      <c r="BD186" s="1610"/>
    </row>
    <row r="187" spans="1:56" s="177" customFormat="1" ht="15" customHeight="1" thickBot="1" x14ac:dyDescent="0.3">
      <c r="A187" s="175"/>
      <c r="B187" s="1413"/>
      <c r="C187" s="30">
        <v>35</v>
      </c>
      <c r="D187" s="1064"/>
      <c r="E187" s="33"/>
      <c r="F187" s="33"/>
      <c r="G187" s="33"/>
      <c r="H187" s="530" t="s">
        <v>125</v>
      </c>
      <c r="I187" s="1152">
        <v>0</v>
      </c>
      <c r="J187" s="1065">
        <f>+'P01 2023'!EF165</f>
        <v>0</v>
      </c>
      <c r="K187" s="1065">
        <f ca="1">SUMIF(T$3:$AN180,"ok",T187:AN187)</f>
        <v>0</v>
      </c>
      <c r="L187" s="1066">
        <f ca="1">IFERROR(K187/J187,"0,00"%)</f>
        <v>0</v>
      </c>
      <c r="M187" s="1065">
        <v>0</v>
      </c>
      <c r="N187" s="1067">
        <f>+IFERROR(M191/#REF!,0)</f>
        <v>0</v>
      </c>
      <c r="O187" s="1065">
        <f>+'P01 2023'!EI165</f>
        <v>0</v>
      </c>
      <c r="P187" s="1713">
        <f>+IFERROR(#REF!/#REF!,0)</f>
        <v>0</v>
      </c>
      <c r="Q187" s="1152">
        <v>0</v>
      </c>
      <c r="R187" s="1065">
        <f ca="1">SUMIF(T$3:$AN180,"SI",T187:AN187)</f>
        <v>0</v>
      </c>
      <c r="S187" s="1744" t="str">
        <f ca="1">IFERROR(R187/Q187,"0,00%")</f>
        <v>0,00%</v>
      </c>
      <c r="T187" s="1730">
        <v>0</v>
      </c>
      <c r="U187" s="1171">
        <v>0</v>
      </c>
      <c r="V187" s="1152">
        <v>0</v>
      </c>
      <c r="W187" s="1188">
        <v>0</v>
      </c>
      <c r="X187" s="1218">
        <v>0</v>
      </c>
      <c r="Y187" s="1188">
        <v>0</v>
      </c>
      <c r="Z187" s="1283">
        <v>0</v>
      </c>
      <c r="AA187" s="1188">
        <v>0</v>
      </c>
      <c r="AB187" s="1283">
        <v>0</v>
      </c>
      <c r="AC187" s="1188">
        <v>0</v>
      </c>
      <c r="AD187" s="1283">
        <v>0</v>
      </c>
      <c r="AE187" s="1188">
        <v>0</v>
      </c>
      <c r="AF187" s="1469">
        <v>0</v>
      </c>
      <c r="AG187" s="1069">
        <v>0</v>
      </c>
      <c r="AH187" s="1608">
        <v>0</v>
      </c>
      <c r="AI187" s="1069">
        <v>0</v>
      </c>
      <c r="AJ187" s="1596">
        <v>0</v>
      </c>
      <c r="AK187" s="1068">
        <v>0</v>
      </c>
      <c r="AL187" s="1068">
        <v>0</v>
      </c>
      <c r="AM187" s="1068">
        <v>0</v>
      </c>
      <c r="AN187" s="1069">
        <v>0</v>
      </c>
      <c r="AO187" s="1601"/>
      <c r="AP187" s="1401"/>
      <c r="AQ187" s="1401"/>
      <c r="AR187" s="1401"/>
      <c r="AS187" s="1401"/>
      <c r="AT187" s="1401"/>
      <c r="AU187" s="1401"/>
      <c r="AV187" s="1401"/>
      <c r="AW187" s="1401"/>
      <c r="AX187" s="1401"/>
      <c r="AY187" s="753"/>
      <c r="AZ187" s="1602"/>
      <c r="BA187" s="1398"/>
      <c r="BB187" s="753"/>
      <c r="BC187" s="1610"/>
      <c r="BD187" s="1610"/>
    </row>
    <row r="188" spans="1:56" s="177" customFormat="1" x14ac:dyDescent="0.25">
      <c r="B188" s="1413"/>
      <c r="C188" s="191"/>
      <c r="D188" s="192"/>
      <c r="E188" s="193"/>
      <c r="F188" s="193"/>
      <c r="G188" s="193"/>
      <c r="H188" s="194"/>
      <c r="I188" s="196"/>
      <c r="J188" s="196"/>
      <c r="K188" s="196"/>
      <c r="L188" s="196"/>
      <c r="M188" s="196"/>
      <c r="N188" s="196"/>
      <c r="O188" s="196"/>
      <c r="P188" s="787"/>
      <c r="Q188" s="196"/>
      <c r="R188" s="196"/>
      <c r="S188" s="787"/>
      <c r="T188" s="999"/>
      <c r="U188" s="196"/>
      <c r="V188" s="196"/>
      <c r="W188" s="195"/>
      <c r="X188" s="195"/>
      <c r="Y188" s="195"/>
      <c r="Z188" s="195"/>
      <c r="AA188" s="195"/>
      <c r="AB188" s="195"/>
      <c r="AC188" s="195"/>
      <c r="AD188" s="195"/>
      <c r="AE188" s="195"/>
      <c r="AF188" s="195"/>
      <c r="AG188" s="195"/>
      <c r="AH188" s="172"/>
      <c r="AI188" s="195"/>
      <c r="AJ188" s="195"/>
      <c r="AK188" s="195"/>
      <c r="AL188" s="195"/>
      <c r="AM188" s="195"/>
      <c r="AN188" s="195"/>
      <c r="AO188" s="1601"/>
      <c r="AP188" s="1401"/>
      <c r="AQ188" s="1401"/>
      <c r="AR188" s="1401"/>
      <c r="AS188" s="1401"/>
      <c r="AT188" s="1401"/>
      <c r="AU188" s="1401"/>
      <c r="AV188" s="1401"/>
      <c r="AW188" s="1401"/>
      <c r="AX188" s="1401"/>
      <c r="AY188" s="753"/>
      <c r="AZ188" s="1602"/>
      <c r="BA188" s="1398"/>
      <c r="BB188" s="753"/>
      <c r="BC188" s="1610"/>
      <c r="BD188" s="1610"/>
    </row>
    <row r="189" spans="1:56" x14ac:dyDescent="0.25">
      <c r="C189" s="191"/>
      <c r="D189" s="192"/>
      <c r="E189" s="193"/>
      <c r="F189" s="193"/>
      <c r="G189" s="193"/>
      <c r="H189" s="194"/>
      <c r="I189" s="196"/>
      <c r="Q189" s="173"/>
      <c r="W189" s="172"/>
      <c r="X189" s="172"/>
      <c r="AA189" s="172"/>
      <c r="AB189" s="172"/>
      <c r="AZ189" s="1602"/>
      <c r="BA189" s="1398"/>
      <c r="BB189" s="753"/>
      <c r="BC189" s="1610"/>
      <c r="BD189" s="1610"/>
    </row>
    <row r="190" spans="1:56" x14ac:dyDescent="0.25">
      <c r="C190" s="191"/>
      <c r="D190" s="192"/>
      <c r="E190" s="193"/>
      <c r="F190" s="193"/>
      <c r="G190" s="193"/>
      <c r="H190" s="194"/>
      <c r="I190" s="196"/>
      <c r="Q190" s="173"/>
      <c r="W190" s="172"/>
      <c r="X190" s="172"/>
      <c r="AA190" s="172"/>
      <c r="AB190" s="172"/>
      <c r="AZ190" s="1602"/>
      <c r="BA190" s="1398"/>
      <c r="BB190" s="753"/>
      <c r="BC190" s="1610"/>
      <c r="BD190" s="1610"/>
    </row>
    <row r="191" spans="1:56" x14ac:dyDescent="0.25">
      <c r="C191" s="191"/>
      <c r="D191" s="192"/>
      <c r="E191" s="193"/>
      <c r="F191" s="193"/>
      <c r="G191" s="193"/>
      <c r="H191" s="197"/>
      <c r="I191" s="994"/>
      <c r="Q191" s="173"/>
      <c r="W191" s="172"/>
      <c r="X191" s="172"/>
      <c r="AA191" s="172"/>
      <c r="AB191" s="172"/>
      <c r="AZ191" s="1602"/>
      <c r="BA191" s="1398"/>
      <c r="BB191" s="753"/>
      <c r="BC191" s="1610"/>
      <c r="BD191" s="1610"/>
    </row>
    <row r="192" spans="1:56" x14ac:dyDescent="0.25">
      <c r="C192" s="191"/>
      <c r="D192" s="192"/>
      <c r="E192" s="193"/>
      <c r="F192" s="193"/>
      <c r="G192" s="193"/>
      <c r="H192" s="195"/>
      <c r="I192" s="196"/>
      <c r="J192" s="196"/>
      <c r="Q192" s="173"/>
      <c r="W192" s="172"/>
      <c r="X192" s="172"/>
      <c r="AA192" s="172"/>
      <c r="AB192" s="172"/>
      <c r="AZ192" s="1602"/>
      <c r="BA192" s="1398"/>
      <c r="BB192" s="753"/>
      <c r="BC192" s="1610"/>
      <c r="BD192" s="1610"/>
    </row>
    <row r="193" spans="3:56" x14ac:dyDescent="0.25">
      <c r="C193" s="191"/>
      <c r="D193" s="192"/>
      <c r="E193" s="193"/>
      <c r="F193" s="193"/>
      <c r="G193" s="193"/>
      <c r="H193" s="195"/>
      <c r="I193" s="196"/>
      <c r="J193" s="196"/>
      <c r="Q193" s="787"/>
      <c r="W193" s="172"/>
      <c r="X193" s="172"/>
      <c r="AA193" s="172"/>
      <c r="AB193" s="172"/>
      <c r="AZ193" s="1602"/>
      <c r="BA193" s="1398"/>
      <c r="BB193" s="753"/>
      <c r="BC193" s="1610"/>
      <c r="BD193" s="1610"/>
    </row>
    <row r="194" spans="3:56" x14ac:dyDescent="0.25">
      <c r="C194" s="191"/>
      <c r="D194" s="192"/>
      <c r="E194" s="193"/>
      <c r="F194" s="193"/>
      <c r="G194" s="193"/>
      <c r="H194" s="195"/>
      <c r="I194" s="196"/>
      <c r="J194" s="196"/>
      <c r="Q194" s="787"/>
      <c r="W194" s="172"/>
      <c r="X194" s="172"/>
      <c r="AA194" s="172"/>
      <c r="AB194" s="172"/>
      <c r="AZ194" s="1602"/>
      <c r="BA194" s="1398"/>
      <c r="BB194" s="753"/>
      <c r="BC194" s="1610"/>
      <c r="BD194" s="1610"/>
    </row>
    <row r="195" spans="3:56" x14ac:dyDescent="0.25">
      <c r="C195" s="191"/>
      <c r="D195" s="192"/>
      <c r="E195" s="193"/>
      <c r="F195" s="193"/>
      <c r="G195" s="193"/>
      <c r="H195" s="195"/>
      <c r="I195" s="196"/>
      <c r="J195" s="196"/>
      <c r="K195" s="196"/>
      <c r="L195" s="787"/>
      <c r="M195" s="196"/>
      <c r="N195" s="787"/>
      <c r="O195" s="196"/>
      <c r="P195" s="787"/>
      <c r="Q195" s="787"/>
      <c r="R195" s="196"/>
      <c r="S195" s="787"/>
      <c r="T195" s="999"/>
      <c r="U195" s="196"/>
      <c r="V195" s="196"/>
      <c r="W195" s="196"/>
      <c r="X195" s="196"/>
      <c r="Y195" s="195"/>
      <c r="Z195" s="195"/>
      <c r="AN195" s="175"/>
      <c r="AZ195" s="1602"/>
      <c r="BA195" s="1398"/>
      <c r="BB195" s="753"/>
      <c r="BC195" s="1610"/>
      <c r="BD195" s="1610"/>
    </row>
    <row r="196" spans="3:56" x14ac:dyDescent="0.25">
      <c r="C196" s="191"/>
      <c r="D196" s="192"/>
      <c r="E196" s="193"/>
      <c r="F196" s="193"/>
      <c r="G196" s="193"/>
      <c r="H196" s="195"/>
      <c r="I196" s="196"/>
      <c r="J196" s="196"/>
      <c r="K196" s="196"/>
      <c r="L196" s="787"/>
      <c r="M196" s="196"/>
      <c r="N196" s="787"/>
      <c r="O196" s="196"/>
      <c r="P196" s="787"/>
      <c r="Q196" s="787"/>
      <c r="R196" s="196"/>
      <c r="S196" s="787"/>
      <c r="T196" s="999"/>
      <c r="U196" s="196"/>
      <c r="V196" s="196"/>
      <c r="W196" s="196"/>
      <c r="X196" s="196"/>
      <c r="Y196" s="195"/>
      <c r="Z196" s="195"/>
      <c r="AN196" s="175"/>
      <c r="AZ196" s="1602"/>
      <c r="BA196" s="1398"/>
      <c r="BB196" s="753"/>
      <c r="BC196" s="1610"/>
      <c r="BD196" s="1610"/>
    </row>
    <row r="197" spans="3:56" x14ac:dyDescent="0.25">
      <c r="C197" s="191"/>
      <c r="D197" s="192"/>
      <c r="E197" s="193"/>
      <c r="F197" s="193"/>
      <c r="G197" s="193"/>
      <c r="H197" s="195"/>
      <c r="I197" s="196"/>
      <c r="J197" s="196"/>
      <c r="K197" s="196"/>
      <c r="L197" s="787"/>
      <c r="M197" s="196"/>
      <c r="N197" s="787"/>
      <c r="O197" s="196"/>
      <c r="P197" s="787"/>
      <c r="Q197" s="999"/>
      <c r="R197" s="196"/>
      <c r="S197" s="787"/>
      <c r="T197" s="999"/>
      <c r="U197" s="196"/>
      <c r="V197" s="196"/>
      <c r="W197" s="196"/>
      <c r="X197" s="196"/>
      <c r="Y197" s="195"/>
      <c r="Z197" s="195"/>
      <c r="AN197" s="175"/>
      <c r="AZ197" s="1602"/>
      <c r="BA197" s="1398"/>
      <c r="BB197" s="753"/>
      <c r="BC197" s="1610"/>
      <c r="BD197" s="1610"/>
    </row>
    <row r="198" spans="3:56" x14ac:dyDescent="0.25">
      <c r="C198" s="191"/>
      <c r="D198" s="192"/>
      <c r="E198" s="193"/>
      <c r="F198" s="193"/>
      <c r="G198" s="193"/>
      <c r="H198" s="195"/>
      <c r="I198" s="196"/>
      <c r="J198" s="196"/>
      <c r="K198" s="196"/>
      <c r="L198" s="787"/>
      <c r="M198" s="196"/>
      <c r="N198" s="787"/>
      <c r="O198" s="196"/>
      <c r="P198" s="787"/>
      <c r="Q198" s="999"/>
      <c r="R198" s="196"/>
      <c r="S198" s="787"/>
      <c r="T198" s="999"/>
      <c r="U198" s="196"/>
      <c r="V198" s="196"/>
      <c r="W198" s="196"/>
      <c r="X198" s="196"/>
      <c r="Y198" s="195"/>
      <c r="Z198" s="195"/>
      <c r="AZ198" s="1602"/>
      <c r="BA198" s="1398"/>
      <c r="BB198" s="753"/>
      <c r="BC198" s="1610"/>
      <c r="BD198" s="1610"/>
    </row>
    <row r="199" spans="3:56" x14ac:dyDescent="0.25">
      <c r="C199" s="191"/>
      <c r="D199" s="192"/>
      <c r="E199" s="193"/>
      <c r="F199" s="193"/>
      <c r="G199" s="193"/>
      <c r="H199" s="195"/>
      <c r="I199" s="196"/>
      <c r="J199" s="196"/>
      <c r="K199" s="196"/>
      <c r="L199" s="787"/>
      <c r="M199" s="196"/>
      <c r="N199" s="787"/>
      <c r="O199" s="196"/>
      <c r="P199" s="787"/>
      <c r="Q199" s="999"/>
      <c r="R199" s="196"/>
      <c r="S199" s="787"/>
      <c r="T199" s="999"/>
      <c r="U199" s="196"/>
      <c r="V199" s="196"/>
      <c r="W199" s="196"/>
      <c r="X199" s="196"/>
      <c r="Y199" s="195"/>
      <c r="Z199" s="195"/>
      <c r="AZ199" s="1602"/>
      <c r="BA199" s="1398"/>
      <c r="BB199" s="753"/>
      <c r="BC199" s="1610"/>
      <c r="BD199" s="1610"/>
    </row>
    <row r="200" spans="3:56" x14ac:dyDescent="0.25">
      <c r="C200" s="191"/>
      <c r="D200" s="192"/>
      <c r="E200" s="193"/>
      <c r="F200" s="193"/>
      <c r="G200" s="193"/>
      <c r="H200" s="195"/>
      <c r="I200" s="196"/>
      <c r="J200" s="196"/>
      <c r="K200" s="196"/>
      <c r="L200" s="787"/>
      <c r="M200" s="196"/>
      <c r="N200" s="787"/>
      <c r="O200" s="196"/>
      <c r="P200" s="787"/>
      <c r="Q200" s="999"/>
      <c r="R200" s="196"/>
      <c r="S200" s="787"/>
      <c r="T200" s="999"/>
      <c r="U200" s="196"/>
      <c r="V200" s="196"/>
      <c r="W200" s="196"/>
      <c r="X200" s="196"/>
      <c r="Y200" s="195"/>
      <c r="Z200" s="195"/>
      <c r="AZ200" s="1602"/>
      <c r="BA200" s="1398"/>
      <c r="BB200" s="753"/>
      <c r="BC200" s="1610"/>
      <c r="BD200" s="1610"/>
    </row>
    <row r="201" spans="3:56" x14ac:dyDescent="0.25">
      <c r="C201" s="191"/>
      <c r="D201" s="192"/>
      <c r="E201" s="193"/>
      <c r="F201" s="193"/>
      <c r="G201" s="193"/>
      <c r="H201" s="195"/>
      <c r="I201" s="196"/>
      <c r="J201" s="196"/>
      <c r="K201" s="196"/>
      <c r="L201" s="787"/>
      <c r="M201" s="196"/>
      <c r="N201" s="787"/>
      <c r="O201" s="196"/>
      <c r="P201" s="787"/>
      <c r="Q201" s="999"/>
      <c r="R201" s="196"/>
      <c r="S201" s="787"/>
      <c r="T201" s="999"/>
      <c r="U201" s="196"/>
      <c r="V201" s="196"/>
      <c r="W201" s="196"/>
      <c r="X201" s="196"/>
      <c r="Y201" s="195"/>
      <c r="Z201" s="195"/>
      <c r="AZ201" s="1602"/>
      <c r="BA201" s="1398"/>
      <c r="BB201" s="753"/>
      <c r="BC201" s="1610"/>
      <c r="BD201" s="1610"/>
    </row>
    <row r="202" spans="3:56" x14ac:dyDescent="0.25">
      <c r="C202" s="191"/>
      <c r="D202" s="192"/>
      <c r="E202" s="193"/>
      <c r="F202" s="193"/>
      <c r="G202" s="193"/>
      <c r="H202" s="195"/>
      <c r="I202" s="196"/>
      <c r="J202" s="196"/>
      <c r="K202" s="196"/>
      <c r="L202" s="787"/>
      <c r="M202" s="196"/>
      <c r="N202" s="787"/>
      <c r="O202" s="196"/>
      <c r="P202" s="787"/>
      <c r="Q202" s="999"/>
      <c r="R202" s="196"/>
      <c r="S202" s="787"/>
      <c r="T202" s="999"/>
      <c r="U202" s="196"/>
      <c r="V202" s="196"/>
      <c r="W202" s="196"/>
      <c r="X202" s="196"/>
      <c r="Y202" s="195"/>
      <c r="Z202" s="195"/>
      <c r="AZ202" s="1602"/>
      <c r="BA202" s="1398"/>
      <c r="BB202" s="753"/>
      <c r="BC202" s="1610"/>
      <c r="BD202" s="1610"/>
    </row>
    <row r="203" spans="3:56" x14ac:dyDescent="0.25">
      <c r="C203" s="191"/>
      <c r="D203" s="192"/>
      <c r="E203" s="193"/>
      <c r="F203" s="193"/>
      <c r="G203" s="193"/>
      <c r="H203" s="195"/>
      <c r="I203" s="196"/>
      <c r="J203" s="196"/>
      <c r="K203" s="196"/>
      <c r="L203" s="787"/>
      <c r="M203" s="196"/>
      <c r="N203" s="787"/>
      <c r="O203" s="196"/>
      <c r="P203" s="787"/>
      <c r="Q203" s="999"/>
      <c r="R203" s="196"/>
      <c r="S203" s="787"/>
      <c r="T203" s="999"/>
      <c r="U203" s="196"/>
      <c r="V203" s="196"/>
      <c r="W203" s="196"/>
      <c r="X203" s="196"/>
      <c r="Y203" s="195"/>
      <c r="Z203" s="195"/>
      <c r="AZ203" s="1602"/>
      <c r="BA203" s="1398"/>
      <c r="BB203" s="753"/>
      <c r="BC203" s="1610"/>
      <c r="BD203" s="1610"/>
    </row>
    <row r="204" spans="3:56" x14ac:dyDescent="0.25">
      <c r="C204" s="191"/>
      <c r="D204" s="192"/>
      <c r="E204" s="193"/>
      <c r="F204" s="193"/>
      <c r="G204" s="193"/>
      <c r="H204" s="195"/>
      <c r="I204" s="196"/>
      <c r="J204" s="196"/>
      <c r="K204" s="196"/>
      <c r="L204" s="787"/>
      <c r="M204" s="196"/>
      <c r="N204" s="787"/>
      <c r="O204" s="196"/>
      <c r="P204" s="787"/>
      <c r="Q204" s="999"/>
      <c r="R204" s="196"/>
      <c r="S204" s="787"/>
      <c r="T204" s="999"/>
      <c r="U204" s="196"/>
      <c r="V204" s="196"/>
      <c r="W204" s="196"/>
      <c r="X204" s="196"/>
      <c r="Y204" s="195"/>
      <c r="Z204" s="195"/>
      <c r="AZ204" s="1602"/>
      <c r="BA204" s="1398"/>
      <c r="BB204" s="753"/>
      <c r="BC204" s="1610"/>
      <c r="BD204" s="1610"/>
    </row>
    <row r="205" spans="3:56" x14ac:dyDescent="0.25">
      <c r="C205" s="191"/>
      <c r="D205" s="192"/>
      <c r="E205" s="193"/>
      <c r="F205" s="193"/>
      <c r="G205" s="193"/>
      <c r="H205" s="195"/>
      <c r="I205" s="196"/>
      <c r="J205" s="196"/>
      <c r="K205" s="196"/>
      <c r="L205" s="787"/>
      <c r="M205" s="196"/>
      <c r="N205" s="787"/>
      <c r="O205" s="196"/>
      <c r="P205" s="787"/>
      <c r="Q205" s="999"/>
      <c r="R205" s="196"/>
      <c r="S205" s="787"/>
      <c r="T205" s="999"/>
      <c r="U205" s="196"/>
      <c r="V205" s="196"/>
      <c r="W205" s="196"/>
      <c r="X205" s="196"/>
      <c r="Y205" s="195"/>
      <c r="Z205" s="195"/>
      <c r="AZ205" s="1602"/>
      <c r="BA205" s="1398"/>
      <c r="BB205" s="753"/>
      <c r="BC205" s="1610"/>
      <c r="BD205" s="1610"/>
    </row>
    <row r="206" spans="3:56" x14ac:dyDescent="0.25">
      <c r="C206" s="191"/>
      <c r="D206" s="192"/>
      <c r="E206" s="193"/>
      <c r="F206" s="193"/>
      <c r="G206" s="193"/>
      <c r="H206" s="195"/>
      <c r="I206" s="196"/>
      <c r="J206" s="196"/>
      <c r="K206" s="196"/>
      <c r="L206" s="787"/>
      <c r="M206" s="196"/>
      <c r="N206" s="787"/>
      <c r="O206" s="196"/>
      <c r="P206" s="787"/>
      <c r="Q206" s="999"/>
      <c r="R206" s="196"/>
      <c r="S206" s="787"/>
      <c r="T206" s="999"/>
      <c r="U206" s="196"/>
      <c r="V206" s="196"/>
      <c r="W206" s="196"/>
      <c r="X206" s="196"/>
      <c r="Y206" s="195"/>
      <c r="Z206" s="195"/>
      <c r="AZ206" s="1602"/>
      <c r="BA206" s="1398"/>
      <c r="BB206" s="753"/>
      <c r="BC206" s="1610"/>
      <c r="BD206" s="1610"/>
    </row>
    <row r="207" spans="3:56" x14ac:dyDescent="0.25">
      <c r="C207" s="191"/>
      <c r="D207" s="192"/>
      <c r="E207" s="193"/>
      <c r="F207" s="193"/>
      <c r="G207" s="193"/>
      <c r="H207" s="195"/>
      <c r="I207" s="196"/>
      <c r="J207" s="196"/>
      <c r="K207" s="196"/>
      <c r="L207" s="787"/>
      <c r="M207" s="196"/>
      <c r="N207" s="787"/>
      <c r="O207" s="196"/>
      <c r="P207" s="787"/>
      <c r="Q207" s="999"/>
      <c r="R207" s="196"/>
      <c r="S207" s="787"/>
      <c r="T207" s="999"/>
      <c r="U207" s="196"/>
      <c r="V207" s="196"/>
      <c r="W207" s="196"/>
      <c r="X207" s="196"/>
      <c r="Y207" s="195"/>
      <c r="Z207" s="195"/>
      <c r="AZ207" s="1602"/>
      <c r="BA207" s="1398"/>
      <c r="BB207" s="753"/>
      <c r="BC207" s="1610"/>
      <c r="BD207" s="1610"/>
    </row>
    <row r="208" spans="3:56" x14ac:dyDescent="0.25">
      <c r="C208" s="191"/>
      <c r="D208" s="192"/>
      <c r="E208" s="193"/>
      <c r="F208" s="193"/>
      <c r="G208" s="193"/>
      <c r="H208" s="195"/>
      <c r="I208" s="196"/>
      <c r="J208" s="196"/>
      <c r="K208" s="196"/>
      <c r="L208" s="787"/>
      <c r="M208" s="196"/>
      <c r="N208" s="787"/>
      <c r="O208" s="196"/>
      <c r="P208" s="787"/>
      <c r="Q208" s="999"/>
      <c r="R208" s="196"/>
      <c r="S208" s="787"/>
      <c r="T208" s="999"/>
      <c r="U208" s="196"/>
      <c r="V208" s="196"/>
      <c r="W208" s="196"/>
      <c r="X208" s="196"/>
      <c r="Y208" s="195"/>
      <c r="Z208" s="195"/>
      <c r="AZ208" s="1602"/>
      <c r="BA208" s="1398"/>
      <c r="BB208" s="753"/>
      <c r="BC208" s="1610"/>
      <c r="BD208" s="1610"/>
    </row>
    <row r="209" spans="3:56" x14ac:dyDescent="0.25">
      <c r="C209" s="191"/>
      <c r="D209" s="192"/>
      <c r="E209" s="193"/>
      <c r="F209" s="193"/>
      <c r="G209" s="193"/>
      <c r="H209" s="194"/>
      <c r="I209" s="196"/>
      <c r="J209" s="196"/>
      <c r="K209" s="196"/>
      <c r="L209" s="787"/>
      <c r="M209" s="196"/>
      <c r="N209" s="787"/>
      <c r="O209" s="196"/>
      <c r="P209" s="787"/>
      <c r="Q209" s="999"/>
      <c r="R209" s="196"/>
      <c r="S209" s="787"/>
      <c r="T209" s="999"/>
      <c r="U209" s="196"/>
      <c r="V209" s="196"/>
      <c r="W209" s="196"/>
      <c r="X209" s="196"/>
      <c r="Y209" s="195"/>
      <c r="Z209" s="195"/>
      <c r="AZ209" s="1602"/>
      <c r="BA209" s="1398"/>
      <c r="BB209" s="753"/>
      <c r="BC209" s="1610"/>
      <c r="BD209" s="1610"/>
    </row>
    <row r="210" spans="3:56" x14ac:dyDescent="0.25">
      <c r="C210" s="191"/>
      <c r="D210" s="192"/>
      <c r="E210" s="193"/>
      <c r="F210" s="193"/>
      <c r="G210" s="193"/>
      <c r="H210" s="194"/>
      <c r="I210" s="196"/>
      <c r="J210" s="196"/>
      <c r="K210" s="196"/>
      <c r="L210" s="787"/>
      <c r="M210" s="196"/>
      <c r="N210" s="787"/>
      <c r="O210" s="196"/>
      <c r="P210" s="787"/>
      <c r="Q210" s="999"/>
      <c r="R210" s="196"/>
      <c r="S210" s="787"/>
      <c r="T210" s="999"/>
      <c r="U210" s="196"/>
      <c r="V210" s="196"/>
      <c r="W210" s="196"/>
      <c r="X210" s="196"/>
      <c r="Y210" s="195"/>
      <c r="Z210" s="195"/>
      <c r="AZ210" s="1602"/>
      <c r="BA210" s="1398"/>
      <c r="BB210" s="753"/>
      <c r="BC210" s="1610"/>
      <c r="BD210" s="1610"/>
    </row>
    <row r="211" spans="3:56" x14ac:dyDescent="0.25">
      <c r="C211" s="191"/>
      <c r="D211" s="192"/>
      <c r="E211" s="193"/>
      <c r="F211" s="193"/>
      <c r="G211" s="193"/>
      <c r="H211" s="194"/>
      <c r="I211" s="196"/>
      <c r="J211" s="196"/>
      <c r="K211" s="196"/>
      <c r="L211" s="787"/>
      <c r="M211" s="196"/>
      <c r="N211" s="787"/>
      <c r="O211" s="196"/>
      <c r="P211" s="787"/>
      <c r="Q211" s="999"/>
      <c r="R211" s="196"/>
      <c r="S211" s="787"/>
      <c r="T211" s="999"/>
      <c r="U211" s="196"/>
      <c r="V211" s="196"/>
      <c r="W211" s="196"/>
      <c r="X211" s="196"/>
      <c r="Y211" s="195"/>
      <c r="Z211" s="195"/>
    </row>
  </sheetData>
  <mergeCells count="23">
    <mergeCell ref="C5:AN5"/>
    <mergeCell ref="C2:AN2"/>
    <mergeCell ref="X7:Y7"/>
    <mergeCell ref="X6:Y6"/>
    <mergeCell ref="C6:H8"/>
    <mergeCell ref="I6:P6"/>
    <mergeCell ref="Q6:S6"/>
    <mergeCell ref="T7:U7"/>
    <mergeCell ref="T6:U6"/>
    <mergeCell ref="Z7:AA7"/>
    <mergeCell ref="Z6:AA6"/>
    <mergeCell ref="V7:W7"/>
    <mergeCell ref="V6:W6"/>
    <mergeCell ref="AB7:AC7"/>
    <mergeCell ref="AB6:AC6"/>
    <mergeCell ref="AD7:AE7"/>
    <mergeCell ref="AJ7:AK7"/>
    <mergeCell ref="AJ6:AK6"/>
    <mergeCell ref="AH7:AI7"/>
    <mergeCell ref="AH6:AI6"/>
    <mergeCell ref="AD6:AE6"/>
    <mergeCell ref="AF7:AG7"/>
    <mergeCell ref="AF6:AG6"/>
  </mergeCells>
  <phoneticPr fontId="29" type="noConversion"/>
  <printOptions horizontalCentered="1"/>
  <pageMargins left="1" right="1" top="1" bottom="1" header="0.5" footer="0.5"/>
  <pageSetup paperSize="5" scale="49" fitToHeight="0" orientation="landscape" r:id="rId1"/>
  <colBreaks count="1" manualBreakCount="1">
    <brk id="16" min="1" max="192" man="1"/>
  </colBreaks>
  <ignoredErrors>
    <ignoredError sqref="L9:M9 L63:R63 T63:AC63 L62:AB62 R13:AC22 R25:AC27 R28:AA28 R29:AC30 R56:AC61 R64:AC66 R10:AC10 R32:AC53 R86:AC87 J12:K12 K10:K11 J31:AC31 K13:K30 J62:K63 K32:L61 J80:P80 K64:L76 K85:K87 L10:L30 N10:N30 N32:N61 P10 P11:AC12 P13:P22 P23:AC24 P25:P30 P32:P53 P54:AC55 P56:P61 P64:P66 P67:AC67 P81:P82 P86:P87 N64:N79 P68:P79 L146:L155 K81:K83 L81:L87 N81:N87 P85 R68:AC71 AH10:AH167 P146:P167 N155:N167 S146:S167 O9:AC9 L132 K138:L138 P83:P84 R83:AC84 R85:AC85 R74:AC74 S73:AC73 R76:AC82 S75:AC75 S72:AC72 K133:L133 K134:L134 K135:L135 K136:L136 K137:L137 K78:L79 L77 AJ10:AJ167 J10:J11 AJ168:AJ187 K186:L186 K187:L187 K184:L184 K183:L183 K180:L180 K181:L181 K176:L176 K175:L175 J177:L179 K173:L173 K172:L172 K171:L171 K170:L170 K169:L169 K168:L168 J182:K182 J185:L185 J174:L174 L182 S168:S170 N168:N169 P168:P170 AH168:AH170 AH174:AH187 P174 N174:N182 S174:S175 J173 J184 J175 T174:AG175 J176 O176:AG182 O175:R175 O174 Q174:R174 AI183:AI187 AI174:AI175 AI176:AI182 J170 AI168:AI170 Q168:R170 J169 O168:O169 T168:AG170 M182 M174 J186 M185:AG185 J168 M168 M169 M170:O170 J171 M171:AI171 J172 M172:AI172 M173:AI173 J180 M177:M179 M175 M176 J181 M181 M180 J183 M183:AG183 M184:AG184 J187 M187:AG187 M186:AG186 AK183:AK187 AK174:AK175 AK176:AK182 AK168:AK170 AK171 AK172 AK173" formula="1"/>
    <ignoredError sqref="AB28:AC28" formula="1" formulaRange="1"/>
    <ignoredError sqref="E163:E166" numberStoredAsText="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B3C46"/>
  </sheetPr>
  <dimension ref="A1:HM233"/>
  <sheetViews>
    <sheetView topLeftCell="EC1" zoomScale="90" zoomScaleNormal="90" workbookViewId="0">
      <selection activeCell="ES6" sqref="ES6"/>
    </sheetView>
  </sheetViews>
  <sheetFormatPr baseColWidth="10" defaultColWidth="11.42578125" defaultRowHeight="17.25" x14ac:dyDescent="0.35"/>
  <cols>
    <col min="1" max="1" width="10.42578125" style="420" bestFit="1" customWidth="1"/>
    <col min="2" max="2" width="54.42578125" style="420" bestFit="1" customWidth="1"/>
    <col min="3" max="3" width="14.140625" style="420" customWidth="1"/>
    <col min="4" max="4" width="14.140625" style="431" customWidth="1"/>
    <col min="5" max="5" width="13.140625" style="420" customWidth="1"/>
    <col min="6" max="8" width="11.5703125" style="420" bestFit="1" customWidth="1"/>
    <col min="9" max="10" width="11.42578125" style="420"/>
    <col min="11" max="11" width="54.42578125" style="420" bestFit="1" customWidth="1"/>
    <col min="12" max="12" width="0" style="420" hidden="1" customWidth="1"/>
    <col min="13" max="15" width="11.5703125" style="420" bestFit="1" customWidth="1"/>
    <col min="16" max="17" width="11.42578125" style="420"/>
    <col min="18" max="18" width="43.85546875" style="420" customWidth="1"/>
    <col min="19" max="19" width="14.140625" style="420" hidden="1" customWidth="1"/>
    <col min="20" max="20" width="13.140625" style="420" hidden="1" customWidth="1"/>
    <col min="21" max="21" width="11.5703125" style="420" bestFit="1" customWidth="1"/>
    <col min="22" max="22" width="0" style="420" hidden="1" customWidth="1"/>
    <col min="23" max="24" width="11.5703125" style="420" bestFit="1" customWidth="1"/>
    <col min="25" max="25" width="11.42578125" style="420"/>
    <col min="26" max="26" width="32" style="420" customWidth="1"/>
    <col min="27" max="27" width="15" style="420" hidden="1" customWidth="1"/>
    <col min="28" max="30" width="11.5703125" style="420" bestFit="1" customWidth="1"/>
    <col min="31" max="31" width="11.42578125" style="420"/>
    <col min="32" max="32" width="33.5703125" style="420" customWidth="1"/>
    <col min="33" max="33" width="16.28515625" style="420" hidden="1" customWidth="1"/>
    <col min="34" max="34" width="13.140625" style="420" customWidth="1"/>
    <col min="35" max="35" width="13.85546875" style="420" hidden="1" customWidth="1"/>
    <col min="36" max="37" width="11.5703125" style="420" bestFit="1" customWidth="1"/>
    <col min="38" max="39" width="11.42578125" style="420"/>
    <col min="40" max="40" width="0" style="430" hidden="1" customWidth="1"/>
    <col min="41" max="41" width="68.140625" style="430" customWidth="1"/>
    <col min="42" max="42" width="15.140625" style="430" bestFit="1" customWidth="1"/>
    <col min="43" max="43" width="13.28515625" style="420" customWidth="1"/>
    <col min="44" max="44" width="6.140625" style="420" customWidth="1"/>
    <col min="45" max="45" width="7.7109375" style="420" customWidth="1"/>
    <col min="46" max="46" width="11.42578125" style="420"/>
    <col min="47" max="47" width="0" style="420" hidden="1" customWidth="1"/>
    <col min="48" max="48" width="37.85546875" style="420" customWidth="1"/>
    <col min="49" max="49" width="12.28515625" style="420" customWidth="1"/>
    <col min="50" max="50" width="14.7109375" style="420" customWidth="1"/>
    <col min="51" max="51" width="10.85546875" style="420" customWidth="1"/>
    <col min="52" max="52" width="12.5703125" style="420" customWidth="1"/>
    <col min="53" max="53" width="12.140625" style="420" bestFit="1" customWidth="1"/>
    <col min="54" max="54" width="13.28515625" style="420" bestFit="1" customWidth="1"/>
    <col min="55" max="56" width="11.5703125" style="420" bestFit="1" customWidth="1"/>
    <col min="57" max="58" width="11.42578125" style="420"/>
    <col min="59" max="59" width="49.7109375" style="420" customWidth="1"/>
    <col min="60" max="60" width="16.42578125" style="420" bestFit="1" customWidth="1"/>
    <col min="61" max="61" width="15.42578125" style="420" customWidth="1"/>
    <col min="62" max="63" width="11.5703125" style="420" bestFit="1" customWidth="1"/>
    <col min="64" max="64" width="11.42578125" style="420"/>
    <col min="65" max="65" width="11.42578125" style="420" customWidth="1"/>
    <col min="66" max="66" width="20.5703125" style="420" customWidth="1"/>
    <col min="67" max="68" width="16.28515625" style="420" hidden="1" customWidth="1"/>
    <col min="69" max="71" width="15" style="420" hidden="1" customWidth="1"/>
    <col min="72" max="72" width="16" style="420" customWidth="1"/>
    <col min="73" max="73" width="15.7109375" style="420" customWidth="1"/>
    <col min="74" max="74" width="19.140625" style="420" customWidth="1"/>
    <col min="75" max="75" width="14" style="420" customWidth="1"/>
    <col min="76" max="77" width="11.42578125" style="420" customWidth="1"/>
    <col min="78" max="78" width="11.42578125" style="420"/>
    <col min="79" max="79" width="25.85546875" style="420" customWidth="1"/>
    <col min="80" max="80" width="15.140625" style="420" hidden="1" customWidth="1"/>
    <col min="81" max="81" width="12.140625" style="420" bestFit="1" customWidth="1"/>
    <col min="82" max="83" width="11.5703125" style="420" bestFit="1" customWidth="1"/>
    <col min="84" max="84" width="11.42578125" style="420"/>
    <col min="85" max="85" width="59.85546875" style="420" customWidth="1"/>
    <col min="86" max="87" width="14.140625" style="420" hidden="1" customWidth="1"/>
    <col min="88" max="88" width="15.5703125" style="420" hidden="1" customWidth="1"/>
    <col min="89" max="90" width="13.140625" style="420" hidden="1" customWidth="1"/>
    <col min="91" max="91" width="17.5703125" style="420" hidden="1" customWidth="1"/>
    <col min="92" max="92" width="13.140625" style="420" customWidth="1"/>
    <col min="93" max="93" width="11.42578125" style="420"/>
    <col min="94" max="94" width="14.85546875" style="420" customWidth="1"/>
    <col min="95" max="96" width="11.42578125" style="420"/>
    <col min="97" max="97" width="6.85546875" style="420" customWidth="1"/>
    <col min="98" max="99" width="11.42578125" style="420"/>
    <col min="100" max="101" width="14.140625" style="572" customWidth="1"/>
    <col min="102" max="103" width="11.5703125" style="420" bestFit="1" customWidth="1"/>
    <col min="104" max="105" width="11.42578125" style="420"/>
    <col min="106" max="106" width="43.85546875" style="420" customWidth="1"/>
    <col min="107" max="107" width="15.140625" style="420" hidden="1" customWidth="1"/>
    <col min="108" max="108" width="14.140625" style="420" hidden="1" customWidth="1"/>
    <col min="109" max="109" width="15.85546875" style="420" hidden="1" customWidth="1"/>
    <col min="110" max="110" width="14.140625" style="420" hidden="1" customWidth="1"/>
    <col min="111" max="111" width="14.28515625" style="420" customWidth="1"/>
    <col min="112" max="112" width="11.7109375" style="420" bestFit="1" customWidth="1"/>
    <col min="113" max="113" width="16.5703125" style="420" customWidth="1"/>
    <col min="114" max="114" width="11.7109375" style="420" bestFit="1" customWidth="1"/>
    <col min="115" max="117" width="11.42578125" style="420"/>
    <col min="118" max="118" width="34.140625" style="420" customWidth="1"/>
    <col min="119" max="120" width="0" style="420" hidden="1" customWidth="1"/>
    <col min="121" max="121" width="0" style="426" hidden="1" customWidth="1"/>
    <col min="122" max="122" width="11.42578125" style="426"/>
    <col min="123" max="123" width="11.42578125" style="420"/>
    <col min="124" max="124" width="7" style="420" customWidth="1"/>
    <col min="125" max="125" width="11.42578125" style="420"/>
    <col min="126" max="126" width="33.7109375" style="625" customWidth="1"/>
    <col min="127" max="130" width="11.42578125" style="625" hidden="1" customWidth="1"/>
    <col min="131" max="131" width="11.42578125" style="625" customWidth="1"/>
    <col min="132" max="134" width="11.42578125" style="625"/>
    <col min="135" max="135" width="11.42578125" style="420"/>
    <col min="136" max="136" width="9.5703125" style="420" customWidth="1"/>
    <col min="137" max="137" width="11.42578125" style="420"/>
    <col min="138" max="138" width="49.5703125" style="420" customWidth="1"/>
    <col min="139" max="139" width="11.42578125" style="420" hidden="1" customWidth="1"/>
    <col min="140" max="141" width="11.42578125" style="420"/>
    <col min="142" max="142" width="8.28515625" style="420" customWidth="1"/>
    <col min="143" max="143" width="11.42578125" style="420"/>
    <col min="144" max="144" width="48.7109375" style="420" customWidth="1"/>
    <col min="145" max="146" width="15.28515625" style="426" hidden="1" customWidth="1"/>
    <col min="147" max="147" width="14.28515625" style="426" hidden="1" customWidth="1"/>
    <col min="148" max="148" width="15.28515625" style="426" hidden="1" customWidth="1"/>
    <col min="149" max="152" width="13.140625" style="701" customWidth="1"/>
    <col min="153" max="156" width="11.42578125" style="420"/>
    <col min="157" max="157" width="55.140625" style="420" customWidth="1"/>
    <col min="158" max="158" width="0" style="420" hidden="1" customWidth="1"/>
    <col min="159" max="162" width="11.42578125" style="420"/>
    <col min="163" max="163" width="11.42578125" style="736"/>
    <col min="164" max="164" width="27.5703125" style="430" customWidth="1"/>
    <col min="165" max="168" width="0" style="420" hidden="1" customWidth="1"/>
    <col min="169" max="171" width="11.42578125" style="420"/>
    <col min="172" max="172" width="15.42578125" style="420" customWidth="1"/>
    <col min="173" max="176" width="11.42578125" style="420"/>
    <col min="177" max="177" width="31" style="420" customWidth="1"/>
    <col min="178" max="178" width="12.85546875" style="420" hidden="1" customWidth="1"/>
    <col min="179" max="180" width="13.140625" style="420" hidden="1" customWidth="1"/>
    <col min="181" max="182" width="11.5703125" style="420" hidden="1" customWidth="1"/>
    <col min="183" max="183" width="11.5703125" style="420" bestFit="1" customWidth="1"/>
    <col min="184" max="190" width="11.42578125" style="420"/>
    <col min="191" max="195" width="0" style="420" hidden="1" customWidth="1"/>
    <col min="196" max="203" width="11.42578125" style="420"/>
    <col min="204" max="204" width="27.140625" style="781" customWidth="1"/>
    <col min="205" max="205" width="27.140625" style="430" hidden="1" customWidth="1"/>
    <col min="206" max="206" width="27.140625" style="420" customWidth="1"/>
    <col min="207" max="209" width="11.42578125" style="420"/>
    <col min="210" max="210" width="25.85546875" style="736" customWidth="1"/>
    <col min="211" max="212" width="11.42578125" style="430" hidden="1" customWidth="1"/>
    <col min="213" max="213" width="13" style="430" hidden="1" customWidth="1"/>
    <col min="214" max="214" width="11.42578125" style="430" hidden="1" customWidth="1"/>
    <col min="215" max="215" width="11.42578125" style="420"/>
    <col min="216" max="216" width="14.140625" style="420" customWidth="1"/>
    <col min="217" max="217" width="11.42578125" style="420"/>
    <col min="218" max="218" width="14.42578125" style="420" customWidth="1"/>
    <col min="219" max="16384" width="11.42578125" style="420"/>
  </cols>
  <sheetData>
    <row r="1" spans="1:221" ht="15" x14ac:dyDescent="0.3">
      <c r="A1" s="1868" t="s">
        <v>655</v>
      </c>
      <c r="B1" s="1868"/>
      <c r="C1" s="1868"/>
      <c r="D1" s="1868"/>
      <c r="E1" s="1868"/>
      <c r="F1" s="1868"/>
      <c r="J1" s="1868" t="s">
        <v>694</v>
      </c>
      <c r="K1" s="1868"/>
      <c r="L1" s="1868"/>
      <c r="M1" s="1868"/>
      <c r="Q1" s="1868" t="s">
        <v>764</v>
      </c>
      <c r="R1" s="1868"/>
      <c r="S1" s="1868"/>
      <c r="T1" s="1868"/>
      <c r="U1" s="1868"/>
      <c r="Z1" s="1868" t="s">
        <v>692</v>
      </c>
      <c r="AA1" s="1868"/>
      <c r="AB1" s="1868"/>
      <c r="AF1" s="1868" t="s">
        <v>693</v>
      </c>
      <c r="AG1" s="1868"/>
      <c r="AH1" s="1868"/>
      <c r="AN1" s="1872" t="s">
        <v>530</v>
      </c>
      <c r="AO1" s="1872"/>
      <c r="AP1" s="1872"/>
      <c r="AQ1" s="1872"/>
      <c r="AU1" s="1868" t="s">
        <v>695</v>
      </c>
      <c r="AV1" s="1868"/>
      <c r="AW1" s="1868"/>
      <c r="AX1" s="1868"/>
      <c r="AY1" s="1868"/>
      <c r="AZ1" s="1868"/>
      <c r="BA1" s="1868"/>
      <c r="BB1" s="1868"/>
      <c r="BF1" s="1868" t="s">
        <v>696</v>
      </c>
      <c r="BG1" s="1868"/>
      <c r="BH1" s="1868"/>
      <c r="BI1" s="1868"/>
      <c r="BJ1" s="1868"/>
      <c r="BK1" s="1868"/>
      <c r="BM1" s="1868" t="s">
        <v>697</v>
      </c>
      <c r="BN1" s="1868"/>
      <c r="BO1" s="1868"/>
      <c r="BP1" s="1868"/>
      <c r="BQ1" s="1868"/>
      <c r="BR1" s="1868"/>
      <c r="BS1" s="1868"/>
      <c r="BT1" s="1868"/>
      <c r="BU1" s="1868"/>
      <c r="BV1" s="1868"/>
      <c r="BW1" s="1868"/>
      <c r="CA1" s="1868" t="s">
        <v>845</v>
      </c>
      <c r="CB1" s="1868"/>
      <c r="CC1" s="1868"/>
      <c r="CD1" s="1868"/>
      <c r="CE1" s="1868"/>
      <c r="CG1" s="1868" t="s">
        <v>852</v>
      </c>
      <c r="CH1" s="1868"/>
      <c r="CI1" s="1868"/>
      <c r="CJ1" s="1868"/>
      <c r="CK1" s="1868"/>
      <c r="CL1" s="1868"/>
      <c r="CM1" s="1868"/>
      <c r="CN1" s="1868" t="s">
        <v>844</v>
      </c>
      <c r="CO1" s="1868"/>
      <c r="CP1" s="1868"/>
      <c r="CQ1" s="1868"/>
      <c r="CU1" s="1871" t="s">
        <v>866</v>
      </c>
      <c r="CV1" s="1868"/>
      <c r="CW1" s="1868"/>
      <c r="CX1" s="1868"/>
      <c r="CY1" s="1868"/>
      <c r="CZ1" s="1868"/>
      <c r="DA1" s="1868"/>
      <c r="DB1" s="1868" t="s">
        <v>869</v>
      </c>
      <c r="DC1" s="1868"/>
      <c r="DD1" s="1868"/>
      <c r="DE1" s="1868"/>
      <c r="DF1" s="1868"/>
      <c r="DG1" s="1868"/>
      <c r="DH1" s="1868"/>
      <c r="DI1" s="1868"/>
      <c r="DJ1" s="1868"/>
      <c r="DN1" s="1868" t="s">
        <v>10</v>
      </c>
      <c r="DO1" s="1868"/>
      <c r="DP1" s="1868"/>
      <c r="DQ1" s="1868"/>
      <c r="DR1" s="1868"/>
      <c r="DV1" s="1870" t="s">
        <v>871</v>
      </c>
      <c r="DW1" s="1870"/>
      <c r="DX1" s="1870"/>
      <c r="DY1" s="1870"/>
      <c r="DZ1" s="1870"/>
      <c r="EA1" s="1870"/>
      <c r="EB1" s="1870"/>
      <c r="EC1" s="1870"/>
      <c r="ED1" s="1870"/>
      <c r="EH1" s="1868" t="s">
        <v>11</v>
      </c>
      <c r="EI1" s="1868"/>
      <c r="EJ1" s="1868"/>
      <c r="EO1" s="1869" t="s">
        <v>903</v>
      </c>
      <c r="EP1" s="1869"/>
      <c r="EQ1" s="1869"/>
      <c r="ER1" s="1869"/>
      <c r="ES1" s="1869"/>
      <c r="ET1" s="1869"/>
      <c r="EU1" s="1869"/>
      <c r="EV1" s="1869"/>
      <c r="EZ1" s="1868" t="s">
        <v>12</v>
      </c>
      <c r="FA1" s="1868"/>
      <c r="FB1" s="1868"/>
      <c r="FC1" s="1868"/>
      <c r="FD1" s="1868"/>
      <c r="FE1" s="1868"/>
      <c r="FF1" s="708"/>
      <c r="FG1" s="1873" t="s">
        <v>899</v>
      </c>
      <c r="FH1" s="1873"/>
      <c r="FI1" s="1873"/>
      <c r="FJ1" s="1873"/>
      <c r="FK1" s="1873"/>
      <c r="FL1" s="1873"/>
      <c r="FM1" s="1873"/>
      <c r="FN1" s="1873"/>
      <c r="FO1" s="1873"/>
      <c r="FP1" s="1873"/>
      <c r="FT1" s="1868" t="s">
        <v>915</v>
      </c>
      <c r="FU1" s="1868"/>
      <c r="FV1" s="1868"/>
      <c r="FW1" s="1868"/>
      <c r="FX1" s="1868"/>
      <c r="FY1" s="1868"/>
      <c r="FZ1" s="1868"/>
      <c r="GA1" s="1868"/>
      <c r="GB1" s="1868"/>
      <c r="GC1" s="1868"/>
      <c r="GF1" s="1868" t="s">
        <v>908</v>
      </c>
      <c r="GG1" s="1868"/>
      <c r="GH1" s="1868"/>
      <c r="GI1" s="1868"/>
      <c r="GJ1" s="1868"/>
      <c r="GK1" s="1868"/>
      <c r="GL1" s="1868"/>
      <c r="GM1" s="1868"/>
      <c r="GN1" s="1868"/>
      <c r="GO1" s="1868"/>
      <c r="GP1" s="1868"/>
      <c r="GQ1" s="1868"/>
      <c r="GR1" s="1868"/>
      <c r="GV1" s="1872" t="s">
        <v>14</v>
      </c>
      <c r="GW1" s="1872"/>
      <c r="GX1" s="1872"/>
      <c r="GY1" s="1872"/>
      <c r="GZ1" s="1872"/>
      <c r="HB1" s="1872" t="s">
        <v>916</v>
      </c>
      <c r="HC1" s="1872"/>
      <c r="HD1" s="1872"/>
      <c r="HE1" s="1872"/>
      <c r="HF1" s="1872"/>
      <c r="HG1" s="1872"/>
      <c r="HH1" s="1872"/>
      <c r="HI1" s="1872"/>
      <c r="HJ1" s="1872"/>
      <c r="HK1" s="1872"/>
    </row>
    <row r="2" spans="1:221" ht="38.25" customHeight="1" x14ac:dyDescent="0.3">
      <c r="A2" s="245" t="s">
        <v>552</v>
      </c>
      <c r="B2" s="245" t="s">
        <v>349</v>
      </c>
      <c r="C2" s="245" t="s">
        <v>356</v>
      </c>
      <c r="D2" s="285" t="s">
        <v>356</v>
      </c>
      <c r="E2" s="245" t="s">
        <v>352</v>
      </c>
      <c r="F2" s="245" t="s">
        <v>352</v>
      </c>
      <c r="G2" s="420">
        <v>1000</v>
      </c>
      <c r="H2" s="420">
        <v>1.0629999999999999</v>
      </c>
      <c r="J2" s="286" t="s">
        <v>552</v>
      </c>
      <c r="K2" s="1137" t="s">
        <v>349</v>
      </c>
      <c r="L2" s="1137" t="s">
        <v>352</v>
      </c>
      <c r="M2" s="1137" t="s">
        <v>352</v>
      </c>
      <c r="N2" s="420">
        <v>1000</v>
      </c>
      <c r="O2" s="420">
        <v>1.0629999999999999</v>
      </c>
      <c r="Q2" s="1137" t="s">
        <v>552</v>
      </c>
      <c r="R2" s="1137" t="s">
        <v>349</v>
      </c>
      <c r="S2" s="1137" t="s">
        <v>356</v>
      </c>
      <c r="T2" s="1137" t="s">
        <v>352</v>
      </c>
      <c r="U2" s="1137" t="s">
        <v>356</v>
      </c>
      <c r="V2" s="286" t="s">
        <v>352</v>
      </c>
      <c r="W2" s="420">
        <v>1000</v>
      </c>
      <c r="X2" s="420">
        <v>1.0629999999999999</v>
      </c>
      <c r="Z2" s="422" t="s">
        <v>349</v>
      </c>
      <c r="AA2" s="422" t="s">
        <v>352</v>
      </c>
      <c r="AB2" s="422" t="s">
        <v>352</v>
      </c>
      <c r="AC2" s="420">
        <v>1000</v>
      </c>
      <c r="AD2" s="420">
        <v>1.0629999999999999</v>
      </c>
      <c r="AF2" s="422" t="s">
        <v>349</v>
      </c>
      <c r="AG2" s="422" t="s">
        <v>356</v>
      </c>
      <c r="AH2" s="422" t="s">
        <v>356</v>
      </c>
      <c r="AI2" s="1137" t="s">
        <v>352</v>
      </c>
      <c r="AJ2" s="420">
        <v>1000</v>
      </c>
      <c r="AK2" s="420">
        <v>1.0629999999999999</v>
      </c>
      <c r="AN2" s="421" t="s">
        <v>552</v>
      </c>
      <c r="AO2" s="422" t="s">
        <v>349</v>
      </c>
      <c r="AP2" s="422" t="s">
        <v>352</v>
      </c>
      <c r="AQ2" s="422" t="s">
        <v>795</v>
      </c>
      <c r="AR2" s="420">
        <v>1000</v>
      </c>
      <c r="AS2" s="420">
        <v>1.0629999999999999</v>
      </c>
      <c r="AU2" s="422" t="s">
        <v>552</v>
      </c>
      <c r="AV2" s="422" t="s">
        <v>349</v>
      </c>
      <c r="AW2" s="422" t="s">
        <v>356</v>
      </c>
      <c r="AX2" s="422" t="s">
        <v>351</v>
      </c>
      <c r="AY2" s="422" t="s">
        <v>424</v>
      </c>
      <c r="AZ2" s="422" t="s">
        <v>796</v>
      </c>
      <c r="BA2" s="422" t="s">
        <v>797</v>
      </c>
      <c r="BB2" s="422" t="s">
        <v>798</v>
      </c>
      <c r="BC2" s="420">
        <v>1000</v>
      </c>
      <c r="BD2" s="420">
        <v>1.0629999999999999</v>
      </c>
      <c r="BF2" s="422" t="s">
        <v>552</v>
      </c>
      <c r="BG2" s="422" t="s">
        <v>349</v>
      </c>
      <c r="BH2" s="422" t="s">
        <v>352</v>
      </c>
      <c r="BI2" s="422" t="s">
        <v>815</v>
      </c>
      <c r="BJ2" s="420">
        <v>1000</v>
      </c>
      <c r="BK2" s="420">
        <v>1.0629999999999999</v>
      </c>
      <c r="BM2" s="295" t="s">
        <v>552</v>
      </c>
      <c r="BN2" s="295" t="s">
        <v>349</v>
      </c>
      <c r="BO2" s="295" t="s">
        <v>548</v>
      </c>
      <c r="BP2" s="295" t="s">
        <v>356</v>
      </c>
      <c r="BQ2" s="295" t="s">
        <v>351</v>
      </c>
      <c r="BR2" s="295" t="s">
        <v>424</v>
      </c>
      <c r="BS2" s="295" t="s">
        <v>352</v>
      </c>
      <c r="BT2" s="295" t="s">
        <v>357</v>
      </c>
      <c r="BU2" s="295" t="s">
        <v>816</v>
      </c>
      <c r="BV2" s="295" t="s">
        <v>817</v>
      </c>
      <c r="BW2" s="295" t="s">
        <v>818</v>
      </c>
      <c r="BX2" s="420">
        <v>1000</v>
      </c>
      <c r="BY2" s="420">
        <v>1.0629999999999999</v>
      </c>
      <c r="CA2" s="954" t="s">
        <v>349</v>
      </c>
      <c r="CB2" s="954" t="s">
        <v>352</v>
      </c>
      <c r="CC2" s="954" t="s">
        <v>851</v>
      </c>
      <c r="CD2" s="954">
        <v>1000</v>
      </c>
      <c r="CE2" s="954">
        <v>1.0629999999999999</v>
      </c>
      <c r="CG2" s="954" t="s">
        <v>349</v>
      </c>
      <c r="CH2" s="954" t="s">
        <v>548</v>
      </c>
      <c r="CI2" s="954" t="s">
        <v>356</v>
      </c>
      <c r="CJ2" s="954" t="s">
        <v>350</v>
      </c>
      <c r="CK2" s="954" t="s">
        <v>351</v>
      </c>
      <c r="CL2" s="954" t="s">
        <v>424</v>
      </c>
      <c r="CM2" s="954" t="s">
        <v>352</v>
      </c>
      <c r="CN2" s="954" t="s">
        <v>356</v>
      </c>
      <c r="CO2" s="954" t="s">
        <v>351</v>
      </c>
      <c r="CP2" s="954" t="s">
        <v>424</v>
      </c>
      <c r="CQ2" s="954" t="s">
        <v>352</v>
      </c>
      <c r="CR2" s="420">
        <v>1000</v>
      </c>
      <c r="CS2" s="420">
        <v>1.0629999999999999</v>
      </c>
      <c r="CU2" s="954" t="s">
        <v>349</v>
      </c>
      <c r="CV2" s="954" t="s">
        <v>351</v>
      </c>
      <c r="CW2" s="954" t="s">
        <v>352</v>
      </c>
      <c r="CX2" s="954" t="s">
        <v>824</v>
      </c>
      <c r="CY2" s="954" t="s">
        <v>851</v>
      </c>
      <c r="CZ2" s="420">
        <v>1000</v>
      </c>
      <c r="DA2" s="420">
        <v>1.0629999999999999</v>
      </c>
      <c r="DB2" s="954" t="s">
        <v>349</v>
      </c>
      <c r="DC2" s="954" t="s">
        <v>356</v>
      </c>
      <c r="DD2" s="954" t="s">
        <v>351</v>
      </c>
      <c r="DE2" s="954" t="s">
        <v>424</v>
      </c>
      <c r="DF2" s="954" t="s">
        <v>352</v>
      </c>
      <c r="DG2" s="954" t="s">
        <v>821</v>
      </c>
      <c r="DH2" s="954" t="s">
        <v>824</v>
      </c>
      <c r="DI2" s="954" t="s">
        <v>867</v>
      </c>
      <c r="DJ2" s="954" t="s">
        <v>868</v>
      </c>
      <c r="DK2" s="420">
        <v>1000</v>
      </c>
      <c r="DL2" s="420">
        <v>1.0629999999999999</v>
      </c>
      <c r="DN2" s="954" t="s">
        <v>349</v>
      </c>
      <c r="DO2" s="954" t="s">
        <v>351</v>
      </c>
      <c r="DP2" s="954" t="s">
        <v>352</v>
      </c>
      <c r="DQ2" s="954" t="s">
        <v>351</v>
      </c>
      <c r="DR2" s="954" t="s">
        <v>352</v>
      </c>
      <c r="DS2" s="420">
        <v>1000</v>
      </c>
      <c r="DT2" s="420">
        <v>1.0629999999999999</v>
      </c>
      <c r="DV2" s="954" t="s">
        <v>349</v>
      </c>
      <c r="DW2" s="954" t="s">
        <v>356</v>
      </c>
      <c r="DX2" s="954" t="s">
        <v>351</v>
      </c>
      <c r="DY2" s="954" t="s">
        <v>424</v>
      </c>
      <c r="DZ2" s="954" t="s">
        <v>352</v>
      </c>
      <c r="EA2" s="954" t="s">
        <v>356</v>
      </c>
      <c r="EB2" s="954" t="s">
        <v>351</v>
      </c>
      <c r="EC2" s="954" t="s">
        <v>424</v>
      </c>
      <c r="ED2" s="954" t="s">
        <v>352</v>
      </c>
      <c r="EE2" s="420">
        <v>1000</v>
      </c>
      <c r="EF2" s="420">
        <v>1.0629999999999999</v>
      </c>
      <c r="EH2" s="81" t="s">
        <v>349</v>
      </c>
      <c r="EI2" s="81" t="s">
        <v>352</v>
      </c>
      <c r="EJ2" s="81" t="s">
        <v>352</v>
      </c>
      <c r="EK2" s="420">
        <v>1000</v>
      </c>
      <c r="EL2" s="420">
        <v>1.0629999999999999</v>
      </c>
      <c r="EN2" s="81" t="s">
        <v>349</v>
      </c>
      <c r="EO2" s="81" t="s">
        <v>356</v>
      </c>
      <c r="EP2" s="81" t="s">
        <v>351</v>
      </c>
      <c r="EQ2" s="81" t="s">
        <v>424</v>
      </c>
      <c r="ER2" s="81" t="s">
        <v>352</v>
      </c>
      <c r="ES2" s="81" t="s">
        <v>356</v>
      </c>
      <c r="ET2" s="81" t="s">
        <v>351</v>
      </c>
      <c r="EU2" s="81" t="s">
        <v>424</v>
      </c>
      <c r="EV2" s="81" t="s">
        <v>352</v>
      </c>
      <c r="EW2" s="420">
        <v>1000</v>
      </c>
      <c r="EX2" s="420">
        <v>1.0629999999999999</v>
      </c>
      <c r="EZ2" s="316" t="s">
        <v>552</v>
      </c>
      <c r="FA2" s="316" t="s">
        <v>349</v>
      </c>
      <c r="FB2" s="316" t="s">
        <v>352</v>
      </c>
      <c r="FC2" s="316" t="s">
        <v>352</v>
      </c>
      <c r="FD2" s="420">
        <v>1000</v>
      </c>
      <c r="FE2" s="420">
        <v>1</v>
      </c>
      <c r="FG2" s="316" t="s">
        <v>552</v>
      </c>
      <c r="FH2" s="316" t="s">
        <v>349</v>
      </c>
      <c r="FI2" s="316" t="s">
        <v>356</v>
      </c>
      <c r="FJ2" s="316" t="s">
        <v>351</v>
      </c>
      <c r="FK2" s="316" t="s">
        <v>424</v>
      </c>
      <c r="FL2" s="316" t="s">
        <v>352</v>
      </c>
      <c r="FM2" s="316" t="s">
        <v>356</v>
      </c>
      <c r="FN2" s="316" t="s">
        <v>351</v>
      </c>
      <c r="FO2" s="316" t="s">
        <v>424</v>
      </c>
      <c r="FP2" s="316" t="s">
        <v>352</v>
      </c>
      <c r="FQ2" s="420">
        <v>1000</v>
      </c>
      <c r="FR2" s="420">
        <v>1</v>
      </c>
      <c r="FT2" s="776" t="s">
        <v>552</v>
      </c>
      <c r="FU2" s="776" t="s">
        <v>349</v>
      </c>
      <c r="FV2" s="776" t="s">
        <v>356</v>
      </c>
      <c r="FW2" s="776" t="s">
        <v>351</v>
      </c>
      <c r="FX2" s="776" t="s">
        <v>352</v>
      </c>
      <c r="FY2" s="776" t="s">
        <v>356</v>
      </c>
      <c r="FZ2" s="776" t="s">
        <v>351</v>
      </c>
      <c r="GA2" s="776" t="s">
        <v>352</v>
      </c>
      <c r="GB2" s="420">
        <v>1000</v>
      </c>
      <c r="GC2" s="420">
        <v>1</v>
      </c>
      <c r="GG2" s="776" t="s">
        <v>552</v>
      </c>
      <c r="GH2" s="776" t="s">
        <v>349</v>
      </c>
      <c r="GI2" s="776" t="s">
        <v>356</v>
      </c>
      <c r="GJ2" s="776" t="s">
        <v>351</v>
      </c>
      <c r="GK2" s="776" t="s">
        <v>424</v>
      </c>
      <c r="GL2" s="776" t="s">
        <v>352</v>
      </c>
      <c r="GM2" s="776" t="s">
        <v>353</v>
      </c>
      <c r="GN2" s="776" t="s">
        <v>356</v>
      </c>
      <c r="GO2" s="776" t="s">
        <v>351</v>
      </c>
      <c r="GP2" s="776" t="s">
        <v>424</v>
      </c>
      <c r="GQ2" s="776" t="s">
        <v>352</v>
      </c>
      <c r="GR2" s="776" t="s">
        <v>353</v>
      </c>
      <c r="GS2" s="420">
        <v>1000</v>
      </c>
      <c r="GT2" s="420">
        <v>1</v>
      </c>
      <c r="GV2" s="776" t="s">
        <v>349</v>
      </c>
      <c r="GW2" s="770" t="s">
        <v>352</v>
      </c>
      <c r="GX2" s="770" t="s">
        <v>352</v>
      </c>
      <c r="GY2" s="420">
        <v>1000</v>
      </c>
      <c r="GZ2" s="420">
        <v>1</v>
      </c>
      <c r="HB2" s="770" t="s">
        <v>349</v>
      </c>
      <c r="HC2" s="770" t="s">
        <v>356</v>
      </c>
      <c r="HD2" s="770" t="s">
        <v>351</v>
      </c>
      <c r="HE2" s="770" t="s">
        <v>424</v>
      </c>
      <c r="HF2" s="770" t="s">
        <v>352</v>
      </c>
      <c r="HG2" s="770" t="s">
        <v>356</v>
      </c>
      <c r="HH2" s="770" t="str">
        <f>+HE2</f>
        <v>Saldo por Comprometer</v>
      </c>
      <c r="HI2" s="770" t="s">
        <v>351</v>
      </c>
      <c r="HJ2" s="770" t="s">
        <v>424</v>
      </c>
      <c r="HK2" s="770" t="s">
        <v>352</v>
      </c>
      <c r="HL2" s="420">
        <v>1000</v>
      </c>
      <c r="HM2" s="420">
        <v>1</v>
      </c>
    </row>
    <row r="3" spans="1:221" ht="15" customHeight="1" x14ac:dyDescent="0.3">
      <c r="A3" s="287" t="s">
        <v>449</v>
      </c>
      <c r="B3" s="288" t="s">
        <v>480</v>
      </c>
      <c r="C3" s="289">
        <v>15462685000</v>
      </c>
      <c r="D3" s="290">
        <f>+C3/$G$2*$H$2</f>
        <v>16436834.154999999</v>
      </c>
      <c r="E3" s="289">
        <v>1084066451</v>
      </c>
      <c r="F3" s="289">
        <f>+E3/$G$2*$H$2</f>
        <v>1152362.6374129998</v>
      </c>
      <c r="J3" s="291" t="s">
        <v>449</v>
      </c>
      <c r="K3" s="292" t="s">
        <v>480</v>
      </c>
      <c r="L3" s="293">
        <v>1060634775</v>
      </c>
      <c r="M3" s="293">
        <f>+L3/$N$2*$O$2</f>
        <v>1127454.7658249999</v>
      </c>
      <c r="Q3" s="291" t="s">
        <v>449</v>
      </c>
      <c r="R3" s="292" t="s">
        <v>480</v>
      </c>
      <c r="S3" s="293">
        <v>15462685000</v>
      </c>
      <c r="T3" s="293">
        <v>2144701226</v>
      </c>
      <c r="U3" s="293">
        <f>+S3/$W$2*$X$2</f>
        <v>16436834.154999999</v>
      </c>
      <c r="V3" s="293">
        <f>+T3/$W$2*$X$2</f>
        <v>2279817.4032379999</v>
      </c>
      <c r="Z3" s="288" t="s">
        <v>480</v>
      </c>
      <c r="AA3" s="289">
        <v>1763926636</v>
      </c>
      <c r="AB3" s="289">
        <f>+AA3/$AC$2*$AD$2</f>
        <v>1875054.0140679998</v>
      </c>
      <c r="AF3" s="288" t="s">
        <v>480</v>
      </c>
      <c r="AG3" s="289">
        <v>15462685000</v>
      </c>
      <c r="AH3" s="289">
        <f t="shared" ref="AH3:AH34" si="0">+AG3/$AJ$2*$AK$2</f>
        <v>16436834.154999999</v>
      </c>
      <c r="AI3" s="289">
        <v>3908627862</v>
      </c>
      <c r="AL3" s="426"/>
      <c r="AN3" s="423" t="s">
        <v>449</v>
      </c>
      <c r="AO3" s="424" t="s">
        <v>480</v>
      </c>
      <c r="AP3" s="425">
        <v>1011484304</v>
      </c>
      <c r="AQ3" s="425">
        <f>+AP3/$AR$2*$AS$2</f>
        <v>1075207.8151519999</v>
      </c>
      <c r="AU3" s="423" t="s">
        <v>449</v>
      </c>
      <c r="AV3" s="424" t="s">
        <v>480</v>
      </c>
      <c r="AW3" s="425">
        <v>15458325000</v>
      </c>
      <c r="AX3" s="425">
        <v>4920112166</v>
      </c>
      <c r="AY3" s="425">
        <v>10538212834</v>
      </c>
      <c r="AZ3" s="426">
        <f>+AW3/$BC$2*$BD$2</f>
        <v>16432199.475</v>
      </c>
      <c r="BA3" s="426">
        <f>+AX3/$BC$2*$BD$2</f>
        <v>5230079.2324580001</v>
      </c>
      <c r="BB3" s="426">
        <f>+AY3/$BC$2*$BD$2</f>
        <v>11202120.242542</v>
      </c>
      <c r="BF3" s="423" t="s">
        <v>449</v>
      </c>
      <c r="BG3" s="424" t="s">
        <v>480</v>
      </c>
      <c r="BH3" s="425">
        <v>1090348611</v>
      </c>
      <c r="BI3" s="426">
        <f>+BH3/$BJ$2*$BK$2</f>
        <v>1159040.5734929999</v>
      </c>
      <c r="BM3" s="427" t="s">
        <v>449</v>
      </c>
      <c r="BN3" s="93" t="s">
        <v>480</v>
      </c>
      <c r="BO3" s="94">
        <v>15458325000</v>
      </c>
      <c r="BP3" s="94">
        <v>15458325000</v>
      </c>
      <c r="BQ3" s="94">
        <v>6010460777</v>
      </c>
      <c r="BR3" s="94">
        <v>9447864223</v>
      </c>
      <c r="BS3" s="94">
        <v>6010460777</v>
      </c>
      <c r="BT3" s="426">
        <f>+BP3/$BX$2*$BY$2</f>
        <v>16432199.475</v>
      </c>
      <c r="BU3" s="426">
        <f>+BQ3/$BX$2*$BY$2</f>
        <v>6389119.8059509993</v>
      </c>
      <c r="BV3" s="426">
        <f>+BR3/$BX$2*$BY$2</f>
        <v>10043079.669048999</v>
      </c>
      <c r="BW3" s="426">
        <f>+BS3/$BX$2*$BY$2</f>
        <v>6389119.8059509993</v>
      </c>
      <c r="CA3" s="93" t="s">
        <v>480</v>
      </c>
      <c r="CB3" s="426">
        <v>1832969719</v>
      </c>
      <c r="CC3" s="426">
        <f>+CB3/$CD$2*$CE$2</f>
        <v>1948446.8112969999</v>
      </c>
      <c r="CG3" s="424" t="s">
        <v>480</v>
      </c>
      <c r="CH3" s="425">
        <v>15458325000</v>
      </c>
      <c r="CI3" s="425">
        <v>15458325000</v>
      </c>
      <c r="CJ3" s="425">
        <v>0</v>
      </c>
      <c r="CK3" s="425">
        <v>7843430496</v>
      </c>
      <c r="CL3" s="425">
        <v>7614894504</v>
      </c>
      <c r="CM3" s="425">
        <v>7843430496</v>
      </c>
      <c r="CN3" s="425">
        <f>+CI3/$CR$2*$CS$2</f>
        <v>16432199.475</v>
      </c>
      <c r="CO3" s="425">
        <f>+CK3/$CR$2*$CS$2</f>
        <v>8337566.6172479996</v>
      </c>
      <c r="CP3" s="425">
        <f>+CL3/$CR$2*$CS$2</f>
        <v>8094632.8577519991</v>
      </c>
      <c r="CQ3" s="425">
        <f>+CM3/$CR$2*$CS$2</f>
        <v>8337566.6172479996</v>
      </c>
      <c r="CU3" s="424" t="s">
        <v>480</v>
      </c>
      <c r="CV3" s="425">
        <v>1071044045</v>
      </c>
      <c r="CW3" s="425">
        <v>1071044045</v>
      </c>
      <c r="CX3" s="426">
        <f>+CV3/$CZ$2*$DA$2</f>
        <v>1138519.819835</v>
      </c>
      <c r="CY3" s="426">
        <f>+CW3/$CZ$2*$DA$2</f>
        <v>1138519.819835</v>
      </c>
      <c r="DB3" s="568" t="s">
        <v>480</v>
      </c>
      <c r="DC3" s="569">
        <v>15458325000</v>
      </c>
      <c r="DD3" s="569">
        <v>8914474541</v>
      </c>
      <c r="DE3" s="569">
        <v>6543850459</v>
      </c>
      <c r="DF3" s="569">
        <v>8914474541</v>
      </c>
      <c r="DG3" s="570">
        <f>+DC3/$DK$2*$DL$2</f>
        <v>16432199.475</v>
      </c>
      <c r="DH3" s="570">
        <f>+DD3/$DK$2*$DL$2</f>
        <v>9476086.4370829985</v>
      </c>
      <c r="DI3" s="570">
        <f>+DE3/$DK$2*$DL$2</f>
        <v>6956113.0379169993</v>
      </c>
      <c r="DJ3" s="570">
        <f>+DF3/$DK$2*$DL$2</f>
        <v>9476086.4370829985</v>
      </c>
      <c r="DN3" s="93" t="s">
        <v>480</v>
      </c>
      <c r="DO3" s="93">
        <v>1070706653</v>
      </c>
      <c r="DP3" s="93">
        <v>1070706653</v>
      </c>
      <c r="DQ3" s="626">
        <f>+DO3/$DS$2*$DT$2</f>
        <v>1138161.1721389999</v>
      </c>
      <c r="DR3" s="626">
        <f>+DP3/$DS$2*$DT$2</f>
        <v>1138161.1721389999</v>
      </c>
      <c r="DV3" s="93" t="s">
        <v>480</v>
      </c>
      <c r="DW3" s="94">
        <v>15458325000</v>
      </c>
      <c r="DX3" s="94">
        <v>9985181194</v>
      </c>
      <c r="DY3" s="94">
        <v>5473143806</v>
      </c>
      <c r="DZ3" s="94">
        <v>9985181194</v>
      </c>
      <c r="EA3" s="94">
        <f>+DW3/$EE$2*$EF$2</f>
        <v>16432199.475</v>
      </c>
      <c r="EB3" s="94">
        <f>+DX3/$EE$2*$EF$2</f>
        <v>10614247.609222</v>
      </c>
      <c r="EC3" s="94">
        <f>+DY3/$EE$2*$EF$2</f>
        <v>5817951.8657779992</v>
      </c>
      <c r="ED3" s="94">
        <f>+DZ3/$EE$2*$EF$2</f>
        <v>10614247.609222</v>
      </c>
      <c r="EH3" s="420" t="s">
        <v>480</v>
      </c>
      <c r="EI3" s="420">
        <v>1840819759</v>
      </c>
      <c r="EJ3" s="426">
        <f>+EI3/$EK$2*$EL$2</f>
        <v>1956791.4038169999</v>
      </c>
      <c r="EN3" s="420" t="s">
        <v>480</v>
      </c>
      <c r="EO3" s="426">
        <v>15458325000</v>
      </c>
      <c r="EP3" s="426">
        <v>11826000953</v>
      </c>
      <c r="EQ3" s="426">
        <v>3632324047</v>
      </c>
      <c r="ER3" s="426">
        <v>11826000953</v>
      </c>
      <c r="ES3" s="700">
        <f>+EO3/$EW$2*$EX$2</f>
        <v>16432199.475</v>
      </c>
      <c r="ET3" s="700">
        <f>+EP3/$EW$2*$EX$2</f>
        <v>12571039.013038998</v>
      </c>
      <c r="EU3" s="700">
        <f>+EQ3/$EW$2*$EX$2</f>
        <v>3861160.4619609998</v>
      </c>
      <c r="EV3" s="700">
        <f>+ER3/$EW$2*$EX$2</f>
        <v>12571039.013038998</v>
      </c>
      <c r="EZ3" s="730" t="s">
        <v>449</v>
      </c>
      <c r="FA3" s="731" t="s">
        <v>480</v>
      </c>
      <c r="FB3" s="420">
        <v>1089827758</v>
      </c>
      <c r="FC3" s="426">
        <f>+FB3/$FD$2*$FE$2</f>
        <v>1089827.7579999999</v>
      </c>
      <c r="FG3" s="735" t="s">
        <v>449</v>
      </c>
      <c r="FH3" s="734" t="s">
        <v>480</v>
      </c>
      <c r="FI3" s="732">
        <v>16203325000</v>
      </c>
      <c r="FJ3" s="733">
        <v>12915828711</v>
      </c>
      <c r="FK3" s="733">
        <v>3287496289</v>
      </c>
      <c r="FL3" s="733">
        <v>12915828711</v>
      </c>
      <c r="FM3" s="426">
        <f>+FI3/$FQ$2*$FR$2</f>
        <v>16203325</v>
      </c>
      <c r="FN3" s="426">
        <f>+FJ3/$FQ$2*$FR$2</f>
        <v>12915828.710999999</v>
      </c>
      <c r="FO3" s="426">
        <f>+FK3/$FQ$2*$FR$2</f>
        <v>3287496.2889999999</v>
      </c>
      <c r="FP3" s="426">
        <f>+FL3/$FQ$2*$FR$2</f>
        <v>12915828.710999999</v>
      </c>
      <c r="FT3" s="427" t="s">
        <v>449</v>
      </c>
      <c r="FU3" s="93" t="s">
        <v>480</v>
      </c>
      <c r="FV3" s="94">
        <v>309357000</v>
      </c>
      <c r="FW3" s="94">
        <v>1100465705</v>
      </c>
      <c r="FX3" s="94">
        <v>1100465705</v>
      </c>
      <c r="FY3" s="426">
        <f>+FV3/$GB$2*$GC$2</f>
        <v>309357</v>
      </c>
      <c r="FZ3" s="426">
        <f t="shared" ref="FZ3:GA3" si="1">+FW3/$GB$2*$GC$2</f>
        <v>1100465.7050000001</v>
      </c>
      <c r="GA3" s="426">
        <f t="shared" si="1"/>
        <v>1100465.7050000001</v>
      </c>
      <c r="GG3" s="762" t="s">
        <v>449</v>
      </c>
      <c r="GH3" s="763" t="s">
        <v>480</v>
      </c>
      <c r="GI3" s="764">
        <v>16512682000</v>
      </c>
      <c r="GJ3" s="764">
        <v>14016294416</v>
      </c>
      <c r="GK3" s="764">
        <v>2496387584</v>
      </c>
      <c r="GL3" s="764">
        <v>14016294416</v>
      </c>
      <c r="GM3" s="764">
        <v>0</v>
      </c>
      <c r="GN3" s="426">
        <f>+GI3/$GS$2*$GT$2</f>
        <v>16512682</v>
      </c>
      <c r="GO3" s="426">
        <f t="shared" ref="GO3:GR3" si="2">+GJ3/$GS$2*$GT$2</f>
        <v>14016294.415999999</v>
      </c>
      <c r="GP3" s="426">
        <f t="shared" si="2"/>
        <v>2496387.5839999998</v>
      </c>
      <c r="GQ3" s="426">
        <f t="shared" si="2"/>
        <v>14016294.415999999</v>
      </c>
      <c r="GR3" s="426">
        <f t="shared" si="2"/>
        <v>0</v>
      </c>
      <c r="GV3" s="780" t="s">
        <v>480</v>
      </c>
      <c r="GW3" s="779">
        <v>2075018968</v>
      </c>
      <c r="GX3" s="426">
        <f>+GW3/$GY$2*$GZ$2</f>
        <v>2075018.9680000001</v>
      </c>
      <c r="HB3" s="782" t="s">
        <v>480</v>
      </c>
      <c r="HC3" s="764">
        <v>16385519000</v>
      </c>
      <c r="HD3" s="764">
        <v>16091313384</v>
      </c>
      <c r="HE3" s="764">
        <v>294205616</v>
      </c>
      <c r="HF3" s="764">
        <v>16091313384</v>
      </c>
      <c r="HG3" s="426">
        <f>+HC3/$HL$2*$HM$2</f>
        <v>16385519</v>
      </c>
      <c r="HH3" s="426">
        <f>+HE3/$HL$2*$HM$2</f>
        <v>294205.61599999998</v>
      </c>
      <c r="HI3" s="426">
        <f>+HD3/$HL$2*$HM$2</f>
        <v>16091313.384</v>
      </c>
      <c r="HJ3" s="426">
        <f>+HE3/$HL$2*$HM$2</f>
        <v>294205.61599999998</v>
      </c>
      <c r="HK3" s="426">
        <f>+HF3/$HL$2*$HM$2</f>
        <v>16091313.384</v>
      </c>
    </row>
    <row r="4" spans="1:221" ht="15" customHeight="1" x14ac:dyDescent="0.3">
      <c r="A4" s="287" t="s">
        <v>355</v>
      </c>
      <c r="B4" s="288" t="s">
        <v>479</v>
      </c>
      <c r="C4" s="289">
        <v>911366481</v>
      </c>
      <c r="D4" s="290">
        <f t="shared" ref="D4:D67" si="3">+C4/$G$2*$H$2</f>
        <v>968782.569303</v>
      </c>
      <c r="E4" s="289">
        <v>61043783</v>
      </c>
      <c r="F4" s="289">
        <f t="shared" ref="F4:F67" si="4">+E4/$G$2*$H$2</f>
        <v>64889.541329</v>
      </c>
      <c r="J4" s="291" t="s">
        <v>355</v>
      </c>
      <c r="K4" s="292" t="s">
        <v>479</v>
      </c>
      <c r="L4" s="293">
        <v>60055782</v>
      </c>
      <c r="M4" s="293">
        <f t="shared" ref="M4:M67" si="5">+L4/$N$2*$O$2</f>
        <v>63839.296265999998</v>
      </c>
      <c r="Q4" s="291" t="s">
        <v>355</v>
      </c>
      <c r="R4" s="292" t="s">
        <v>479</v>
      </c>
      <c r="S4" s="293">
        <v>911366481</v>
      </c>
      <c r="T4" s="293">
        <v>121099565</v>
      </c>
      <c r="U4" s="293">
        <f t="shared" ref="U4:U67" si="6">+S4/$W$2*$X$2</f>
        <v>968782.569303</v>
      </c>
      <c r="V4" s="293">
        <f t="shared" ref="V4:V67" si="7">+T4/$W$2*$X$2</f>
        <v>128728.83759499999</v>
      </c>
      <c r="Z4" s="288" t="s">
        <v>479</v>
      </c>
      <c r="AA4" s="289">
        <v>84527276</v>
      </c>
      <c r="AB4" s="289">
        <f t="shared" ref="AB4:AB67" si="8">+AA4/$AC$2*$AD$2</f>
        <v>89852.494387999992</v>
      </c>
      <c r="AF4" s="288" t="s">
        <v>479</v>
      </c>
      <c r="AG4" s="289">
        <v>909566481</v>
      </c>
      <c r="AH4" s="289">
        <f t="shared" si="0"/>
        <v>966869.16930299997</v>
      </c>
      <c r="AI4" s="289">
        <v>205626841</v>
      </c>
      <c r="AL4" s="426"/>
      <c r="AN4" s="423" t="s">
        <v>355</v>
      </c>
      <c r="AO4" s="424" t="s">
        <v>479</v>
      </c>
      <c r="AP4" s="425">
        <v>57212252</v>
      </c>
      <c r="AQ4" s="425">
        <f t="shared" ref="AQ4:AQ67" si="9">+AP4/$AR$2*$AS$2</f>
        <v>60816.623875999998</v>
      </c>
      <c r="AU4" s="423" t="s">
        <v>355</v>
      </c>
      <c r="AV4" s="424" t="s">
        <v>479</v>
      </c>
      <c r="AW4" s="425">
        <v>911666481</v>
      </c>
      <c r="AX4" s="425">
        <v>262839093</v>
      </c>
      <c r="AY4" s="425">
        <v>648827388</v>
      </c>
      <c r="AZ4" s="426">
        <f t="shared" ref="AZ4:AZ67" si="10">+AW4/$BC$2*$BD$2</f>
        <v>969101.46930300002</v>
      </c>
      <c r="BA4" s="426">
        <f t="shared" ref="BA4:BA67" si="11">+AX4/$BC$2*$BD$2</f>
        <v>279397.95585899998</v>
      </c>
      <c r="BB4" s="426">
        <f t="shared" ref="BB4:BB67" si="12">+AY4/$BC$2*$BD$2</f>
        <v>689703.51344400004</v>
      </c>
      <c r="BF4" s="423" t="s">
        <v>355</v>
      </c>
      <c r="BG4" s="424" t="s">
        <v>479</v>
      </c>
      <c r="BH4" s="425">
        <v>53619916</v>
      </c>
      <c r="BI4" s="426">
        <f t="shared" ref="BI4:BI67" si="13">+BH4/$BJ$2*$BK$2</f>
        <v>56997.970707999993</v>
      </c>
      <c r="BM4" s="427" t="s">
        <v>355</v>
      </c>
      <c r="BN4" s="93" t="s">
        <v>479</v>
      </c>
      <c r="BO4" s="94">
        <v>0</v>
      </c>
      <c r="BP4" s="94">
        <v>912528481</v>
      </c>
      <c r="BQ4" s="94">
        <v>316459009</v>
      </c>
      <c r="BR4" s="94">
        <v>596069472</v>
      </c>
      <c r="BS4" s="94">
        <v>316459009</v>
      </c>
      <c r="BT4" s="426">
        <f t="shared" ref="BT4:BT67" si="14">+BP4/$BX$2*$BY$2</f>
        <v>970017.775303</v>
      </c>
      <c r="BU4" s="426">
        <f t="shared" ref="BU4:BU67" si="15">+BQ4/$BX$2*$BY$2</f>
        <v>336395.92656699999</v>
      </c>
      <c r="BV4" s="426">
        <f t="shared" ref="BV4:BV67" si="16">+BR4/$BX$2*$BY$2</f>
        <v>633621.8487359999</v>
      </c>
      <c r="BW4" s="426">
        <f t="shared" ref="BW4:BW67" si="17">+BS4/$BX$2*$BY$2</f>
        <v>336395.92656699999</v>
      </c>
      <c r="CA4" s="93" t="s">
        <v>479</v>
      </c>
      <c r="CB4" s="426">
        <v>88617257</v>
      </c>
      <c r="CC4" s="426">
        <f t="shared" ref="CC4:CC67" si="18">+CB4/$CD$2*$CE$2</f>
        <v>94200.144190999999</v>
      </c>
      <c r="CG4" s="424" t="s">
        <v>479</v>
      </c>
      <c r="CH4" s="425">
        <v>0</v>
      </c>
      <c r="CI4" s="425">
        <v>912913844</v>
      </c>
      <c r="CJ4" s="425">
        <v>-912913844</v>
      </c>
      <c r="CK4" s="425">
        <v>405076266</v>
      </c>
      <c r="CL4" s="425">
        <v>507837578</v>
      </c>
      <c r="CM4" s="425">
        <v>405076266</v>
      </c>
      <c r="CN4" s="425">
        <f t="shared" ref="CN4:CN67" si="19">+CI4/$CR$2*$CS$2</f>
        <v>970427.416172</v>
      </c>
      <c r="CO4" s="425">
        <f t="shared" ref="CO4:CO67" si="20">+CK4/$CR$2*$CS$2</f>
        <v>430596.07075799996</v>
      </c>
      <c r="CP4" s="425">
        <f t="shared" ref="CP4:CP67" si="21">+CL4/$CR$2*$CS$2</f>
        <v>539831.34541399998</v>
      </c>
      <c r="CQ4" s="425">
        <f t="shared" ref="CQ4:CQ67" si="22">+CM4/$CR$2*$CS$2</f>
        <v>430596.07075799996</v>
      </c>
      <c r="CU4" s="424" t="s">
        <v>479</v>
      </c>
      <c r="CV4" s="425">
        <v>61764831</v>
      </c>
      <c r="CW4" s="425">
        <v>61764831</v>
      </c>
      <c r="CX4" s="426">
        <f t="shared" ref="CX4:CX67" si="23">+CV4/$CZ$2*$DA$2</f>
        <v>65656.015352999995</v>
      </c>
      <c r="CY4" s="426">
        <f t="shared" ref="CY4:CY67" si="24">+CW4/$CZ$2*$DA$2</f>
        <v>65656.015352999995</v>
      </c>
      <c r="DB4" s="568" t="s">
        <v>479</v>
      </c>
      <c r="DC4" s="569">
        <v>913363844</v>
      </c>
      <c r="DD4" s="569">
        <v>466841097</v>
      </c>
      <c r="DE4" s="569">
        <v>446522747</v>
      </c>
      <c r="DF4" s="569">
        <v>466841097</v>
      </c>
      <c r="DG4" s="570">
        <f t="shared" ref="DG4:DG67" si="25">+DC4/$DK$2*$DL$2</f>
        <v>970905.76617199997</v>
      </c>
      <c r="DH4" s="570">
        <f t="shared" ref="DH4:DH67" si="26">+DD4/$DK$2*$DL$2</f>
        <v>496252.08611099998</v>
      </c>
      <c r="DI4" s="570">
        <f t="shared" ref="DI4:DI67" si="27">+DE4/$DK$2*$DL$2</f>
        <v>474653.68006099993</v>
      </c>
      <c r="DJ4" s="570">
        <f t="shared" ref="DJ4:DJ67" si="28">+DF4/$DK$2*$DL$2</f>
        <v>496252.08611099998</v>
      </c>
      <c r="DN4" s="93" t="s">
        <v>479</v>
      </c>
      <c r="DO4" s="93">
        <v>58920118</v>
      </c>
      <c r="DP4" s="93">
        <v>58920118</v>
      </c>
      <c r="DQ4" s="626">
        <f t="shared" ref="DQ4:DQ67" si="29">+DO4/$DS$2*$DT$2</f>
        <v>62632.085434000001</v>
      </c>
      <c r="DR4" s="626">
        <f t="shared" ref="DR4:DR67" si="30">+DP4/$DS$2*$DT$2</f>
        <v>62632.085434000001</v>
      </c>
      <c r="DV4" s="93" t="s">
        <v>479</v>
      </c>
      <c r="DW4" s="94">
        <v>915699844</v>
      </c>
      <c r="DX4" s="94">
        <v>525761215</v>
      </c>
      <c r="DY4" s="94">
        <v>389938629</v>
      </c>
      <c r="DZ4" s="94">
        <v>525761215</v>
      </c>
      <c r="EA4" s="94">
        <f>+DW4/$EE$2*$EF$2</f>
        <v>973388.93417200004</v>
      </c>
      <c r="EB4" s="94">
        <f t="shared" ref="EB4:EB67" si="31">+DX4/$EE$2*$EF$2</f>
        <v>558884.17154499993</v>
      </c>
      <c r="EC4" s="94">
        <f t="shared" ref="EC4:EC67" si="32">+DY4/$EE$2*$EF$2</f>
        <v>414504.76262699999</v>
      </c>
      <c r="ED4" s="94">
        <f t="shared" ref="ED4:ED67" si="33">+DZ4/$EE$2*$EF$2</f>
        <v>558884.17154499993</v>
      </c>
      <c r="EH4" s="420" t="s">
        <v>479</v>
      </c>
      <c r="EI4" s="420">
        <v>90190336</v>
      </c>
      <c r="EJ4" s="426">
        <f t="shared" ref="EJ4:EJ67" si="34">+EI4/$EK$2*$EL$2</f>
        <v>95872.327167999989</v>
      </c>
      <c r="EN4" s="420" t="s">
        <v>479</v>
      </c>
      <c r="EO4" s="426">
        <v>916199844</v>
      </c>
      <c r="EP4" s="426">
        <v>615951551</v>
      </c>
      <c r="EQ4" s="426">
        <v>300248293</v>
      </c>
      <c r="ER4" s="426">
        <v>615951551</v>
      </c>
      <c r="ES4" s="700">
        <f t="shared" ref="ES4:ES67" si="35">+EO4/$EW$2*$EX$2</f>
        <v>973920.43417200004</v>
      </c>
      <c r="ET4" s="700">
        <f t="shared" ref="ET4:ET67" si="36">+EP4/$EW$2*$EX$2</f>
        <v>654756.49871299998</v>
      </c>
      <c r="EU4" s="700">
        <f t="shared" ref="EU4:EU67" si="37">+EQ4/$EW$2*$EX$2</f>
        <v>319163.935459</v>
      </c>
      <c r="EV4" s="700">
        <f t="shared" ref="EV4:EV67" si="38">+ER4/$EW$2*$EX$2</f>
        <v>654756.49871299998</v>
      </c>
      <c r="EZ4" s="730" t="s">
        <v>355</v>
      </c>
      <c r="FA4" s="731" t="s">
        <v>479</v>
      </c>
      <c r="FB4" s="420">
        <v>59321395</v>
      </c>
      <c r="FC4" s="426">
        <f t="shared" ref="FC4:FC67" si="39">+FB4/$FD$2*$FE$2</f>
        <v>59321.394999999997</v>
      </c>
      <c r="FG4" s="735" t="s">
        <v>355</v>
      </c>
      <c r="FH4" s="734" t="s">
        <v>479</v>
      </c>
      <c r="FI4" s="732">
        <v>918299844</v>
      </c>
      <c r="FJ4" s="733">
        <v>675272946</v>
      </c>
      <c r="FK4" s="733">
        <v>243026898</v>
      </c>
      <c r="FL4" s="733">
        <v>675272946</v>
      </c>
      <c r="FM4" s="426">
        <f t="shared" ref="FM4:FM67" si="40">+FI4/$FQ$2*$FR$2</f>
        <v>918299.84400000004</v>
      </c>
      <c r="FN4" s="426">
        <f t="shared" ref="FN4:FN67" si="41">+FJ4/$FQ$2*$FR$2</f>
        <v>675272.946</v>
      </c>
      <c r="FO4" s="426">
        <f t="shared" ref="FO4:FO67" si="42">+FK4/$FQ$2*$FR$2</f>
        <v>243026.89799999999</v>
      </c>
      <c r="FP4" s="426">
        <f t="shared" ref="FP4:FP67" si="43">+FL4/$FQ$2*$FR$2</f>
        <v>675272.946</v>
      </c>
      <c r="FT4" s="427" t="s">
        <v>355</v>
      </c>
      <c r="FU4" s="93" t="s">
        <v>479</v>
      </c>
      <c r="FV4" s="94">
        <v>-5000000</v>
      </c>
      <c r="FW4" s="94">
        <v>59811975</v>
      </c>
      <c r="FX4" s="94">
        <v>59811975</v>
      </c>
      <c r="FY4" s="426">
        <f t="shared" ref="FY4:FY67" si="44">+FV4/$GB$2*$GC$2</f>
        <v>-5000</v>
      </c>
      <c r="FZ4" s="426">
        <f t="shared" ref="FZ4:FZ67" si="45">+FW4/$GB$2*$GC$2</f>
        <v>59811.974999999999</v>
      </c>
      <c r="GA4" s="426">
        <f t="shared" ref="GA4:GA67" si="46">+FX4/$GB$2*$GC$2</f>
        <v>59811.974999999999</v>
      </c>
      <c r="GG4" s="762" t="s">
        <v>355</v>
      </c>
      <c r="GH4" s="763" t="s">
        <v>479</v>
      </c>
      <c r="GI4" s="764">
        <v>913299844</v>
      </c>
      <c r="GJ4" s="764">
        <v>735084921</v>
      </c>
      <c r="GK4" s="764">
        <v>178214923</v>
      </c>
      <c r="GL4" s="764">
        <v>735084921</v>
      </c>
      <c r="GM4" s="764">
        <v>0</v>
      </c>
      <c r="GN4" s="426">
        <f t="shared" ref="GN4:GN67" si="47">+GI4/$GS$2*$GT$2</f>
        <v>913299.84400000004</v>
      </c>
      <c r="GO4" s="426">
        <f t="shared" ref="GO4:GO67" si="48">+GJ4/$GS$2*$GT$2</f>
        <v>735084.92099999997</v>
      </c>
      <c r="GP4" s="426">
        <f t="shared" ref="GP4:GP67" si="49">+GK4/$GS$2*$GT$2</f>
        <v>178214.92300000001</v>
      </c>
      <c r="GQ4" s="426">
        <f t="shared" ref="GQ4:GQ67" si="50">+GL4/$GS$2*$GT$2</f>
        <v>735084.92099999997</v>
      </c>
      <c r="GR4" s="426">
        <f t="shared" ref="GR4:GR67" si="51">+GM4/$GS$2*$GT$2</f>
        <v>0</v>
      </c>
      <c r="GV4" s="780" t="s">
        <v>479</v>
      </c>
      <c r="GW4" s="779">
        <v>97775826</v>
      </c>
      <c r="GX4" s="426">
        <f t="shared" ref="GX4:GX67" si="52">+GW4/$GY$2*$GZ$2</f>
        <v>97775.826000000001</v>
      </c>
      <c r="HB4" s="782" t="s">
        <v>479</v>
      </c>
      <c r="HC4" s="764">
        <v>900140059</v>
      </c>
      <c r="HD4" s="764">
        <v>832860747</v>
      </c>
      <c r="HE4" s="764">
        <v>67279312</v>
      </c>
      <c r="HF4" s="764">
        <v>832860747</v>
      </c>
      <c r="HG4" s="426">
        <f t="shared" ref="HG4:HG67" si="53">+HC4/$HL$2*$HM$2</f>
        <v>900140.05900000001</v>
      </c>
      <c r="HH4" s="426">
        <f t="shared" ref="HH4:HH67" si="54">+HE4/$HL$2*$HM$2</f>
        <v>67279.312000000005</v>
      </c>
      <c r="HI4" s="426">
        <f t="shared" ref="HI4:HI67" si="55">+HD4/$HL$2*$HM$2</f>
        <v>832860.74699999997</v>
      </c>
      <c r="HJ4" s="426">
        <f t="shared" ref="HJ4:HJ67" si="56">+HE4/$HL$2*$HM$2</f>
        <v>67279.312000000005</v>
      </c>
      <c r="HK4" s="426">
        <f t="shared" ref="HK4:HK67" si="57">+HF4/$HL$2*$HM$2</f>
        <v>832860.74699999997</v>
      </c>
    </row>
    <row r="5" spans="1:221" ht="15" customHeight="1" x14ac:dyDescent="0.3">
      <c r="A5" s="287" t="s">
        <v>553</v>
      </c>
      <c r="B5" s="288" t="s">
        <v>478</v>
      </c>
      <c r="C5" s="289">
        <v>665267782</v>
      </c>
      <c r="D5" s="290">
        <f t="shared" si="3"/>
        <v>707179.65226599993</v>
      </c>
      <c r="E5" s="289">
        <v>46614221</v>
      </c>
      <c r="F5" s="289">
        <f t="shared" si="4"/>
        <v>49550.916922999997</v>
      </c>
      <c r="J5" s="291" t="s">
        <v>553</v>
      </c>
      <c r="K5" s="292" t="s">
        <v>478</v>
      </c>
      <c r="L5" s="293">
        <v>46614221</v>
      </c>
      <c r="M5" s="293">
        <f t="shared" si="5"/>
        <v>49550.916922999997</v>
      </c>
      <c r="Q5" s="291" t="s">
        <v>553</v>
      </c>
      <c r="R5" s="292" t="s">
        <v>478</v>
      </c>
      <c r="S5" s="293">
        <v>665267782</v>
      </c>
      <c r="T5" s="293">
        <v>93228442</v>
      </c>
      <c r="U5" s="293">
        <f t="shared" si="6"/>
        <v>707179.65226599993</v>
      </c>
      <c r="V5" s="293">
        <f t="shared" si="7"/>
        <v>99101.833845999994</v>
      </c>
      <c r="Z5" s="288" t="s">
        <v>478</v>
      </c>
      <c r="AA5" s="289">
        <v>61520594</v>
      </c>
      <c r="AB5" s="289">
        <f t="shared" si="8"/>
        <v>65396.391421999993</v>
      </c>
      <c r="AF5" s="288" t="s">
        <v>478</v>
      </c>
      <c r="AG5" s="289">
        <v>665267782</v>
      </c>
      <c r="AH5" s="289">
        <f t="shared" si="0"/>
        <v>707179.65226599993</v>
      </c>
      <c r="AI5" s="289">
        <v>154749036</v>
      </c>
      <c r="AL5" s="426"/>
      <c r="AN5" s="423" t="s">
        <v>553</v>
      </c>
      <c r="AO5" s="424" t="s">
        <v>478</v>
      </c>
      <c r="AP5" s="425">
        <v>43513776</v>
      </c>
      <c r="AQ5" s="425">
        <f t="shared" si="9"/>
        <v>46255.143887999999</v>
      </c>
      <c r="AU5" s="423" t="s">
        <v>553</v>
      </c>
      <c r="AV5" s="424" t="s">
        <v>478</v>
      </c>
      <c r="AW5" s="425">
        <v>665267782</v>
      </c>
      <c r="AX5" s="425">
        <v>198262812</v>
      </c>
      <c r="AY5" s="425">
        <v>467004970</v>
      </c>
      <c r="AZ5" s="426">
        <f t="shared" si="10"/>
        <v>707179.65226599993</v>
      </c>
      <c r="BA5" s="426">
        <f t="shared" si="11"/>
        <v>210753.369156</v>
      </c>
      <c r="BB5" s="426">
        <f t="shared" si="12"/>
        <v>496426.28310999996</v>
      </c>
      <c r="BF5" s="423" t="s">
        <v>553</v>
      </c>
      <c r="BG5" s="424" t="s">
        <v>478</v>
      </c>
      <c r="BH5" s="425">
        <v>43513776</v>
      </c>
      <c r="BI5" s="426">
        <f t="shared" si="13"/>
        <v>46255.143887999999</v>
      </c>
      <c r="BM5" s="427" t="s">
        <v>553</v>
      </c>
      <c r="BN5" s="93" t="s">
        <v>478</v>
      </c>
      <c r="BO5" s="94">
        <v>0</v>
      </c>
      <c r="BP5" s="94">
        <v>665267782</v>
      </c>
      <c r="BQ5" s="94">
        <v>241776588</v>
      </c>
      <c r="BR5" s="94">
        <v>423491194</v>
      </c>
      <c r="BS5" s="94">
        <v>241776588</v>
      </c>
      <c r="BT5" s="426">
        <f t="shared" si="14"/>
        <v>707179.65226599993</v>
      </c>
      <c r="BU5" s="426">
        <f t="shared" si="15"/>
        <v>257008.51304399996</v>
      </c>
      <c r="BV5" s="426">
        <f t="shared" si="16"/>
        <v>450171.13922199997</v>
      </c>
      <c r="BW5" s="426">
        <f t="shared" si="17"/>
        <v>257008.51304399996</v>
      </c>
      <c r="CA5" s="93" t="s">
        <v>478</v>
      </c>
      <c r="CB5" s="426">
        <v>64685285</v>
      </c>
      <c r="CC5" s="426">
        <f t="shared" si="18"/>
        <v>68760.457955000005</v>
      </c>
      <c r="CG5" s="424" t="s">
        <v>478</v>
      </c>
      <c r="CH5" s="425">
        <v>0</v>
      </c>
      <c r="CI5" s="425">
        <v>665267782</v>
      </c>
      <c r="CJ5" s="425">
        <v>-665267782</v>
      </c>
      <c r="CK5" s="425">
        <v>306461873</v>
      </c>
      <c r="CL5" s="425">
        <v>358805909</v>
      </c>
      <c r="CM5" s="425">
        <v>306461873</v>
      </c>
      <c r="CN5" s="425">
        <f t="shared" si="19"/>
        <v>707179.65226599993</v>
      </c>
      <c r="CO5" s="425">
        <f t="shared" si="20"/>
        <v>325768.97099900001</v>
      </c>
      <c r="CP5" s="425">
        <f t="shared" si="21"/>
        <v>381410.68126699998</v>
      </c>
      <c r="CQ5" s="425">
        <f t="shared" si="22"/>
        <v>325768.97099900001</v>
      </c>
      <c r="CU5" s="424" t="s">
        <v>478</v>
      </c>
      <c r="CV5" s="425">
        <v>45916102</v>
      </c>
      <c r="CW5" s="425">
        <v>45916102</v>
      </c>
      <c r="CX5" s="426">
        <f t="shared" si="23"/>
        <v>48808.816425999998</v>
      </c>
      <c r="CY5" s="426">
        <f t="shared" si="24"/>
        <v>48808.816425999998</v>
      </c>
      <c r="DB5" s="568" t="s">
        <v>478</v>
      </c>
      <c r="DC5" s="569">
        <v>665267782</v>
      </c>
      <c r="DD5" s="569">
        <v>352377975</v>
      </c>
      <c r="DE5" s="569">
        <v>312889807</v>
      </c>
      <c r="DF5" s="569">
        <v>352377975</v>
      </c>
      <c r="DG5" s="570">
        <f t="shared" si="25"/>
        <v>707179.65226599993</v>
      </c>
      <c r="DH5" s="570">
        <f t="shared" si="26"/>
        <v>374577.78742499993</v>
      </c>
      <c r="DI5" s="570">
        <f t="shared" si="27"/>
        <v>332601.86484099994</v>
      </c>
      <c r="DJ5" s="570">
        <f t="shared" si="28"/>
        <v>374577.78742499993</v>
      </c>
      <c r="DN5" s="93" t="s">
        <v>478</v>
      </c>
      <c r="DO5" s="93">
        <v>45966363</v>
      </c>
      <c r="DP5" s="93">
        <v>45966363</v>
      </c>
      <c r="DQ5" s="626">
        <f t="shared" si="29"/>
        <v>48862.243868999998</v>
      </c>
      <c r="DR5" s="626">
        <f t="shared" si="30"/>
        <v>48862.243868999998</v>
      </c>
      <c r="DV5" s="93" t="s">
        <v>478</v>
      </c>
      <c r="DW5" s="94">
        <v>665267782</v>
      </c>
      <c r="DX5" s="94">
        <v>398344338</v>
      </c>
      <c r="DY5" s="94">
        <v>266923444</v>
      </c>
      <c r="DZ5" s="94">
        <v>398344338</v>
      </c>
      <c r="EA5" s="94">
        <f t="shared" ref="EA5:EA67" si="58">+DW5/$EE$2*$EF$2</f>
        <v>707179.65226599993</v>
      </c>
      <c r="EB5" s="94">
        <f t="shared" si="31"/>
        <v>423440.03129399999</v>
      </c>
      <c r="EC5" s="94">
        <f t="shared" si="32"/>
        <v>283739.620972</v>
      </c>
      <c r="ED5" s="94">
        <f t="shared" si="33"/>
        <v>423440.03129399999</v>
      </c>
      <c r="EH5" s="420" t="s">
        <v>478</v>
      </c>
      <c r="EI5" s="420">
        <v>63529281</v>
      </c>
      <c r="EJ5" s="426">
        <f t="shared" si="34"/>
        <v>67531.625702999998</v>
      </c>
      <c r="EN5" s="420" t="s">
        <v>478</v>
      </c>
      <c r="EO5" s="426">
        <v>665267782</v>
      </c>
      <c r="EP5" s="426">
        <v>461873619</v>
      </c>
      <c r="EQ5" s="426">
        <v>203394163</v>
      </c>
      <c r="ER5" s="426">
        <v>461873619</v>
      </c>
      <c r="ES5" s="700">
        <f t="shared" si="35"/>
        <v>707179.65226599993</v>
      </c>
      <c r="ET5" s="700">
        <f t="shared" si="36"/>
        <v>490971.65699699998</v>
      </c>
      <c r="EU5" s="700">
        <f t="shared" si="37"/>
        <v>216207.99526899998</v>
      </c>
      <c r="EV5" s="700">
        <f t="shared" si="38"/>
        <v>490971.65699699998</v>
      </c>
      <c r="EZ5" s="730" t="s">
        <v>553</v>
      </c>
      <c r="FA5" s="731" t="s">
        <v>478</v>
      </c>
      <c r="FB5" s="420">
        <v>46811494</v>
      </c>
      <c r="FC5" s="426">
        <f t="shared" si="39"/>
        <v>46811.493999999999</v>
      </c>
      <c r="FG5" s="735" t="s">
        <v>553</v>
      </c>
      <c r="FH5" s="734" t="s">
        <v>478</v>
      </c>
      <c r="FI5" s="732">
        <v>665267782</v>
      </c>
      <c r="FJ5" s="733">
        <v>508685113</v>
      </c>
      <c r="FK5" s="733">
        <v>156582669</v>
      </c>
      <c r="FL5" s="733">
        <v>508685113</v>
      </c>
      <c r="FM5" s="426">
        <f t="shared" si="40"/>
        <v>665267.78200000001</v>
      </c>
      <c r="FN5" s="426">
        <f t="shared" si="41"/>
        <v>508685.11300000001</v>
      </c>
      <c r="FO5" s="426">
        <f t="shared" si="42"/>
        <v>156582.66899999999</v>
      </c>
      <c r="FP5" s="426">
        <f t="shared" si="43"/>
        <v>508685.11300000001</v>
      </c>
      <c r="FT5" s="427" t="s">
        <v>553</v>
      </c>
      <c r="FU5" s="93" t="s">
        <v>478</v>
      </c>
      <c r="FV5" s="94">
        <v>0</v>
      </c>
      <c r="FW5" s="94">
        <v>46928290</v>
      </c>
      <c r="FX5" s="94">
        <v>46928290</v>
      </c>
      <c r="FY5" s="426">
        <f t="shared" si="44"/>
        <v>0</v>
      </c>
      <c r="FZ5" s="426">
        <f t="shared" si="45"/>
        <v>46928.29</v>
      </c>
      <c r="GA5" s="426">
        <f t="shared" si="46"/>
        <v>46928.29</v>
      </c>
      <c r="GG5" s="762" t="s">
        <v>553</v>
      </c>
      <c r="GH5" s="763" t="s">
        <v>478</v>
      </c>
      <c r="GI5" s="764">
        <v>665267782</v>
      </c>
      <c r="GJ5" s="764">
        <v>555613403</v>
      </c>
      <c r="GK5" s="764">
        <v>109654379</v>
      </c>
      <c r="GL5" s="764">
        <v>555613403</v>
      </c>
      <c r="GM5" s="764">
        <v>0</v>
      </c>
      <c r="GN5" s="426">
        <f t="shared" si="47"/>
        <v>665267.78200000001</v>
      </c>
      <c r="GO5" s="426">
        <f t="shared" si="48"/>
        <v>555613.40300000005</v>
      </c>
      <c r="GP5" s="426">
        <f t="shared" si="49"/>
        <v>109654.379</v>
      </c>
      <c r="GQ5" s="426">
        <f t="shared" si="50"/>
        <v>555613.40300000005</v>
      </c>
      <c r="GR5" s="426">
        <f t="shared" si="51"/>
        <v>0</v>
      </c>
      <c r="GV5" s="780" t="s">
        <v>478</v>
      </c>
      <c r="GW5" s="779">
        <v>68550717</v>
      </c>
      <c r="GX5" s="426">
        <f t="shared" si="52"/>
        <v>68550.717000000004</v>
      </c>
      <c r="HB5" s="782" t="s">
        <v>478</v>
      </c>
      <c r="HC5" s="764">
        <v>665923782</v>
      </c>
      <c r="HD5" s="764">
        <v>624164120</v>
      </c>
      <c r="HE5" s="764">
        <v>41759662</v>
      </c>
      <c r="HF5" s="764">
        <v>624164120</v>
      </c>
      <c r="HG5" s="426">
        <f t="shared" si="53"/>
        <v>665923.78200000001</v>
      </c>
      <c r="HH5" s="426">
        <f t="shared" si="54"/>
        <v>41759.661999999997</v>
      </c>
      <c r="HI5" s="426">
        <f t="shared" si="55"/>
        <v>624164.12</v>
      </c>
      <c r="HJ5" s="426">
        <f t="shared" si="56"/>
        <v>41759.661999999997</v>
      </c>
      <c r="HK5" s="426">
        <f t="shared" si="57"/>
        <v>624164.12</v>
      </c>
    </row>
    <row r="6" spans="1:221" ht="15" customHeight="1" x14ac:dyDescent="0.3">
      <c r="A6" s="287" t="s">
        <v>554</v>
      </c>
      <c r="B6" s="288" t="s">
        <v>477</v>
      </c>
      <c r="C6" s="289">
        <v>124967490</v>
      </c>
      <c r="D6" s="290">
        <f t="shared" si="3"/>
        <v>132840.44187000001</v>
      </c>
      <c r="E6" s="289">
        <v>9915117</v>
      </c>
      <c r="F6" s="289">
        <f t="shared" si="4"/>
        <v>10539.769371</v>
      </c>
      <c r="J6" s="291" t="s">
        <v>554</v>
      </c>
      <c r="K6" s="292" t="s">
        <v>477</v>
      </c>
      <c r="L6" s="293">
        <v>9915117</v>
      </c>
      <c r="M6" s="293">
        <f t="shared" si="5"/>
        <v>10539.769371</v>
      </c>
      <c r="Q6" s="291" t="s">
        <v>554</v>
      </c>
      <c r="R6" s="292" t="s">
        <v>477</v>
      </c>
      <c r="S6" s="293">
        <v>124967490</v>
      </c>
      <c r="T6" s="293">
        <v>19830234</v>
      </c>
      <c r="U6" s="293">
        <f t="shared" si="6"/>
        <v>132840.44187000001</v>
      </c>
      <c r="V6" s="293">
        <f t="shared" si="7"/>
        <v>21079.538742000001</v>
      </c>
      <c r="Z6" s="288" t="s">
        <v>477</v>
      </c>
      <c r="AA6" s="289">
        <v>9440417</v>
      </c>
      <c r="AB6" s="289">
        <f t="shared" si="8"/>
        <v>10035.163270999999</v>
      </c>
      <c r="AF6" s="288" t="s">
        <v>477</v>
      </c>
      <c r="AG6" s="289">
        <v>124967490</v>
      </c>
      <c r="AH6" s="289">
        <f t="shared" si="0"/>
        <v>132840.44187000001</v>
      </c>
      <c r="AI6" s="289">
        <v>29270651</v>
      </c>
      <c r="AL6" s="426"/>
      <c r="AN6" s="423" t="s">
        <v>554</v>
      </c>
      <c r="AO6" s="424" t="s">
        <v>477</v>
      </c>
      <c r="AP6" s="425">
        <v>9203067</v>
      </c>
      <c r="AQ6" s="425">
        <f t="shared" si="9"/>
        <v>9782.860220999999</v>
      </c>
      <c r="AU6" s="423" t="s">
        <v>554</v>
      </c>
      <c r="AV6" s="424" t="s">
        <v>477</v>
      </c>
      <c r="AW6" s="425">
        <v>124967490</v>
      </c>
      <c r="AX6" s="425">
        <v>38473718</v>
      </c>
      <c r="AY6" s="425">
        <v>86493772</v>
      </c>
      <c r="AZ6" s="426">
        <f t="shared" si="10"/>
        <v>132840.44187000001</v>
      </c>
      <c r="BA6" s="426">
        <f t="shared" si="11"/>
        <v>40897.562233999997</v>
      </c>
      <c r="BB6" s="426">
        <f t="shared" si="12"/>
        <v>91942.879635999998</v>
      </c>
      <c r="BF6" s="423" t="s">
        <v>554</v>
      </c>
      <c r="BG6" s="424" t="s">
        <v>477</v>
      </c>
      <c r="BH6" s="425">
        <v>9203067</v>
      </c>
      <c r="BI6" s="426">
        <f t="shared" si="13"/>
        <v>9782.860220999999</v>
      </c>
      <c r="BM6" s="427" t="s">
        <v>554</v>
      </c>
      <c r="BN6" s="93" t="s">
        <v>477</v>
      </c>
      <c r="BO6" s="94">
        <v>0</v>
      </c>
      <c r="BP6" s="94">
        <v>124967490</v>
      </c>
      <c r="BQ6" s="94">
        <v>47676785</v>
      </c>
      <c r="BR6" s="94">
        <v>77290705</v>
      </c>
      <c r="BS6" s="94">
        <v>47676785</v>
      </c>
      <c r="BT6" s="426">
        <f t="shared" si="14"/>
        <v>132840.44187000001</v>
      </c>
      <c r="BU6" s="426">
        <f t="shared" si="15"/>
        <v>50680.422455</v>
      </c>
      <c r="BV6" s="426">
        <f t="shared" si="16"/>
        <v>82160.019415000002</v>
      </c>
      <c r="BW6" s="426">
        <f t="shared" si="17"/>
        <v>50680.422455</v>
      </c>
      <c r="CA6" s="93" t="s">
        <v>477</v>
      </c>
      <c r="CB6" s="426">
        <v>9900262</v>
      </c>
      <c r="CC6" s="426">
        <f t="shared" si="18"/>
        <v>10523.978505999999</v>
      </c>
      <c r="CG6" s="424" t="s">
        <v>477</v>
      </c>
      <c r="CH6" s="425">
        <v>0</v>
      </c>
      <c r="CI6" s="425">
        <v>124967490</v>
      </c>
      <c r="CJ6" s="425">
        <v>-124967490</v>
      </c>
      <c r="CK6" s="425">
        <v>57577047</v>
      </c>
      <c r="CL6" s="425">
        <v>67390443</v>
      </c>
      <c r="CM6" s="425">
        <v>57577047</v>
      </c>
      <c r="CN6" s="425">
        <f t="shared" si="19"/>
        <v>132840.44187000001</v>
      </c>
      <c r="CO6" s="425">
        <f t="shared" si="20"/>
        <v>61204.400960999992</v>
      </c>
      <c r="CP6" s="425">
        <f t="shared" si="21"/>
        <v>71636.040908999988</v>
      </c>
      <c r="CQ6" s="425">
        <f t="shared" si="22"/>
        <v>61204.400960999992</v>
      </c>
      <c r="CU6" s="424" t="s">
        <v>477</v>
      </c>
      <c r="CV6" s="425">
        <v>9469468</v>
      </c>
      <c r="CW6" s="425">
        <v>9469468</v>
      </c>
      <c r="CX6" s="426">
        <f t="shared" si="23"/>
        <v>10066.044484</v>
      </c>
      <c r="CY6" s="426">
        <f t="shared" si="24"/>
        <v>10066.044484</v>
      </c>
      <c r="DB6" s="568" t="s">
        <v>477</v>
      </c>
      <c r="DC6" s="569">
        <v>124967490</v>
      </c>
      <c r="DD6" s="569">
        <v>67046515</v>
      </c>
      <c r="DE6" s="569">
        <v>57920975</v>
      </c>
      <c r="DF6" s="569">
        <v>67046515</v>
      </c>
      <c r="DG6" s="570">
        <f t="shared" si="25"/>
        <v>132840.44187000001</v>
      </c>
      <c r="DH6" s="570">
        <f t="shared" si="26"/>
        <v>71270.44544499999</v>
      </c>
      <c r="DI6" s="570">
        <f t="shared" si="27"/>
        <v>61569.996424999998</v>
      </c>
      <c r="DJ6" s="570">
        <f t="shared" si="28"/>
        <v>71270.44544499999</v>
      </c>
      <c r="DN6" s="93" t="s">
        <v>477</v>
      </c>
      <c r="DO6" s="93">
        <v>9502452</v>
      </c>
      <c r="DP6" s="93">
        <v>9502452</v>
      </c>
      <c r="DQ6" s="626">
        <f t="shared" si="29"/>
        <v>10101.106475999999</v>
      </c>
      <c r="DR6" s="626">
        <f t="shared" si="30"/>
        <v>10101.106475999999</v>
      </c>
      <c r="DV6" s="93" t="s">
        <v>477</v>
      </c>
      <c r="DW6" s="94">
        <v>124967490</v>
      </c>
      <c r="DX6" s="94">
        <v>76548967</v>
      </c>
      <c r="DY6" s="94">
        <v>48418523</v>
      </c>
      <c r="DZ6" s="94">
        <v>76548967</v>
      </c>
      <c r="EA6" s="94">
        <f t="shared" si="58"/>
        <v>132840.44187000001</v>
      </c>
      <c r="EB6" s="94">
        <f t="shared" si="31"/>
        <v>81371.551921000006</v>
      </c>
      <c r="EC6" s="94">
        <f t="shared" si="32"/>
        <v>51468.889948999997</v>
      </c>
      <c r="ED6" s="94">
        <f t="shared" si="33"/>
        <v>81371.551921000006</v>
      </c>
      <c r="EH6" s="420" t="s">
        <v>477</v>
      </c>
      <c r="EI6" s="420">
        <v>9502452</v>
      </c>
      <c r="EJ6" s="426">
        <f t="shared" si="34"/>
        <v>10101.106475999999</v>
      </c>
      <c r="EN6" s="420" t="s">
        <v>477</v>
      </c>
      <c r="EO6" s="426">
        <v>124967490</v>
      </c>
      <c r="EP6" s="426">
        <v>86051419</v>
      </c>
      <c r="EQ6" s="426">
        <v>38916071</v>
      </c>
      <c r="ER6" s="426">
        <v>86051419</v>
      </c>
      <c r="ES6" s="700">
        <f t="shared" si="35"/>
        <v>132840.44187000001</v>
      </c>
      <c r="ET6" s="700">
        <f t="shared" si="36"/>
        <v>91472.658396999992</v>
      </c>
      <c r="EU6" s="700">
        <f t="shared" si="37"/>
        <v>41367.783473000003</v>
      </c>
      <c r="EV6" s="700">
        <f t="shared" si="38"/>
        <v>91472.658396999992</v>
      </c>
      <c r="EZ6" s="730" t="s">
        <v>554</v>
      </c>
      <c r="FA6" s="731" t="s">
        <v>477</v>
      </c>
      <c r="FB6" s="420">
        <v>9915117</v>
      </c>
      <c r="FC6" s="426">
        <f t="shared" si="39"/>
        <v>9915.1170000000002</v>
      </c>
      <c r="FG6" s="735" t="s">
        <v>554</v>
      </c>
      <c r="FH6" s="734" t="s">
        <v>477</v>
      </c>
      <c r="FI6" s="732">
        <v>124967490</v>
      </c>
      <c r="FJ6" s="733">
        <v>95966536</v>
      </c>
      <c r="FK6" s="733">
        <v>29000954</v>
      </c>
      <c r="FL6" s="733">
        <v>95966536</v>
      </c>
      <c r="FM6" s="426">
        <f t="shared" si="40"/>
        <v>124967.49</v>
      </c>
      <c r="FN6" s="426">
        <f t="shared" si="41"/>
        <v>95966.535999999993</v>
      </c>
      <c r="FO6" s="426">
        <f t="shared" si="42"/>
        <v>29000.954000000002</v>
      </c>
      <c r="FP6" s="426">
        <f t="shared" si="43"/>
        <v>95966.535999999993</v>
      </c>
      <c r="FT6" s="427" t="s">
        <v>554</v>
      </c>
      <c r="FU6" s="93" t="s">
        <v>477</v>
      </c>
      <c r="FV6" s="94">
        <v>0</v>
      </c>
      <c r="FW6" s="94">
        <v>9915117</v>
      </c>
      <c r="FX6" s="94">
        <v>9915117</v>
      </c>
      <c r="FY6" s="426">
        <f t="shared" si="44"/>
        <v>0</v>
      </c>
      <c r="FZ6" s="426">
        <f t="shared" si="45"/>
        <v>9915.1170000000002</v>
      </c>
      <c r="GA6" s="426">
        <f t="shared" si="46"/>
        <v>9915.1170000000002</v>
      </c>
      <c r="GG6" s="762" t="s">
        <v>554</v>
      </c>
      <c r="GH6" s="763" t="s">
        <v>477</v>
      </c>
      <c r="GI6" s="764">
        <v>124967490</v>
      </c>
      <c r="GJ6" s="764">
        <v>105881653</v>
      </c>
      <c r="GK6" s="764">
        <v>19085837</v>
      </c>
      <c r="GL6" s="764">
        <v>105881653</v>
      </c>
      <c r="GM6" s="764">
        <v>0</v>
      </c>
      <c r="GN6" s="426">
        <f t="shared" si="47"/>
        <v>124967.49</v>
      </c>
      <c r="GO6" s="426">
        <f t="shared" si="48"/>
        <v>105881.65300000001</v>
      </c>
      <c r="GP6" s="426">
        <f t="shared" si="49"/>
        <v>19085.837</v>
      </c>
      <c r="GQ6" s="426">
        <f t="shared" si="50"/>
        <v>105881.65300000001</v>
      </c>
      <c r="GR6" s="426">
        <f t="shared" si="51"/>
        <v>0</v>
      </c>
      <c r="GV6" s="780" t="s">
        <v>477</v>
      </c>
      <c r="GW6" s="779">
        <v>10256139</v>
      </c>
      <c r="GX6" s="426">
        <f t="shared" si="52"/>
        <v>10256.138999999999</v>
      </c>
      <c r="HB6" s="782" t="s">
        <v>477</v>
      </c>
      <c r="HC6" s="764">
        <v>122588490</v>
      </c>
      <c r="HD6" s="764">
        <v>116137792</v>
      </c>
      <c r="HE6" s="764">
        <v>6450698</v>
      </c>
      <c r="HF6" s="764">
        <v>116137792</v>
      </c>
      <c r="HG6" s="426">
        <f t="shared" si="53"/>
        <v>122588.49</v>
      </c>
      <c r="HH6" s="426">
        <f t="shared" si="54"/>
        <v>6450.6980000000003</v>
      </c>
      <c r="HI6" s="426">
        <f t="shared" si="55"/>
        <v>116137.792</v>
      </c>
      <c r="HJ6" s="426">
        <f t="shared" si="56"/>
        <v>6450.6980000000003</v>
      </c>
      <c r="HK6" s="426">
        <f t="shared" si="57"/>
        <v>116137.792</v>
      </c>
    </row>
    <row r="7" spans="1:221" ht="15" customHeight="1" x14ac:dyDescent="0.3">
      <c r="A7" s="287" t="s">
        <v>554</v>
      </c>
      <c r="B7" s="288" t="s">
        <v>555</v>
      </c>
      <c r="C7" s="289">
        <v>16043881</v>
      </c>
      <c r="D7" s="290">
        <f t="shared" si="3"/>
        <v>17054.645503</v>
      </c>
      <c r="E7" s="289">
        <v>1290888</v>
      </c>
      <c r="F7" s="289">
        <f t="shared" si="4"/>
        <v>1372.2139439999999</v>
      </c>
      <c r="J7" s="291" t="s">
        <v>554</v>
      </c>
      <c r="K7" s="292" t="s">
        <v>555</v>
      </c>
      <c r="L7" s="293">
        <v>1290888</v>
      </c>
      <c r="M7" s="293">
        <f t="shared" si="5"/>
        <v>1372.2139439999999</v>
      </c>
      <c r="Q7" s="291" t="s">
        <v>554</v>
      </c>
      <c r="R7" s="292" t="s">
        <v>555</v>
      </c>
      <c r="S7" s="293">
        <v>16043881</v>
      </c>
      <c r="T7" s="293">
        <v>2581776</v>
      </c>
      <c r="U7" s="293">
        <f t="shared" si="6"/>
        <v>17054.645503</v>
      </c>
      <c r="V7" s="293">
        <f t="shared" si="7"/>
        <v>2744.4278879999997</v>
      </c>
      <c r="Z7" s="288" t="s">
        <v>555</v>
      </c>
      <c r="AA7" s="289">
        <v>1271900</v>
      </c>
      <c r="AB7" s="289">
        <f t="shared" si="8"/>
        <v>1352.0297</v>
      </c>
      <c r="AF7" s="288" t="s">
        <v>555</v>
      </c>
      <c r="AG7" s="289">
        <v>16043881</v>
      </c>
      <c r="AH7" s="289">
        <f t="shared" si="0"/>
        <v>17054.645503</v>
      </c>
      <c r="AI7" s="289">
        <v>3853676</v>
      </c>
      <c r="AL7" s="426"/>
      <c r="AN7" s="423" t="s">
        <v>554</v>
      </c>
      <c r="AO7" s="424" t="s">
        <v>555</v>
      </c>
      <c r="AP7" s="425">
        <v>1273635</v>
      </c>
      <c r="AQ7" s="425">
        <f t="shared" si="9"/>
        <v>1353.8740049999999</v>
      </c>
      <c r="AU7" s="423" t="s">
        <v>554</v>
      </c>
      <c r="AV7" s="424" t="s">
        <v>555</v>
      </c>
      <c r="AW7" s="425">
        <v>16043881</v>
      </c>
      <c r="AX7" s="425">
        <v>5127311</v>
      </c>
      <c r="AY7" s="425">
        <v>10916570</v>
      </c>
      <c r="AZ7" s="426">
        <f t="shared" si="10"/>
        <v>17054.645503</v>
      </c>
      <c r="BA7" s="426">
        <f t="shared" si="11"/>
        <v>5450.331592999999</v>
      </c>
      <c r="BB7" s="426">
        <f t="shared" si="12"/>
        <v>11604.313909999999</v>
      </c>
      <c r="BF7" s="423" t="s">
        <v>554</v>
      </c>
      <c r="BG7" s="424" t="s">
        <v>555</v>
      </c>
      <c r="BH7" s="425">
        <v>1273635</v>
      </c>
      <c r="BI7" s="426">
        <f t="shared" si="13"/>
        <v>1353.8740049999999</v>
      </c>
      <c r="BM7" s="427" t="s">
        <v>554</v>
      </c>
      <c r="BN7" s="93" t="s">
        <v>555</v>
      </c>
      <c r="BO7" s="94">
        <v>0</v>
      </c>
      <c r="BP7" s="94">
        <v>16043881</v>
      </c>
      <c r="BQ7" s="94">
        <v>6400946</v>
      </c>
      <c r="BR7" s="94">
        <v>9642935</v>
      </c>
      <c r="BS7" s="94">
        <v>6400946</v>
      </c>
      <c r="BT7" s="426">
        <f t="shared" si="14"/>
        <v>17054.645503</v>
      </c>
      <c r="BU7" s="426">
        <f t="shared" si="15"/>
        <v>6804.2055979999996</v>
      </c>
      <c r="BV7" s="426">
        <f t="shared" si="16"/>
        <v>10250.439904999999</v>
      </c>
      <c r="BW7" s="426">
        <f t="shared" si="17"/>
        <v>6804.2055979999996</v>
      </c>
      <c r="CA7" s="93" t="s">
        <v>555</v>
      </c>
      <c r="CB7" s="426">
        <v>1260200</v>
      </c>
      <c r="CC7" s="426">
        <f t="shared" si="18"/>
        <v>1339.5925999999999</v>
      </c>
      <c r="CG7" s="424" t="s">
        <v>555</v>
      </c>
      <c r="CH7" s="425">
        <v>0</v>
      </c>
      <c r="CI7" s="425">
        <v>16043881</v>
      </c>
      <c r="CJ7" s="425">
        <v>-16043881</v>
      </c>
      <c r="CK7" s="425">
        <v>7661146</v>
      </c>
      <c r="CL7" s="425">
        <v>8382735</v>
      </c>
      <c r="CM7" s="425">
        <v>7661146</v>
      </c>
      <c r="CN7" s="425">
        <f t="shared" si="19"/>
        <v>17054.645503</v>
      </c>
      <c r="CO7" s="425">
        <f t="shared" si="20"/>
        <v>8143.7981979999995</v>
      </c>
      <c r="CP7" s="425">
        <f t="shared" si="21"/>
        <v>8910.8473049999993</v>
      </c>
      <c r="CQ7" s="425">
        <f t="shared" si="22"/>
        <v>8143.7981979999995</v>
      </c>
      <c r="CU7" s="424" t="s">
        <v>555</v>
      </c>
      <c r="CV7" s="425">
        <v>1260200</v>
      </c>
      <c r="CW7" s="425">
        <v>1260200</v>
      </c>
      <c r="CX7" s="426">
        <f t="shared" si="23"/>
        <v>1339.5925999999999</v>
      </c>
      <c r="CY7" s="426">
        <f t="shared" si="24"/>
        <v>1339.5925999999999</v>
      </c>
      <c r="DB7" s="568" t="s">
        <v>555</v>
      </c>
      <c r="DC7" s="569">
        <v>16043881</v>
      </c>
      <c r="DD7" s="569">
        <v>8921346</v>
      </c>
      <c r="DE7" s="569">
        <v>7122535</v>
      </c>
      <c r="DF7" s="569">
        <v>8921346</v>
      </c>
      <c r="DG7" s="570">
        <f t="shared" si="25"/>
        <v>17054.645503</v>
      </c>
      <c r="DH7" s="570">
        <f t="shared" si="26"/>
        <v>9483.3907979999985</v>
      </c>
      <c r="DI7" s="570">
        <f t="shared" si="27"/>
        <v>7571.2547049999994</v>
      </c>
      <c r="DJ7" s="570">
        <f t="shared" si="28"/>
        <v>9483.3907979999985</v>
      </c>
      <c r="DN7" s="93" t="s">
        <v>555</v>
      </c>
      <c r="DO7" s="93">
        <v>1260200</v>
      </c>
      <c r="DP7" s="93">
        <v>1260200</v>
      </c>
      <c r="DQ7" s="626">
        <f t="shared" si="29"/>
        <v>1339.5925999999999</v>
      </c>
      <c r="DR7" s="626">
        <f t="shared" si="30"/>
        <v>1339.5925999999999</v>
      </c>
      <c r="DV7" s="93" t="s">
        <v>555</v>
      </c>
      <c r="DW7" s="94">
        <v>16043881</v>
      </c>
      <c r="DX7" s="94">
        <v>10181546</v>
      </c>
      <c r="DY7" s="94">
        <v>5862335</v>
      </c>
      <c r="DZ7" s="94">
        <v>10181546</v>
      </c>
      <c r="EA7" s="94">
        <f t="shared" si="58"/>
        <v>17054.645503</v>
      </c>
      <c r="EB7" s="94">
        <f t="shared" si="31"/>
        <v>10822.983398</v>
      </c>
      <c r="EC7" s="94">
        <f t="shared" si="32"/>
        <v>6231.6621049999994</v>
      </c>
      <c r="ED7" s="94">
        <f t="shared" si="33"/>
        <v>10822.983398</v>
      </c>
      <c r="EH7" s="420" t="s">
        <v>555</v>
      </c>
      <c r="EI7" s="420">
        <v>1273635</v>
      </c>
      <c r="EJ7" s="426">
        <f t="shared" si="34"/>
        <v>1353.8740049999999</v>
      </c>
      <c r="EN7" s="420" t="s">
        <v>555</v>
      </c>
      <c r="EO7" s="426">
        <v>16043881</v>
      </c>
      <c r="EP7" s="426">
        <v>11455181</v>
      </c>
      <c r="EQ7" s="426">
        <v>4588700</v>
      </c>
      <c r="ER7" s="426">
        <v>11455181</v>
      </c>
      <c r="ES7" s="700">
        <f t="shared" si="35"/>
        <v>17054.645503</v>
      </c>
      <c r="ET7" s="700">
        <f t="shared" si="36"/>
        <v>12176.857403</v>
      </c>
      <c r="EU7" s="700">
        <f t="shared" si="37"/>
        <v>4877.7880999999998</v>
      </c>
      <c r="EV7" s="700">
        <f t="shared" si="38"/>
        <v>12176.857403</v>
      </c>
      <c r="EZ7" s="730" t="s">
        <v>554</v>
      </c>
      <c r="FA7" s="731" t="s">
        <v>555</v>
      </c>
      <c r="FB7" s="420">
        <v>1235413</v>
      </c>
      <c r="FC7" s="426">
        <f t="shared" si="39"/>
        <v>1235.413</v>
      </c>
      <c r="FG7" s="735" t="s">
        <v>554</v>
      </c>
      <c r="FH7" s="734" t="s">
        <v>555</v>
      </c>
      <c r="FI7" s="732">
        <v>16043881</v>
      </c>
      <c r="FJ7" s="733">
        <v>12690594</v>
      </c>
      <c r="FK7" s="733">
        <v>3353287</v>
      </c>
      <c r="FL7" s="733">
        <v>12690594</v>
      </c>
      <c r="FM7" s="426">
        <f t="shared" si="40"/>
        <v>16043.880999999999</v>
      </c>
      <c r="FN7" s="426">
        <f t="shared" si="41"/>
        <v>12690.593999999999</v>
      </c>
      <c r="FO7" s="426">
        <f t="shared" si="42"/>
        <v>3353.2869999999998</v>
      </c>
      <c r="FP7" s="426">
        <f t="shared" si="43"/>
        <v>12690.593999999999</v>
      </c>
      <c r="FT7" s="427" t="s">
        <v>554</v>
      </c>
      <c r="FU7" s="93" t="s">
        <v>555</v>
      </c>
      <c r="FV7" s="94">
        <v>0</v>
      </c>
      <c r="FW7" s="94">
        <v>1338727</v>
      </c>
      <c r="FX7" s="94">
        <v>1338727</v>
      </c>
      <c r="FY7" s="426">
        <f t="shared" si="44"/>
        <v>0</v>
      </c>
      <c r="FZ7" s="426">
        <f t="shared" si="45"/>
        <v>1338.7270000000001</v>
      </c>
      <c r="GA7" s="426">
        <f t="shared" si="46"/>
        <v>1338.7270000000001</v>
      </c>
      <c r="GG7" s="762" t="s">
        <v>554</v>
      </c>
      <c r="GH7" s="763" t="s">
        <v>555</v>
      </c>
      <c r="GI7" s="764">
        <v>16043881</v>
      </c>
      <c r="GJ7" s="764">
        <v>14029321</v>
      </c>
      <c r="GK7" s="764">
        <v>2014560</v>
      </c>
      <c r="GL7" s="764">
        <v>14029321</v>
      </c>
      <c r="GM7" s="764">
        <v>0</v>
      </c>
      <c r="GN7" s="426">
        <f t="shared" si="47"/>
        <v>16043.880999999999</v>
      </c>
      <c r="GO7" s="426">
        <f t="shared" si="48"/>
        <v>14029.321</v>
      </c>
      <c r="GP7" s="426">
        <f t="shared" si="49"/>
        <v>2014.56</v>
      </c>
      <c r="GQ7" s="426">
        <f t="shared" si="50"/>
        <v>14029.321</v>
      </c>
      <c r="GR7" s="426">
        <f t="shared" si="51"/>
        <v>0</v>
      </c>
      <c r="GV7" s="780" t="s">
        <v>555</v>
      </c>
      <c r="GW7" s="779">
        <v>1337350</v>
      </c>
      <c r="GX7" s="426">
        <f t="shared" si="52"/>
        <v>1337.35</v>
      </c>
      <c r="HB7" s="782" t="s">
        <v>555</v>
      </c>
      <c r="HC7" s="764">
        <v>16043881</v>
      </c>
      <c r="HD7" s="764">
        <v>15366671</v>
      </c>
      <c r="HE7" s="764">
        <v>677210</v>
      </c>
      <c r="HF7" s="764">
        <v>15366671</v>
      </c>
      <c r="HG7" s="426">
        <f t="shared" si="53"/>
        <v>16043.880999999999</v>
      </c>
      <c r="HH7" s="426">
        <f t="shared" si="54"/>
        <v>677.21</v>
      </c>
      <c r="HI7" s="426">
        <f t="shared" si="55"/>
        <v>15366.671</v>
      </c>
      <c r="HJ7" s="426">
        <f t="shared" si="56"/>
        <v>677.21</v>
      </c>
      <c r="HK7" s="426">
        <f t="shared" si="57"/>
        <v>15366.671</v>
      </c>
    </row>
    <row r="8" spans="1:221" ht="15" customHeight="1" x14ac:dyDescent="0.3">
      <c r="A8" s="287" t="s">
        <v>554</v>
      </c>
      <c r="B8" s="288" t="s">
        <v>476</v>
      </c>
      <c r="C8" s="289">
        <v>87051305</v>
      </c>
      <c r="D8" s="290">
        <f t="shared" si="3"/>
        <v>92535.537214999989</v>
      </c>
      <c r="E8" s="289">
        <v>6699723</v>
      </c>
      <c r="F8" s="289">
        <f t="shared" si="4"/>
        <v>7121.8055489999997</v>
      </c>
      <c r="J8" s="291" t="s">
        <v>554</v>
      </c>
      <c r="K8" s="292" t="s">
        <v>476</v>
      </c>
      <c r="L8" s="293">
        <v>6699723</v>
      </c>
      <c r="M8" s="293">
        <f t="shared" si="5"/>
        <v>7121.8055489999997</v>
      </c>
      <c r="Q8" s="291" t="s">
        <v>554</v>
      </c>
      <c r="R8" s="292" t="s">
        <v>476</v>
      </c>
      <c r="S8" s="293">
        <v>87051305</v>
      </c>
      <c r="T8" s="293">
        <v>13399446</v>
      </c>
      <c r="U8" s="293">
        <f t="shared" si="6"/>
        <v>92535.537214999989</v>
      </c>
      <c r="V8" s="293">
        <f t="shared" si="7"/>
        <v>14243.611097999999</v>
      </c>
      <c r="Z8" s="288" t="s">
        <v>476</v>
      </c>
      <c r="AA8" s="289">
        <v>6699723</v>
      </c>
      <c r="AB8" s="289">
        <f t="shared" si="8"/>
        <v>7121.8055489999997</v>
      </c>
      <c r="AF8" s="288" t="s">
        <v>476</v>
      </c>
      <c r="AG8" s="289">
        <v>87051305</v>
      </c>
      <c r="AH8" s="289">
        <f t="shared" si="0"/>
        <v>92535.537214999989</v>
      </c>
      <c r="AI8" s="289">
        <v>20099169</v>
      </c>
      <c r="AL8" s="426"/>
      <c r="AN8" s="423" t="s">
        <v>554</v>
      </c>
      <c r="AO8" s="424" t="s">
        <v>476</v>
      </c>
      <c r="AP8" s="425">
        <v>6699723</v>
      </c>
      <c r="AQ8" s="425">
        <f t="shared" si="9"/>
        <v>7121.8055489999997</v>
      </c>
      <c r="AU8" s="423" t="s">
        <v>554</v>
      </c>
      <c r="AV8" s="424" t="s">
        <v>476</v>
      </c>
      <c r="AW8" s="425">
        <v>87051305</v>
      </c>
      <c r="AX8" s="425">
        <v>26798892</v>
      </c>
      <c r="AY8" s="425">
        <v>60252413</v>
      </c>
      <c r="AZ8" s="426">
        <f t="shared" si="10"/>
        <v>92535.537214999989</v>
      </c>
      <c r="BA8" s="426">
        <f t="shared" si="11"/>
        <v>28487.222195999999</v>
      </c>
      <c r="BB8" s="426">
        <f t="shared" si="12"/>
        <v>64048.315018999994</v>
      </c>
      <c r="BF8" s="423" t="s">
        <v>554</v>
      </c>
      <c r="BG8" s="424" t="s">
        <v>476</v>
      </c>
      <c r="BH8" s="425">
        <v>6699723</v>
      </c>
      <c r="BI8" s="426">
        <f t="shared" si="13"/>
        <v>7121.8055489999997</v>
      </c>
      <c r="BM8" s="427" t="s">
        <v>554</v>
      </c>
      <c r="BN8" s="93" t="s">
        <v>476</v>
      </c>
      <c r="BO8" s="94">
        <v>0</v>
      </c>
      <c r="BP8" s="94">
        <v>87051305</v>
      </c>
      <c r="BQ8" s="94">
        <v>33498615</v>
      </c>
      <c r="BR8" s="94">
        <v>53552690</v>
      </c>
      <c r="BS8" s="94">
        <v>33498615</v>
      </c>
      <c r="BT8" s="426">
        <f t="shared" si="14"/>
        <v>92535.537214999989</v>
      </c>
      <c r="BU8" s="426">
        <f t="shared" si="15"/>
        <v>35609.027744999999</v>
      </c>
      <c r="BV8" s="426">
        <f t="shared" si="16"/>
        <v>56926.509469999997</v>
      </c>
      <c r="BW8" s="426">
        <f t="shared" si="17"/>
        <v>35609.027744999999</v>
      </c>
      <c r="CA8" s="93" t="s">
        <v>476</v>
      </c>
      <c r="CB8" s="426">
        <v>7269369</v>
      </c>
      <c r="CC8" s="426">
        <f t="shared" si="18"/>
        <v>7727.339246999999</v>
      </c>
      <c r="CG8" s="424" t="s">
        <v>476</v>
      </c>
      <c r="CH8" s="425">
        <v>0</v>
      </c>
      <c r="CI8" s="425">
        <v>87051305</v>
      </c>
      <c r="CJ8" s="425">
        <v>-87051305</v>
      </c>
      <c r="CK8" s="425">
        <v>40767984</v>
      </c>
      <c r="CL8" s="425">
        <v>46283321</v>
      </c>
      <c r="CM8" s="425">
        <v>40767984</v>
      </c>
      <c r="CN8" s="425">
        <f t="shared" si="19"/>
        <v>92535.537214999989</v>
      </c>
      <c r="CO8" s="425">
        <f t="shared" si="20"/>
        <v>43336.366991999996</v>
      </c>
      <c r="CP8" s="425">
        <f t="shared" si="21"/>
        <v>49199.170223000001</v>
      </c>
      <c r="CQ8" s="425">
        <f t="shared" si="22"/>
        <v>43336.366991999996</v>
      </c>
      <c r="CU8" s="424" t="s">
        <v>476</v>
      </c>
      <c r="CV8" s="425">
        <v>7269369</v>
      </c>
      <c r="CW8" s="425">
        <v>7269369</v>
      </c>
      <c r="CX8" s="426">
        <f t="shared" si="23"/>
        <v>7727.339246999999</v>
      </c>
      <c r="CY8" s="426">
        <f t="shared" si="24"/>
        <v>7727.339246999999</v>
      </c>
      <c r="DB8" s="568" t="s">
        <v>476</v>
      </c>
      <c r="DC8" s="569">
        <v>87051305</v>
      </c>
      <c r="DD8" s="569">
        <v>48037353</v>
      </c>
      <c r="DE8" s="569">
        <v>39013952</v>
      </c>
      <c r="DF8" s="569">
        <v>48037353</v>
      </c>
      <c r="DG8" s="570">
        <f t="shared" si="25"/>
        <v>92535.537214999989</v>
      </c>
      <c r="DH8" s="570">
        <f t="shared" si="26"/>
        <v>51063.706238999999</v>
      </c>
      <c r="DI8" s="570">
        <f t="shared" si="27"/>
        <v>41471.830975999997</v>
      </c>
      <c r="DJ8" s="570">
        <f t="shared" si="28"/>
        <v>51063.706238999999</v>
      </c>
      <c r="DN8" s="93" t="s">
        <v>476</v>
      </c>
      <c r="DO8" s="93">
        <v>7269369</v>
      </c>
      <c r="DP8" s="93">
        <v>7269369</v>
      </c>
      <c r="DQ8" s="626">
        <f t="shared" si="29"/>
        <v>7727.339246999999</v>
      </c>
      <c r="DR8" s="626">
        <f t="shared" si="30"/>
        <v>7727.339246999999</v>
      </c>
      <c r="DV8" s="93" t="s">
        <v>476</v>
      </c>
      <c r="DW8" s="94">
        <v>87051305</v>
      </c>
      <c r="DX8" s="94">
        <v>55306722</v>
      </c>
      <c r="DY8" s="94">
        <v>31744583</v>
      </c>
      <c r="DZ8" s="94">
        <v>55306722</v>
      </c>
      <c r="EA8" s="94">
        <f t="shared" si="58"/>
        <v>92535.537214999989</v>
      </c>
      <c r="EB8" s="94">
        <f t="shared" si="31"/>
        <v>58791.045485999995</v>
      </c>
      <c r="EC8" s="94">
        <f t="shared" si="32"/>
        <v>33744.491728999994</v>
      </c>
      <c r="ED8" s="94">
        <f t="shared" si="33"/>
        <v>58791.045485999995</v>
      </c>
      <c r="EH8" s="420" t="s">
        <v>476</v>
      </c>
      <c r="EI8" s="420">
        <v>7269369</v>
      </c>
      <c r="EJ8" s="426">
        <f t="shared" si="34"/>
        <v>7727.339246999999</v>
      </c>
      <c r="EN8" s="420" t="s">
        <v>476</v>
      </c>
      <c r="EO8" s="426">
        <v>87051305</v>
      </c>
      <c r="EP8" s="426">
        <v>62576091</v>
      </c>
      <c r="EQ8" s="426">
        <v>24475214</v>
      </c>
      <c r="ER8" s="426">
        <v>62576091</v>
      </c>
      <c r="ES8" s="700">
        <f t="shared" si="35"/>
        <v>92535.537214999989</v>
      </c>
      <c r="ET8" s="700">
        <f t="shared" si="36"/>
        <v>66518.384732999999</v>
      </c>
      <c r="EU8" s="700">
        <f t="shared" si="37"/>
        <v>26017.152481999998</v>
      </c>
      <c r="EV8" s="700">
        <f t="shared" si="38"/>
        <v>66518.384732999999</v>
      </c>
      <c r="EZ8" s="730" t="s">
        <v>554</v>
      </c>
      <c r="FA8" s="731" t="s">
        <v>476</v>
      </c>
      <c r="FB8" s="420">
        <v>7269369</v>
      </c>
      <c r="FC8" s="426">
        <f t="shared" si="39"/>
        <v>7269.3689999999997</v>
      </c>
      <c r="FG8" s="735" t="s">
        <v>554</v>
      </c>
      <c r="FH8" s="734" t="s">
        <v>476</v>
      </c>
      <c r="FI8" s="732">
        <v>87051305</v>
      </c>
      <c r="FJ8" s="733">
        <v>69845460</v>
      </c>
      <c r="FK8" s="733">
        <v>17205845</v>
      </c>
      <c r="FL8" s="733">
        <v>69845460</v>
      </c>
      <c r="FM8" s="426">
        <f t="shared" si="40"/>
        <v>87051.304999999993</v>
      </c>
      <c r="FN8" s="426">
        <f t="shared" si="41"/>
        <v>69845.460000000006</v>
      </c>
      <c r="FO8" s="426">
        <f t="shared" si="42"/>
        <v>17205.845000000001</v>
      </c>
      <c r="FP8" s="426">
        <f t="shared" si="43"/>
        <v>69845.460000000006</v>
      </c>
      <c r="FT8" s="427" t="s">
        <v>554</v>
      </c>
      <c r="FU8" s="93" t="s">
        <v>476</v>
      </c>
      <c r="FV8" s="94">
        <v>0</v>
      </c>
      <c r="FW8" s="94">
        <v>7269369</v>
      </c>
      <c r="FX8" s="94">
        <v>7269369</v>
      </c>
      <c r="FY8" s="426">
        <f t="shared" si="44"/>
        <v>0</v>
      </c>
      <c r="FZ8" s="426">
        <f t="shared" si="45"/>
        <v>7269.3689999999997</v>
      </c>
      <c r="GA8" s="426">
        <f t="shared" si="46"/>
        <v>7269.3689999999997</v>
      </c>
      <c r="GG8" s="762" t="s">
        <v>554</v>
      </c>
      <c r="GH8" s="763" t="s">
        <v>476</v>
      </c>
      <c r="GI8" s="764">
        <v>87051305</v>
      </c>
      <c r="GJ8" s="764">
        <v>77114829</v>
      </c>
      <c r="GK8" s="764">
        <v>9936476</v>
      </c>
      <c r="GL8" s="764">
        <v>77114829</v>
      </c>
      <c r="GM8" s="764">
        <v>0</v>
      </c>
      <c r="GN8" s="426">
        <f t="shared" si="47"/>
        <v>87051.304999999993</v>
      </c>
      <c r="GO8" s="426">
        <f t="shared" si="48"/>
        <v>77114.828999999998</v>
      </c>
      <c r="GP8" s="426">
        <f t="shared" si="49"/>
        <v>9936.4760000000006</v>
      </c>
      <c r="GQ8" s="426">
        <f t="shared" si="50"/>
        <v>77114.828999999998</v>
      </c>
      <c r="GR8" s="426">
        <f t="shared" si="51"/>
        <v>0</v>
      </c>
      <c r="GV8" s="780" t="s">
        <v>476</v>
      </c>
      <c r="GW8" s="779">
        <v>7474983</v>
      </c>
      <c r="GX8" s="426">
        <f t="shared" si="52"/>
        <v>7474.9830000000002</v>
      </c>
      <c r="HB8" s="782" t="s">
        <v>476</v>
      </c>
      <c r="HC8" s="764">
        <v>87051305</v>
      </c>
      <c r="HD8" s="764">
        <v>84589812</v>
      </c>
      <c r="HE8" s="764">
        <v>2461493</v>
      </c>
      <c r="HF8" s="764">
        <v>84589812</v>
      </c>
      <c r="HG8" s="426">
        <f t="shared" si="53"/>
        <v>87051.304999999993</v>
      </c>
      <c r="HH8" s="426">
        <f t="shared" si="54"/>
        <v>2461.4929999999999</v>
      </c>
      <c r="HI8" s="426">
        <f t="shared" si="55"/>
        <v>84589.812000000005</v>
      </c>
      <c r="HJ8" s="426">
        <f t="shared" si="56"/>
        <v>2461.4929999999999</v>
      </c>
      <c r="HK8" s="426">
        <f t="shared" si="57"/>
        <v>84589.812000000005</v>
      </c>
    </row>
    <row r="9" spans="1:221" ht="15" customHeight="1" x14ac:dyDescent="0.3">
      <c r="A9" s="287" t="s">
        <v>554</v>
      </c>
      <c r="B9" s="288" t="s">
        <v>556</v>
      </c>
      <c r="C9" s="289">
        <v>8390487</v>
      </c>
      <c r="D9" s="290">
        <f t="shared" si="3"/>
        <v>8919.0876809999991</v>
      </c>
      <c r="E9" s="289">
        <v>695010</v>
      </c>
      <c r="F9" s="289">
        <f t="shared" si="4"/>
        <v>738.79562999999996</v>
      </c>
      <c r="J9" s="291" t="s">
        <v>554</v>
      </c>
      <c r="K9" s="292" t="s">
        <v>556</v>
      </c>
      <c r="L9" s="293">
        <v>695010</v>
      </c>
      <c r="M9" s="293">
        <f t="shared" si="5"/>
        <v>738.79562999999996</v>
      </c>
      <c r="Q9" s="291" t="s">
        <v>554</v>
      </c>
      <c r="R9" s="292" t="s">
        <v>556</v>
      </c>
      <c r="S9" s="293">
        <v>8390487</v>
      </c>
      <c r="T9" s="293">
        <v>1390020</v>
      </c>
      <c r="U9" s="293">
        <f t="shared" si="6"/>
        <v>8919.0876809999991</v>
      </c>
      <c r="V9" s="293">
        <f t="shared" si="7"/>
        <v>1477.5912599999999</v>
      </c>
      <c r="Z9" s="288" t="s">
        <v>556</v>
      </c>
      <c r="AA9" s="289">
        <v>695010</v>
      </c>
      <c r="AB9" s="289">
        <f t="shared" si="8"/>
        <v>738.79562999999996</v>
      </c>
      <c r="AF9" s="288" t="s">
        <v>556</v>
      </c>
      <c r="AG9" s="289">
        <v>8390487</v>
      </c>
      <c r="AH9" s="289">
        <f t="shared" si="0"/>
        <v>8919.0876809999991</v>
      </c>
      <c r="AI9" s="289">
        <v>2085030</v>
      </c>
      <c r="AL9" s="426"/>
      <c r="AN9" s="423" t="s">
        <v>554</v>
      </c>
      <c r="AO9" s="424" t="s">
        <v>556</v>
      </c>
      <c r="AP9" s="425">
        <v>695010</v>
      </c>
      <c r="AQ9" s="425">
        <f t="shared" si="9"/>
        <v>738.79562999999996</v>
      </c>
      <c r="AU9" s="423" t="s">
        <v>554</v>
      </c>
      <c r="AV9" s="424" t="s">
        <v>556</v>
      </c>
      <c r="AW9" s="425">
        <v>8390487</v>
      </c>
      <c r="AX9" s="425">
        <v>2780040</v>
      </c>
      <c r="AY9" s="425">
        <v>5610447</v>
      </c>
      <c r="AZ9" s="426">
        <f t="shared" si="10"/>
        <v>8919.0876809999991</v>
      </c>
      <c r="BA9" s="426">
        <f t="shared" si="11"/>
        <v>2955.1825199999998</v>
      </c>
      <c r="BB9" s="426">
        <f t="shared" si="12"/>
        <v>5963.9051609999997</v>
      </c>
      <c r="BF9" s="423" t="s">
        <v>554</v>
      </c>
      <c r="BG9" s="424" t="s">
        <v>556</v>
      </c>
      <c r="BH9" s="425">
        <v>695010</v>
      </c>
      <c r="BI9" s="426">
        <f t="shared" si="13"/>
        <v>738.79562999999996</v>
      </c>
      <c r="BM9" s="427" t="s">
        <v>554</v>
      </c>
      <c r="BN9" s="93" t="s">
        <v>556</v>
      </c>
      <c r="BO9" s="94">
        <v>0</v>
      </c>
      <c r="BP9" s="94">
        <v>8390487</v>
      </c>
      <c r="BQ9" s="94">
        <v>3475050</v>
      </c>
      <c r="BR9" s="94">
        <v>4915437</v>
      </c>
      <c r="BS9" s="94">
        <v>3475050</v>
      </c>
      <c r="BT9" s="426">
        <f t="shared" si="14"/>
        <v>8919.0876809999991</v>
      </c>
      <c r="BU9" s="426">
        <f t="shared" si="15"/>
        <v>3693.9781499999999</v>
      </c>
      <c r="BV9" s="426">
        <f t="shared" si="16"/>
        <v>5225.1095310000001</v>
      </c>
      <c r="BW9" s="426">
        <f t="shared" si="17"/>
        <v>3693.9781499999999</v>
      </c>
      <c r="CA9" s="93" t="s">
        <v>556</v>
      </c>
      <c r="CB9" s="426">
        <v>695010</v>
      </c>
      <c r="CC9" s="426">
        <f t="shared" si="18"/>
        <v>738.79562999999996</v>
      </c>
      <c r="CG9" s="424" t="s">
        <v>556</v>
      </c>
      <c r="CH9" s="425">
        <v>0</v>
      </c>
      <c r="CI9" s="425">
        <v>8390487</v>
      </c>
      <c r="CJ9" s="425">
        <v>-8390487</v>
      </c>
      <c r="CK9" s="425">
        <v>4170060</v>
      </c>
      <c r="CL9" s="425">
        <v>4220427</v>
      </c>
      <c r="CM9" s="425">
        <v>4170060</v>
      </c>
      <c r="CN9" s="425">
        <f t="shared" si="19"/>
        <v>8919.0876809999991</v>
      </c>
      <c r="CO9" s="425">
        <f t="shared" si="20"/>
        <v>4432.7737800000004</v>
      </c>
      <c r="CP9" s="425">
        <f t="shared" si="21"/>
        <v>4486.3139009999995</v>
      </c>
      <c r="CQ9" s="425">
        <f t="shared" si="22"/>
        <v>4432.7737800000004</v>
      </c>
      <c r="CU9" s="424" t="s">
        <v>556</v>
      </c>
      <c r="CV9" s="425">
        <v>695010</v>
      </c>
      <c r="CW9" s="425">
        <v>695010</v>
      </c>
      <c r="CX9" s="426">
        <f t="shared" si="23"/>
        <v>738.79562999999996</v>
      </c>
      <c r="CY9" s="426">
        <f t="shared" si="24"/>
        <v>738.79562999999996</v>
      </c>
      <c r="DB9" s="568" t="s">
        <v>556</v>
      </c>
      <c r="DC9" s="569">
        <v>8390487</v>
      </c>
      <c r="DD9" s="569">
        <v>4865070</v>
      </c>
      <c r="DE9" s="569">
        <v>3525417</v>
      </c>
      <c r="DF9" s="569">
        <v>4865070</v>
      </c>
      <c r="DG9" s="570">
        <f t="shared" si="25"/>
        <v>8919.0876809999991</v>
      </c>
      <c r="DH9" s="570">
        <f t="shared" si="26"/>
        <v>5171.5694099999992</v>
      </c>
      <c r="DI9" s="570">
        <f t="shared" si="27"/>
        <v>3747.5182709999999</v>
      </c>
      <c r="DJ9" s="570">
        <f t="shared" si="28"/>
        <v>5171.5694099999992</v>
      </c>
      <c r="DN9" s="93" t="s">
        <v>556</v>
      </c>
      <c r="DO9" s="93">
        <v>695010</v>
      </c>
      <c r="DP9" s="93">
        <v>695010</v>
      </c>
      <c r="DQ9" s="626">
        <f t="shared" si="29"/>
        <v>738.79562999999996</v>
      </c>
      <c r="DR9" s="626">
        <f t="shared" si="30"/>
        <v>738.79562999999996</v>
      </c>
      <c r="DV9" s="93" t="s">
        <v>556</v>
      </c>
      <c r="DW9" s="94">
        <v>8390487</v>
      </c>
      <c r="DX9" s="94">
        <v>5560080</v>
      </c>
      <c r="DY9" s="94">
        <v>2830407</v>
      </c>
      <c r="DZ9" s="94">
        <v>5560080</v>
      </c>
      <c r="EA9" s="94">
        <f t="shared" si="58"/>
        <v>8919.0876809999991</v>
      </c>
      <c r="EB9" s="94">
        <f t="shared" si="31"/>
        <v>5910.3650399999997</v>
      </c>
      <c r="EC9" s="94">
        <f t="shared" si="32"/>
        <v>3008.7226409999998</v>
      </c>
      <c r="ED9" s="94">
        <f t="shared" si="33"/>
        <v>5910.3650399999997</v>
      </c>
      <c r="EH9" s="420" t="s">
        <v>556</v>
      </c>
      <c r="EI9" s="420">
        <v>695010</v>
      </c>
      <c r="EJ9" s="426">
        <f t="shared" si="34"/>
        <v>738.79562999999996</v>
      </c>
      <c r="EN9" s="420" t="s">
        <v>556</v>
      </c>
      <c r="EO9" s="426">
        <v>8390487</v>
      </c>
      <c r="EP9" s="426">
        <v>6255090</v>
      </c>
      <c r="EQ9" s="426">
        <v>2135397</v>
      </c>
      <c r="ER9" s="426">
        <v>6255090</v>
      </c>
      <c r="ES9" s="700">
        <f t="shared" si="35"/>
        <v>8919.0876809999991</v>
      </c>
      <c r="ET9" s="700">
        <f t="shared" si="36"/>
        <v>6649.1606700000002</v>
      </c>
      <c r="EU9" s="700">
        <f t="shared" si="37"/>
        <v>2269.9270109999998</v>
      </c>
      <c r="EV9" s="700">
        <f t="shared" si="38"/>
        <v>6649.1606700000002</v>
      </c>
      <c r="EZ9" s="730" t="s">
        <v>554</v>
      </c>
      <c r="FA9" s="731" t="s">
        <v>556</v>
      </c>
      <c r="FB9" s="420">
        <v>695010</v>
      </c>
      <c r="FC9" s="426">
        <f t="shared" si="39"/>
        <v>695.01</v>
      </c>
      <c r="FG9" s="735" t="s">
        <v>554</v>
      </c>
      <c r="FH9" s="734" t="s">
        <v>556</v>
      </c>
      <c r="FI9" s="732">
        <v>8390487</v>
      </c>
      <c r="FJ9" s="733">
        <v>6950100</v>
      </c>
      <c r="FK9" s="733">
        <v>1440387</v>
      </c>
      <c r="FL9" s="733">
        <v>6950100</v>
      </c>
      <c r="FM9" s="426">
        <f t="shared" si="40"/>
        <v>8390.4869999999992</v>
      </c>
      <c r="FN9" s="426">
        <f t="shared" si="41"/>
        <v>6950.1</v>
      </c>
      <c r="FO9" s="426">
        <f t="shared" si="42"/>
        <v>1440.3869999999999</v>
      </c>
      <c r="FP9" s="426">
        <f t="shared" si="43"/>
        <v>6950.1</v>
      </c>
      <c r="FT9" s="427" t="s">
        <v>554</v>
      </c>
      <c r="FU9" s="93" t="s">
        <v>556</v>
      </c>
      <c r="FV9" s="94">
        <v>0</v>
      </c>
      <c r="FW9" s="94">
        <v>695010</v>
      </c>
      <c r="FX9" s="94">
        <v>695010</v>
      </c>
      <c r="FY9" s="426">
        <f t="shared" si="44"/>
        <v>0</v>
      </c>
      <c r="FZ9" s="426">
        <f t="shared" si="45"/>
        <v>695.01</v>
      </c>
      <c r="GA9" s="426">
        <f t="shared" si="46"/>
        <v>695.01</v>
      </c>
      <c r="GG9" s="762" t="s">
        <v>554</v>
      </c>
      <c r="GH9" s="763" t="s">
        <v>556</v>
      </c>
      <c r="GI9" s="764">
        <v>8390487</v>
      </c>
      <c r="GJ9" s="764">
        <v>7645110</v>
      </c>
      <c r="GK9" s="764">
        <v>745377</v>
      </c>
      <c r="GL9" s="764">
        <v>7645110</v>
      </c>
      <c r="GM9" s="764">
        <v>0</v>
      </c>
      <c r="GN9" s="426">
        <f t="shared" si="47"/>
        <v>8390.4869999999992</v>
      </c>
      <c r="GO9" s="426">
        <f t="shared" si="48"/>
        <v>7645.11</v>
      </c>
      <c r="GP9" s="426">
        <f t="shared" si="49"/>
        <v>745.37699999999995</v>
      </c>
      <c r="GQ9" s="426">
        <f t="shared" si="50"/>
        <v>7645.11</v>
      </c>
      <c r="GR9" s="426">
        <f t="shared" si="51"/>
        <v>0</v>
      </c>
      <c r="GV9" s="780" t="s">
        <v>556</v>
      </c>
      <c r="GW9" s="779">
        <v>778411</v>
      </c>
      <c r="GX9" s="426">
        <f t="shared" si="52"/>
        <v>778.41099999999994</v>
      </c>
      <c r="HB9" s="782" t="s">
        <v>556</v>
      </c>
      <c r="HC9" s="764">
        <v>8425487</v>
      </c>
      <c r="HD9" s="764">
        <v>8423521</v>
      </c>
      <c r="HE9" s="764">
        <v>1966</v>
      </c>
      <c r="HF9" s="764">
        <v>8423521</v>
      </c>
      <c r="HG9" s="426">
        <f t="shared" si="53"/>
        <v>8425.4869999999992</v>
      </c>
      <c r="HH9" s="426">
        <f t="shared" si="54"/>
        <v>1.966</v>
      </c>
      <c r="HI9" s="426">
        <f t="shared" si="55"/>
        <v>8423.5210000000006</v>
      </c>
      <c r="HJ9" s="426">
        <f t="shared" si="56"/>
        <v>1.966</v>
      </c>
      <c r="HK9" s="426">
        <f t="shared" si="57"/>
        <v>8423.5210000000006</v>
      </c>
    </row>
    <row r="10" spans="1:221" ht="15" customHeight="1" x14ac:dyDescent="0.3">
      <c r="A10" s="287" t="s">
        <v>554</v>
      </c>
      <c r="B10" s="288" t="s">
        <v>557</v>
      </c>
      <c r="C10" s="289">
        <v>3146433</v>
      </c>
      <c r="D10" s="290">
        <f t="shared" si="3"/>
        <v>3344.6582789999998</v>
      </c>
      <c r="E10" s="289">
        <v>177466</v>
      </c>
      <c r="F10" s="289">
        <f t="shared" si="4"/>
        <v>188.64635799999999</v>
      </c>
      <c r="J10" s="291" t="s">
        <v>554</v>
      </c>
      <c r="K10" s="292" t="s">
        <v>557</v>
      </c>
      <c r="L10" s="293">
        <v>177466</v>
      </c>
      <c r="M10" s="293">
        <f t="shared" si="5"/>
        <v>188.64635799999999</v>
      </c>
      <c r="Q10" s="291" t="s">
        <v>554</v>
      </c>
      <c r="R10" s="292" t="s">
        <v>557</v>
      </c>
      <c r="S10" s="293">
        <v>3146433</v>
      </c>
      <c r="T10" s="293">
        <v>354932</v>
      </c>
      <c r="U10" s="293">
        <f t="shared" si="6"/>
        <v>3344.6582789999998</v>
      </c>
      <c r="V10" s="293">
        <f t="shared" si="7"/>
        <v>377.29271599999998</v>
      </c>
      <c r="Z10" s="288" t="s">
        <v>557</v>
      </c>
      <c r="AA10" s="289">
        <v>177466</v>
      </c>
      <c r="AB10" s="289">
        <f t="shared" si="8"/>
        <v>188.64635799999999</v>
      </c>
      <c r="AF10" s="288" t="s">
        <v>557</v>
      </c>
      <c r="AG10" s="289">
        <v>3146433</v>
      </c>
      <c r="AH10" s="289">
        <f t="shared" si="0"/>
        <v>3344.6582789999998</v>
      </c>
      <c r="AI10" s="289">
        <v>532398</v>
      </c>
      <c r="AL10" s="426"/>
      <c r="AN10" s="423" t="s">
        <v>554</v>
      </c>
      <c r="AO10" s="424" t="s">
        <v>557</v>
      </c>
      <c r="AP10" s="425">
        <v>177466</v>
      </c>
      <c r="AQ10" s="425">
        <f t="shared" si="9"/>
        <v>188.64635799999999</v>
      </c>
      <c r="AU10" s="423" t="s">
        <v>554</v>
      </c>
      <c r="AV10" s="424" t="s">
        <v>557</v>
      </c>
      <c r="AW10" s="425">
        <v>3146433</v>
      </c>
      <c r="AX10" s="425">
        <v>709864</v>
      </c>
      <c r="AY10" s="425">
        <v>2436569</v>
      </c>
      <c r="AZ10" s="426">
        <f t="shared" si="10"/>
        <v>3344.6582789999998</v>
      </c>
      <c r="BA10" s="426">
        <f t="shared" si="11"/>
        <v>754.58543199999997</v>
      </c>
      <c r="BB10" s="426">
        <f t="shared" si="12"/>
        <v>2590.0728469999999</v>
      </c>
      <c r="BF10" s="423" t="s">
        <v>554</v>
      </c>
      <c r="BG10" s="424" t="s">
        <v>557</v>
      </c>
      <c r="BH10" s="425">
        <v>177466</v>
      </c>
      <c r="BI10" s="426">
        <f t="shared" si="13"/>
        <v>188.64635799999999</v>
      </c>
      <c r="BM10" s="427" t="s">
        <v>554</v>
      </c>
      <c r="BN10" s="93" t="s">
        <v>557</v>
      </c>
      <c r="BO10" s="94">
        <v>0</v>
      </c>
      <c r="BP10" s="94">
        <v>3146433</v>
      </c>
      <c r="BQ10" s="94">
        <v>887330</v>
      </c>
      <c r="BR10" s="94">
        <v>2259103</v>
      </c>
      <c r="BS10" s="94">
        <v>887330</v>
      </c>
      <c r="BT10" s="426">
        <f t="shared" si="14"/>
        <v>3344.6582789999998</v>
      </c>
      <c r="BU10" s="426">
        <f t="shared" si="15"/>
        <v>943.23179000000005</v>
      </c>
      <c r="BV10" s="426">
        <f t="shared" si="16"/>
        <v>2401.4264889999999</v>
      </c>
      <c r="BW10" s="426">
        <f t="shared" si="17"/>
        <v>943.23179000000005</v>
      </c>
      <c r="CA10" s="93" t="s">
        <v>557</v>
      </c>
      <c r="CB10" s="426">
        <v>177466</v>
      </c>
      <c r="CC10" s="426">
        <f t="shared" si="18"/>
        <v>188.64635799999999</v>
      </c>
      <c r="CG10" s="424" t="s">
        <v>557</v>
      </c>
      <c r="CH10" s="425">
        <v>0</v>
      </c>
      <c r="CI10" s="425">
        <v>3146433</v>
      </c>
      <c r="CJ10" s="425">
        <v>-3146433</v>
      </c>
      <c r="CK10" s="425">
        <v>1064796</v>
      </c>
      <c r="CL10" s="425">
        <v>2081637</v>
      </c>
      <c r="CM10" s="425">
        <v>1064796</v>
      </c>
      <c r="CN10" s="425">
        <f t="shared" si="19"/>
        <v>3344.6582789999998</v>
      </c>
      <c r="CO10" s="425">
        <f t="shared" si="20"/>
        <v>1131.878148</v>
      </c>
      <c r="CP10" s="425">
        <f t="shared" si="21"/>
        <v>2212.780131</v>
      </c>
      <c r="CQ10" s="425">
        <f t="shared" si="22"/>
        <v>1131.878148</v>
      </c>
      <c r="CU10" s="424" t="s">
        <v>557</v>
      </c>
      <c r="CV10" s="425">
        <v>177466</v>
      </c>
      <c r="CW10" s="425">
        <v>177466</v>
      </c>
      <c r="CX10" s="426">
        <f t="shared" si="23"/>
        <v>188.64635799999999</v>
      </c>
      <c r="CY10" s="426">
        <f t="shared" si="24"/>
        <v>188.64635799999999</v>
      </c>
      <c r="DB10" s="568" t="s">
        <v>557</v>
      </c>
      <c r="DC10" s="569">
        <v>3146433</v>
      </c>
      <c r="DD10" s="569">
        <v>1242262</v>
      </c>
      <c r="DE10" s="569">
        <v>1904171</v>
      </c>
      <c r="DF10" s="569">
        <v>1242262</v>
      </c>
      <c r="DG10" s="570">
        <f t="shared" si="25"/>
        <v>3344.6582789999998</v>
      </c>
      <c r="DH10" s="570">
        <f t="shared" si="26"/>
        <v>1320.524506</v>
      </c>
      <c r="DI10" s="570">
        <f t="shared" si="27"/>
        <v>2024.133773</v>
      </c>
      <c r="DJ10" s="570">
        <f t="shared" si="28"/>
        <v>1320.524506</v>
      </c>
      <c r="DN10" s="93" t="s">
        <v>557</v>
      </c>
      <c r="DO10" s="93">
        <v>177466</v>
      </c>
      <c r="DP10" s="93">
        <v>177466</v>
      </c>
      <c r="DQ10" s="626">
        <f t="shared" si="29"/>
        <v>188.64635799999999</v>
      </c>
      <c r="DR10" s="626">
        <f t="shared" si="30"/>
        <v>188.64635799999999</v>
      </c>
      <c r="DV10" s="93" t="s">
        <v>557</v>
      </c>
      <c r="DW10" s="94">
        <v>3146433</v>
      </c>
      <c r="DX10" s="94">
        <v>1419728</v>
      </c>
      <c r="DY10" s="94">
        <v>1726705</v>
      </c>
      <c r="DZ10" s="94">
        <v>1419728</v>
      </c>
      <c r="EA10" s="94">
        <f t="shared" si="58"/>
        <v>3344.6582789999998</v>
      </c>
      <c r="EB10" s="94">
        <f t="shared" si="31"/>
        <v>1509.1708639999999</v>
      </c>
      <c r="EC10" s="94">
        <f t="shared" si="32"/>
        <v>1835.4874149999998</v>
      </c>
      <c r="ED10" s="94">
        <f t="shared" si="33"/>
        <v>1509.1708639999999</v>
      </c>
      <c r="EH10" s="420" t="s">
        <v>557</v>
      </c>
      <c r="EI10" s="420">
        <v>177466</v>
      </c>
      <c r="EJ10" s="426">
        <f t="shared" si="34"/>
        <v>188.64635799999999</v>
      </c>
      <c r="EN10" s="420" t="s">
        <v>557</v>
      </c>
      <c r="EO10" s="426">
        <v>3146433</v>
      </c>
      <c r="EP10" s="426">
        <v>1597194</v>
      </c>
      <c r="EQ10" s="426">
        <v>1549239</v>
      </c>
      <c r="ER10" s="426">
        <v>1597194</v>
      </c>
      <c r="ES10" s="700">
        <f t="shared" si="35"/>
        <v>3344.6582789999998</v>
      </c>
      <c r="ET10" s="700">
        <f t="shared" si="36"/>
        <v>1697.8172219999999</v>
      </c>
      <c r="EU10" s="700">
        <f t="shared" si="37"/>
        <v>1646.8410569999999</v>
      </c>
      <c r="EV10" s="700">
        <f t="shared" si="38"/>
        <v>1697.8172219999999</v>
      </c>
      <c r="EZ10" s="730" t="s">
        <v>554</v>
      </c>
      <c r="FA10" s="731" t="s">
        <v>557</v>
      </c>
      <c r="FB10" s="420">
        <v>177466</v>
      </c>
      <c r="FC10" s="426">
        <f t="shared" si="39"/>
        <v>177.46600000000001</v>
      </c>
      <c r="FG10" s="735" t="s">
        <v>554</v>
      </c>
      <c r="FH10" s="734" t="s">
        <v>557</v>
      </c>
      <c r="FI10" s="732">
        <v>3146433</v>
      </c>
      <c r="FJ10" s="733">
        <v>1774660</v>
      </c>
      <c r="FK10" s="733">
        <v>1371773</v>
      </c>
      <c r="FL10" s="733">
        <v>1774660</v>
      </c>
      <c r="FM10" s="426">
        <f t="shared" si="40"/>
        <v>3146.433</v>
      </c>
      <c r="FN10" s="426">
        <f t="shared" si="41"/>
        <v>1774.66</v>
      </c>
      <c r="FO10" s="426">
        <f t="shared" si="42"/>
        <v>1371.7729999999999</v>
      </c>
      <c r="FP10" s="426">
        <f t="shared" si="43"/>
        <v>1774.66</v>
      </c>
      <c r="FT10" s="427" t="s">
        <v>554</v>
      </c>
      <c r="FU10" s="93" t="s">
        <v>557</v>
      </c>
      <c r="FV10" s="94">
        <v>0</v>
      </c>
      <c r="FW10" s="94">
        <v>177466</v>
      </c>
      <c r="FX10" s="94">
        <v>177466</v>
      </c>
      <c r="FY10" s="426">
        <f t="shared" si="44"/>
        <v>0</v>
      </c>
      <c r="FZ10" s="426">
        <f t="shared" si="45"/>
        <v>177.46600000000001</v>
      </c>
      <c r="GA10" s="426">
        <f t="shared" si="46"/>
        <v>177.46600000000001</v>
      </c>
      <c r="GG10" s="762" t="s">
        <v>554</v>
      </c>
      <c r="GH10" s="763" t="s">
        <v>557</v>
      </c>
      <c r="GI10" s="764">
        <v>3146433</v>
      </c>
      <c r="GJ10" s="764">
        <v>1952126</v>
      </c>
      <c r="GK10" s="764">
        <v>1194307</v>
      </c>
      <c r="GL10" s="764">
        <v>1952126</v>
      </c>
      <c r="GM10" s="764">
        <v>0</v>
      </c>
      <c r="GN10" s="426">
        <f t="shared" si="47"/>
        <v>3146.433</v>
      </c>
      <c r="GO10" s="426">
        <f t="shared" si="48"/>
        <v>1952.126</v>
      </c>
      <c r="GP10" s="426">
        <f t="shared" si="49"/>
        <v>1194.307</v>
      </c>
      <c r="GQ10" s="426">
        <f t="shared" si="50"/>
        <v>1952.126</v>
      </c>
      <c r="GR10" s="426">
        <f t="shared" si="51"/>
        <v>0</v>
      </c>
      <c r="GV10" s="780" t="s">
        <v>557</v>
      </c>
      <c r="GW10" s="779">
        <v>177466</v>
      </c>
      <c r="GX10" s="426">
        <f t="shared" si="52"/>
        <v>177.46600000000001</v>
      </c>
      <c r="HB10" s="782" t="s">
        <v>557</v>
      </c>
      <c r="HC10" s="764">
        <v>3146433</v>
      </c>
      <c r="HD10" s="764">
        <v>2129592</v>
      </c>
      <c r="HE10" s="764">
        <v>1016841</v>
      </c>
      <c r="HF10" s="764">
        <v>2129592</v>
      </c>
      <c r="HG10" s="426">
        <f t="shared" si="53"/>
        <v>3146.433</v>
      </c>
      <c r="HH10" s="426">
        <f t="shared" si="54"/>
        <v>1016.841</v>
      </c>
      <c r="HI10" s="426">
        <f t="shared" si="55"/>
        <v>2129.5920000000001</v>
      </c>
      <c r="HJ10" s="426">
        <f t="shared" si="56"/>
        <v>1016.841</v>
      </c>
      <c r="HK10" s="426">
        <f t="shared" si="57"/>
        <v>2129.5920000000001</v>
      </c>
    </row>
    <row r="11" spans="1:221" ht="15" customHeight="1" x14ac:dyDescent="0.3">
      <c r="A11" s="287" t="s">
        <v>554</v>
      </c>
      <c r="B11" s="288" t="s">
        <v>558</v>
      </c>
      <c r="C11" s="289">
        <v>54907097</v>
      </c>
      <c r="D11" s="290">
        <f t="shared" si="3"/>
        <v>58366.244111</v>
      </c>
      <c r="E11" s="289">
        <v>3675880</v>
      </c>
      <c r="F11" s="289">
        <f t="shared" si="4"/>
        <v>3907.4604399999998</v>
      </c>
      <c r="J11" s="291" t="s">
        <v>554</v>
      </c>
      <c r="K11" s="292" t="s">
        <v>558</v>
      </c>
      <c r="L11" s="293">
        <v>3675880</v>
      </c>
      <c r="M11" s="293">
        <f t="shared" si="5"/>
        <v>3907.4604399999998</v>
      </c>
      <c r="Q11" s="291" t="s">
        <v>554</v>
      </c>
      <c r="R11" s="292" t="s">
        <v>558</v>
      </c>
      <c r="S11" s="293">
        <v>54907097</v>
      </c>
      <c r="T11" s="293">
        <v>7351760</v>
      </c>
      <c r="U11" s="293">
        <f t="shared" si="6"/>
        <v>58366.244111</v>
      </c>
      <c r="V11" s="293">
        <f t="shared" si="7"/>
        <v>7814.9208799999997</v>
      </c>
      <c r="Z11" s="288" t="s">
        <v>558</v>
      </c>
      <c r="AA11" s="289">
        <v>5135582</v>
      </c>
      <c r="AB11" s="289">
        <f t="shared" si="8"/>
        <v>5459.1236660000004</v>
      </c>
      <c r="AF11" s="288" t="s">
        <v>558</v>
      </c>
      <c r="AG11" s="289">
        <v>54907097</v>
      </c>
      <c r="AH11" s="289">
        <f t="shared" si="0"/>
        <v>58366.244111</v>
      </c>
      <c r="AI11" s="289">
        <v>12487342</v>
      </c>
      <c r="AL11" s="426"/>
      <c r="AN11" s="423" t="s">
        <v>554</v>
      </c>
      <c r="AO11" s="424" t="s">
        <v>558</v>
      </c>
      <c r="AP11" s="425">
        <v>3675880</v>
      </c>
      <c r="AQ11" s="425">
        <f t="shared" si="9"/>
        <v>3907.4604399999998</v>
      </c>
      <c r="AU11" s="423" t="s">
        <v>554</v>
      </c>
      <c r="AV11" s="424" t="s">
        <v>558</v>
      </c>
      <c r="AW11" s="425">
        <v>54907097</v>
      </c>
      <c r="AX11" s="425">
        <v>16163222</v>
      </c>
      <c r="AY11" s="425">
        <v>38743875</v>
      </c>
      <c r="AZ11" s="426">
        <f t="shared" si="10"/>
        <v>58366.244111</v>
      </c>
      <c r="BA11" s="426">
        <f t="shared" si="11"/>
        <v>17181.504986</v>
      </c>
      <c r="BB11" s="426">
        <f t="shared" si="12"/>
        <v>41184.739125</v>
      </c>
      <c r="BF11" s="423" t="s">
        <v>554</v>
      </c>
      <c r="BG11" s="424" t="s">
        <v>558</v>
      </c>
      <c r="BH11" s="425">
        <v>3675880</v>
      </c>
      <c r="BI11" s="426">
        <f t="shared" si="13"/>
        <v>3907.4604399999998</v>
      </c>
      <c r="BM11" s="427" t="s">
        <v>554</v>
      </c>
      <c r="BN11" s="93" t="s">
        <v>558</v>
      </c>
      <c r="BO11" s="94">
        <v>0</v>
      </c>
      <c r="BP11" s="94">
        <v>54907097</v>
      </c>
      <c r="BQ11" s="94">
        <v>19839102</v>
      </c>
      <c r="BR11" s="94">
        <v>35067995</v>
      </c>
      <c r="BS11" s="94">
        <v>19839102</v>
      </c>
      <c r="BT11" s="426">
        <f t="shared" si="14"/>
        <v>58366.244111</v>
      </c>
      <c r="BU11" s="426">
        <f t="shared" si="15"/>
        <v>21088.965425999999</v>
      </c>
      <c r="BV11" s="426">
        <f t="shared" si="16"/>
        <v>37277.278684999997</v>
      </c>
      <c r="BW11" s="426">
        <f t="shared" si="17"/>
        <v>21088.965425999999</v>
      </c>
      <c r="CA11" s="93" t="s">
        <v>558</v>
      </c>
      <c r="CB11" s="426">
        <v>5318044</v>
      </c>
      <c r="CC11" s="426">
        <f t="shared" si="18"/>
        <v>5653.0807719999993</v>
      </c>
      <c r="CG11" s="424" t="s">
        <v>558</v>
      </c>
      <c r="CH11" s="425">
        <v>0</v>
      </c>
      <c r="CI11" s="425">
        <v>54907097</v>
      </c>
      <c r="CJ11" s="425">
        <v>-54907097</v>
      </c>
      <c r="CK11" s="425">
        <v>25157146</v>
      </c>
      <c r="CL11" s="425">
        <v>29749951</v>
      </c>
      <c r="CM11" s="425">
        <v>25157146</v>
      </c>
      <c r="CN11" s="425">
        <f t="shared" si="19"/>
        <v>58366.244111</v>
      </c>
      <c r="CO11" s="425">
        <f t="shared" si="20"/>
        <v>26742.046198</v>
      </c>
      <c r="CP11" s="425">
        <f t="shared" si="21"/>
        <v>31624.197913</v>
      </c>
      <c r="CQ11" s="425">
        <f t="shared" si="22"/>
        <v>26742.046198</v>
      </c>
      <c r="CU11" s="424" t="s">
        <v>558</v>
      </c>
      <c r="CV11" s="425">
        <v>3675880</v>
      </c>
      <c r="CW11" s="425">
        <v>3675880</v>
      </c>
      <c r="CX11" s="426">
        <f t="shared" si="23"/>
        <v>3907.4604399999998</v>
      </c>
      <c r="CY11" s="426">
        <f t="shared" si="24"/>
        <v>3907.4604399999998</v>
      </c>
      <c r="DB11" s="568" t="s">
        <v>558</v>
      </c>
      <c r="DC11" s="569">
        <v>54907097</v>
      </c>
      <c r="DD11" s="569">
        <v>28833026</v>
      </c>
      <c r="DE11" s="569">
        <v>26074071</v>
      </c>
      <c r="DF11" s="569">
        <v>28833026</v>
      </c>
      <c r="DG11" s="570">
        <f t="shared" si="25"/>
        <v>58366.244111</v>
      </c>
      <c r="DH11" s="570">
        <f t="shared" si="26"/>
        <v>30649.506637999999</v>
      </c>
      <c r="DI11" s="570">
        <f t="shared" si="27"/>
        <v>27716.737472999997</v>
      </c>
      <c r="DJ11" s="570">
        <f t="shared" si="28"/>
        <v>30649.506637999999</v>
      </c>
      <c r="DN11" s="93" t="s">
        <v>558</v>
      </c>
      <c r="DO11" s="93">
        <v>3675880</v>
      </c>
      <c r="DP11" s="93">
        <v>3675880</v>
      </c>
      <c r="DQ11" s="626">
        <f t="shared" si="29"/>
        <v>3907.4604399999998</v>
      </c>
      <c r="DR11" s="626">
        <f t="shared" si="30"/>
        <v>3907.4604399999998</v>
      </c>
      <c r="DV11" s="93" t="s">
        <v>558</v>
      </c>
      <c r="DW11" s="94">
        <v>54907097</v>
      </c>
      <c r="DX11" s="94">
        <v>32508906</v>
      </c>
      <c r="DY11" s="94">
        <v>22398191</v>
      </c>
      <c r="DZ11" s="94">
        <v>32508906</v>
      </c>
      <c r="EA11" s="94">
        <f t="shared" si="58"/>
        <v>58366.244111</v>
      </c>
      <c r="EB11" s="94">
        <f t="shared" si="31"/>
        <v>34556.967077999994</v>
      </c>
      <c r="EC11" s="94">
        <f t="shared" si="32"/>
        <v>23809.277032999998</v>
      </c>
      <c r="ED11" s="94">
        <f t="shared" si="33"/>
        <v>34556.967077999994</v>
      </c>
      <c r="EH11" s="420" t="s">
        <v>558</v>
      </c>
      <c r="EI11" s="420">
        <v>5172073</v>
      </c>
      <c r="EJ11" s="426">
        <f t="shared" si="34"/>
        <v>5497.9135990000004</v>
      </c>
      <c r="EN11" s="420" t="s">
        <v>558</v>
      </c>
      <c r="EO11" s="426">
        <v>54907097</v>
      </c>
      <c r="EP11" s="426">
        <v>37680979</v>
      </c>
      <c r="EQ11" s="426">
        <v>17226118</v>
      </c>
      <c r="ER11" s="426">
        <v>37680979</v>
      </c>
      <c r="ES11" s="700">
        <f t="shared" si="35"/>
        <v>58366.244111</v>
      </c>
      <c r="ET11" s="700">
        <f t="shared" si="36"/>
        <v>40054.880676999994</v>
      </c>
      <c r="EU11" s="700">
        <f t="shared" si="37"/>
        <v>18311.363433999999</v>
      </c>
      <c r="EV11" s="700">
        <f t="shared" si="38"/>
        <v>40054.880676999994</v>
      </c>
      <c r="EZ11" s="730" t="s">
        <v>554</v>
      </c>
      <c r="FA11" s="731" t="s">
        <v>558</v>
      </c>
      <c r="FB11" s="420">
        <v>3675880</v>
      </c>
      <c r="FC11" s="426">
        <f t="shared" si="39"/>
        <v>3675.88</v>
      </c>
      <c r="FG11" s="735" t="s">
        <v>554</v>
      </c>
      <c r="FH11" s="734" t="s">
        <v>558</v>
      </c>
      <c r="FI11" s="732">
        <v>54907097</v>
      </c>
      <c r="FJ11" s="733">
        <v>41356859</v>
      </c>
      <c r="FK11" s="733">
        <v>13550238</v>
      </c>
      <c r="FL11" s="733">
        <v>41356859</v>
      </c>
      <c r="FM11" s="426">
        <f t="shared" si="40"/>
        <v>54907.097000000002</v>
      </c>
      <c r="FN11" s="426">
        <f t="shared" si="41"/>
        <v>41356.858999999997</v>
      </c>
      <c r="FO11" s="426">
        <f t="shared" si="42"/>
        <v>13550.237999999999</v>
      </c>
      <c r="FP11" s="426">
        <f t="shared" si="43"/>
        <v>41356.858999999997</v>
      </c>
      <c r="FT11" s="427" t="s">
        <v>554</v>
      </c>
      <c r="FU11" s="93" t="s">
        <v>558</v>
      </c>
      <c r="FV11" s="94">
        <v>0</v>
      </c>
      <c r="FW11" s="94">
        <v>3675880</v>
      </c>
      <c r="FX11" s="94">
        <v>3675880</v>
      </c>
      <c r="FY11" s="426">
        <f t="shared" si="44"/>
        <v>0</v>
      </c>
      <c r="FZ11" s="426">
        <f t="shared" si="45"/>
        <v>3675.88</v>
      </c>
      <c r="GA11" s="426">
        <f t="shared" si="46"/>
        <v>3675.88</v>
      </c>
      <c r="GG11" s="762" t="s">
        <v>554</v>
      </c>
      <c r="GH11" s="763" t="s">
        <v>558</v>
      </c>
      <c r="GI11" s="764">
        <v>54907097</v>
      </c>
      <c r="GJ11" s="764">
        <v>45032739</v>
      </c>
      <c r="GK11" s="764">
        <v>9874358</v>
      </c>
      <c r="GL11" s="764">
        <v>45032739</v>
      </c>
      <c r="GM11" s="764">
        <v>0</v>
      </c>
      <c r="GN11" s="426">
        <f t="shared" si="47"/>
        <v>54907.097000000002</v>
      </c>
      <c r="GO11" s="426">
        <f t="shared" si="48"/>
        <v>45032.739000000001</v>
      </c>
      <c r="GP11" s="426">
        <f t="shared" si="49"/>
        <v>9874.3580000000002</v>
      </c>
      <c r="GQ11" s="426">
        <f t="shared" si="50"/>
        <v>45032.739000000001</v>
      </c>
      <c r="GR11" s="426">
        <f t="shared" si="51"/>
        <v>0</v>
      </c>
      <c r="GV11" s="780" t="s">
        <v>558</v>
      </c>
      <c r="GW11" s="779">
        <v>5318044</v>
      </c>
      <c r="GX11" s="426">
        <f t="shared" si="52"/>
        <v>5318.0439999999999</v>
      </c>
      <c r="HB11" s="782" t="s">
        <v>558</v>
      </c>
      <c r="HC11" s="764">
        <v>54907097</v>
      </c>
      <c r="HD11" s="764">
        <v>50350783</v>
      </c>
      <c r="HE11" s="764">
        <v>4556314</v>
      </c>
      <c r="HF11" s="764">
        <v>50350783</v>
      </c>
      <c r="HG11" s="426">
        <f t="shared" si="53"/>
        <v>54907.097000000002</v>
      </c>
      <c r="HH11" s="426">
        <f t="shared" si="54"/>
        <v>4556.3140000000003</v>
      </c>
      <c r="HI11" s="426">
        <f t="shared" si="55"/>
        <v>50350.783000000003</v>
      </c>
      <c r="HJ11" s="426">
        <f t="shared" si="56"/>
        <v>4556.3140000000003</v>
      </c>
      <c r="HK11" s="426">
        <f t="shared" si="57"/>
        <v>50350.783000000003</v>
      </c>
    </row>
    <row r="12" spans="1:221" ht="15" customHeight="1" x14ac:dyDescent="0.3">
      <c r="A12" s="287" t="s">
        <v>554</v>
      </c>
      <c r="B12" s="288" t="s">
        <v>559</v>
      </c>
      <c r="C12" s="289">
        <v>81835440</v>
      </c>
      <c r="D12" s="290">
        <f t="shared" si="3"/>
        <v>86991.072719999996</v>
      </c>
      <c r="E12" s="289">
        <v>6347389</v>
      </c>
      <c r="F12" s="289">
        <f t="shared" si="4"/>
        <v>6747.2745070000001</v>
      </c>
      <c r="J12" s="291" t="s">
        <v>554</v>
      </c>
      <c r="K12" s="292" t="s">
        <v>559</v>
      </c>
      <c r="L12" s="293">
        <v>6347389</v>
      </c>
      <c r="M12" s="293">
        <f t="shared" si="5"/>
        <v>6747.2745070000001</v>
      </c>
      <c r="Q12" s="291" t="s">
        <v>554</v>
      </c>
      <c r="R12" s="292" t="s">
        <v>559</v>
      </c>
      <c r="S12" s="293">
        <v>81835440</v>
      </c>
      <c r="T12" s="293">
        <v>12694778</v>
      </c>
      <c r="U12" s="293">
        <f t="shared" si="6"/>
        <v>86991.072719999996</v>
      </c>
      <c r="V12" s="293">
        <f t="shared" si="7"/>
        <v>13494.549014</v>
      </c>
      <c r="Z12" s="288" t="s">
        <v>559</v>
      </c>
      <c r="AA12" s="289">
        <v>6923147</v>
      </c>
      <c r="AB12" s="289">
        <f t="shared" si="8"/>
        <v>7359.3052609999995</v>
      </c>
      <c r="AF12" s="288" t="s">
        <v>559</v>
      </c>
      <c r="AG12" s="289">
        <v>81835440</v>
      </c>
      <c r="AH12" s="289">
        <f t="shared" si="0"/>
        <v>86991.072719999996</v>
      </c>
      <c r="AI12" s="289">
        <v>19617925</v>
      </c>
      <c r="AL12" s="426"/>
      <c r="AN12" s="423" t="s">
        <v>554</v>
      </c>
      <c r="AO12" s="424" t="s">
        <v>559</v>
      </c>
      <c r="AP12" s="425">
        <v>5995113</v>
      </c>
      <c r="AQ12" s="425">
        <f t="shared" si="9"/>
        <v>6372.8051189999996</v>
      </c>
      <c r="AU12" s="423" t="s">
        <v>554</v>
      </c>
      <c r="AV12" s="424" t="s">
        <v>559</v>
      </c>
      <c r="AW12" s="425">
        <v>81835440</v>
      </c>
      <c r="AX12" s="425">
        <v>25613038</v>
      </c>
      <c r="AY12" s="425">
        <v>56222402</v>
      </c>
      <c r="AZ12" s="426">
        <f t="shared" si="10"/>
        <v>86991.072719999996</v>
      </c>
      <c r="BA12" s="426">
        <f t="shared" si="11"/>
        <v>27226.659393999998</v>
      </c>
      <c r="BB12" s="426">
        <f t="shared" si="12"/>
        <v>59764.413326000002</v>
      </c>
      <c r="BF12" s="423" t="s">
        <v>554</v>
      </c>
      <c r="BG12" s="424" t="s">
        <v>559</v>
      </c>
      <c r="BH12" s="425">
        <v>5995113</v>
      </c>
      <c r="BI12" s="426">
        <f t="shared" si="13"/>
        <v>6372.8051189999996</v>
      </c>
      <c r="BM12" s="427" t="s">
        <v>554</v>
      </c>
      <c r="BN12" s="93" t="s">
        <v>559</v>
      </c>
      <c r="BO12" s="94">
        <v>0</v>
      </c>
      <c r="BP12" s="94">
        <v>81835440</v>
      </c>
      <c r="BQ12" s="94">
        <v>31608151</v>
      </c>
      <c r="BR12" s="94">
        <v>50227289</v>
      </c>
      <c r="BS12" s="94">
        <v>31608151</v>
      </c>
      <c r="BT12" s="426">
        <f t="shared" si="14"/>
        <v>86991.072719999996</v>
      </c>
      <c r="BU12" s="426">
        <f t="shared" si="15"/>
        <v>33599.464512999999</v>
      </c>
      <c r="BV12" s="426">
        <f t="shared" si="16"/>
        <v>53391.608206999997</v>
      </c>
      <c r="BW12" s="426">
        <f t="shared" si="17"/>
        <v>33599.464512999999</v>
      </c>
      <c r="CA12" s="93" t="s">
        <v>559</v>
      </c>
      <c r="CB12" s="426">
        <v>7087343</v>
      </c>
      <c r="CC12" s="426">
        <f t="shared" si="18"/>
        <v>7533.8456089999991</v>
      </c>
      <c r="CG12" s="424" t="s">
        <v>559</v>
      </c>
      <c r="CH12" s="425">
        <v>0</v>
      </c>
      <c r="CI12" s="425">
        <v>81835440</v>
      </c>
      <c r="CJ12" s="425">
        <v>-81835440</v>
      </c>
      <c r="CK12" s="425">
        <v>38695494</v>
      </c>
      <c r="CL12" s="425">
        <v>43139946</v>
      </c>
      <c r="CM12" s="425">
        <v>38695494</v>
      </c>
      <c r="CN12" s="425">
        <f t="shared" si="19"/>
        <v>86991.072719999996</v>
      </c>
      <c r="CO12" s="425">
        <f t="shared" si="20"/>
        <v>41133.310121999995</v>
      </c>
      <c r="CP12" s="425">
        <f t="shared" si="21"/>
        <v>45857.762598000001</v>
      </c>
      <c r="CQ12" s="425">
        <f t="shared" si="22"/>
        <v>41133.310121999995</v>
      </c>
      <c r="CU12" s="424" t="s">
        <v>559</v>
      </c>
      <c r="CV12" s="425">
        <v>6308881</v>
      </c>
      <c r="CW12" s="425">
        <v>6308881</v>
      </c>
      <c r="CX12" s="426">
        <f t="shared" si="23"/>
        <v>6706.3405030000004</v>
      </c>
      <c r="CY12" s="426">
        <f t="shared" si="24"/>
        <v>6706.3405030000004</v>
      </c>
      <c r="DB12" s="568" t="s">
        <v>559</v>
      </c>
      <c r="DC12" s="569">
        <v>81835440</v>
      </c>
      <c r="DD12" s="569">
        <v>45004375</v>
      </c>
      <c r="DE12" s="569">
        <v>36831065</v>
      </c>
      <c r="DF12" s="569">
        <v>45004375</v>
      </c>
      <c r="DG12" s="570">
        <f t="shared" si="25"/>
        <v>86991.072719999996</v>
      </c>
      <c r="DH12" s="570">
        <f t="shared" si="26"/>
        <v>47839.650624999995</v>
      </c>
      <c r="DI12" s="570">
        <f t="shared" si="27"/>
        <v>39151.422095000002</v>
      </c>
      <c r="DJ12" s="570">
        <f t="shared" si="28"/>
        <v>47839.650624999995</v>
      </c>
      <c r="DN12" s="93" t="s">
        <v>559</v>
      </c>
      <c r="DO12" s="93">
        <v>6318559</v>
      </c>
      <c r="DP12" s="93">
        <v>6318559</v>
      </c>
      <c r="DQ12" s="626">
        <f t="shared" si="29"/>
        <v>6716.6282169999995</v>
      </c>
      <c r="DR12" s="626">
        <f t="shared" si="30"/>
        <v>6716.6282169999995</v>
      </c>
      <c r="DV12" s="93" t="s">
        <v>559</v>
      </c>
      <c r="DW12" s="94">
        <v>81835440</v>
      </c>
      <c r="DX12" s="94">
        <v>51322934</v>
      </c>
      <c r="DY12" s="94">
        <v>30512506</v>
      </c>
      <c r="DZ12" s="94">
        <v>51322934</v>
      </c>
      <c r="EA12" s="94">
        <f t="shared" si="58"/>
        <v>86991.072719999996</v>
      </c>
      <c r="EB12" s="94">
        <f t="shared" si="31"/>
        <v>54556.278842</v>
      </c>
      <c r="EC12" s="94">
        <f t="shared" si="32"/>
        <v>32434.793878</v>
      </c>
      <c r="ED12" s="94">
        <f t="shared" si="33"/>
        <v>54556.278842</v>
      </c>
      <c r="EH12" s="420" t="s">
        <v>559</v>
      </c>
      <c r="EI12" s="420">
        <v>6938890</v>
      </c>
      <c r="EJ12" s="426">
        <f t="shared" si="34"/>
        <v>7376.04007</v>
      </c>
      <c r="EN12" s="420" t="s">
        <v>559</v>
      </c>
      <c r="EO12" s="426">
        <v>81835440</v>
      </c>
      <c r="EP12" s="426">
        <v>58261824</v>
      </c>
      <c r="EQ12" s="426">
        <v>23573616</v>
      </c>
      <c r="ER12" s="426">
        <v>58261824</v>
      </c>
      <c r="ES12" s="700">
        <f t="shared" si="35"/>
        <v>86991.072719999996</v>
      </c>
      <c r="ET12" s="700">
        <f t="shared" si="36"/>
        <v>61932.318911999995</v>
      </c>
      <c r="EU12" s="700">
        <f t="shared" si="37"/>
        <v>25058.753808000001</v>
      </c>
      <c r="EV12" s="700">
        <f t="shared" si="38"/>
        <v>61932.318911999995</v>
      </c>
      <c r="EZ12" s="730" t="s">
        <v>554</v>
      </c>
      <c r="FA12" s="731" t="s">
        <v>559</v>
      </c>
      <c r="FB12" s="420">
        <v>6435018</v>
      </c>
      <c r="FC12" s="426">
        <f t="shared" si="39"/>
        <v>6435.018</v>
      </c>
      <c r="FG12" s="735" t="s">
        <v>554</v>
      </c>
      <c r="FH12" s="734" t="s">
        <v>559</v>
      </c>
      <c r="FI12" s="732">
        <v>81835440</v>
      </c>
      <c r="FJ12" s="733">
        <v>64696842</v>
      </c>
      <c r="FK12" s="733">
        <v>17138598</v>
      </c>
      <c r="FL12" s="733">
        <v>64696842</v>
      </c>
      <c r="FM12" s="426">
        <f t="shared" si="40"/>
        <v>81835.44</v>
      </c>
      <c r="FN12" s="426">
        <f t="shared" si="41"/>
        <v>64696.841999999997</v>
      </c>
      <c r="FO12" s="426">
        <f t="shared" si="42"/>
        <v>17138.598000000002</v>
      </c>
      <c r="FP12" s="426">
        <f t="shared" si="43"/>
        <v>64696.841999999997</v>
      </c>
      <c r="FT12" s="427" t="s">
        <v>554</v>
      </c>
      <c r="FU12" s="93" t="s">
        <v>559</v>
      </c>
      <c r="FV12" s="94">
        <v>0</v>
      </c>
      <c r="FW12" s="94">
        <v>6448500</v>
      </c>
      <c r="FX12" s="94">
        <v>6448500</v>
      </c>
      <c r="FY12" s="426">
        <f t="shared" si="44"/>
        <v>0</v>
      </c>
      <c r="FZ12" s="426">
        <f t="shared" si="45"/>
        <v>6448.5</v>
      </c>
      <c r="GA12" s="426">
        <f t="shared" si="46"/>
        <v>6448.5</v>
      </c>
      <c r="GG12" s="762" t="s">
        <v>554</v>
      </c>
      <c r="GH12" s="763" t="s">
        <v>559</v>
      </c>
      <c r="GI12" s="764">
        <v>81835440</v>
      </c>
      <c r="GJ12" s="764">
        <v>71145342</v>
      </c>
      <c r="GK12" s="764">
        <v>10690098</v>
      </c>
      <c r="GL12" s="764">
        <v>71145342</v>
      </c>
      <c r="GM12" s="764">
        <v>0</v>
      </c>
      <c r="GN12" s="426">
        <f t="shared" si="47"/>
        <v>81835.44</v>
      </c>
      <c r="GO12" s="426">
        <f t="shared" si="48"/>
        <v>71145.342000000004</v>
      </c>
      <c r="GP12" s="426">
        <f t="shared" si="49"/>
        <v>10690.098</v>
      </c>
      <c r="GQ12" s="426">
        <f t="shared" si="50"/>
        <v>71145.342000000004</v>
      </c>
      <c r="GR12" s="426">
        <f t="shared" si="51"/>
        <v>0</v>
      </c>
      <c r="GV12" s="780" t="s">
        <v>559</v>
      </c>
      <c r="GW12" s="779">
        <v>7451358</v>
      </c>
      <c r="GX12" s="426">
        <f t="shared" si="52"/>
        <v>7451.3580000000002</v>
      </c>
      <c r="HB12" s="782" t="s">
        <v>559</v>
      </c>
      <c r="HC12" s="764">
        <v>81835440</v>
      </c>
      <c r="HD12" s="764">
        <v>78596700</v>
      </c>
      <c r="HE12" s="764">
        <v>3238740</v>
      </c>
      <c r="HF12" s="764">
        <v>78596700</v>
      </c>
      <c r="HG12" s="426">
        <f t="shared" si="53"/>
        <v>81835.44</v>
      </c>
      <c r="HH12" s="426">
        <f t="shared" si="54"/>
        <v>3238.74</v>
      </c>
      <c r="HI12" s="426">
        <f t="shared" si="55"/>
        <v>78596.7</v>
      </c>
      <c r="HJ12" s="426">
        <f t="shared" si="56"/>
        <v>3238.74</v>
      </c>
      <c r="HK12" s="426">
        <f t="shared" si="57"/>
        <v>78596.7</v>
      </c>
    </row>
    <row r="13" spans="1:221" ht="15" customHeight="1" x14ac:dyDescent="0.3">
      <c r="A13" s="287" t="s">
        <v>554</v>
      </c>
      <c r="B13" s="288" t="s">
        <v>560</v>
      </c>
      <c r="C13" s="289">
        <v>203469316</v>
      </c>
      <c r="D13" s="290">
        <f t="shared" si="3"/>
        <v>216287.88290799997</v>
      </c>
      <c r="E13" s="289">
        <v>16152170</v>
      </c>
      <c r="F13" s="289">
        <f t="shared" si="4"/>
        <v>17169.756709999998</v>
      </c>
      <c r="J13" s="291" t="s">
        <v>554</v>
      </c>
      <c r="K13" s="292" t="s">
        <v>560</v>
      </c>
      <c r="L13" s="293">
        <v>16152170</v>
      </c>
      <c r="M13" s="293">
        <f t="shared" si="5"/>
        <v>17169.756709999998</v>
      </c>
      <c r="Q13" s="291" t="s">
        <v>554</v>
      </c>
      <c r="R13" s="292" t="s">
        <v>560</v>
      </c>
      <c r="S13" s="293">
        <v>203469316</v>
      </c>
      <c r="T13" s="293">
        <v>32304340</v>
      </c>
      <c r="U13" s="293">
        <f t="shared" si="6"/>
        <v>216287.88290799997</v>
      </c>
      <c r="V13" s="293">
        <f t="shared" si="7"/>
        <v>34339.513419999996</v>
      </c>
      <c r="Z13" s="288" t="s">
        <v>560</v>
      </c>
      <c r="AA13" s="289">
        <v>15533551</v>
      </c>
      <c r="AB13" s="289">
        <f t="shared" si="8"/>
        <v>16512.164712999998</v>
      </c>
      <c r="AF13" s="288" t="s">
        <v>560</v>
      </c>
      <c r="AG13" s="289">
        <v>203469316</v>
      </c>
      <c r="AH13" s="289">
        <f t="shared" si="0"/>
        <v>216287.88290799997</v>
      </c>
      <c r="AI13" s="289">
        <v>47837891</v>
      </c>
      <c r="AL13" s="426"/>
      <c r="AN13" s="423" t="s">
        <v>554</v>
      </c>
      <c r="AO13" s="424" t="s">
        <v>560</v>
      </c>
      <c r="AP13" s="425">
        <v>15224242</v>
      </c>
      <c r="AQ13" s="425">
        <f t="shared" si="9"/>
        <v>16183.369246</v>
      </c>
      <c r="AU13" s="423" t="s">
        <v>554</v>
      </c>
      <c r="AV13" s="424" t="s">
        <v>560</v>
      </c>
      <c r="AW13" s="425">
        <v>203469316</v>
      </c>
      <c r="AX13" s="425">
        <v>63062133</v>
      </c>
      <c r="AY13" s="425">
        <v>140407183</v>
      </c>
      <c r="AZ13" s="426">
        <f t="shared" si="10"/>
        <v>216287.88290799997</v>
      </c>
      <c r="BA13" s="426">
        <f t="shared" si="11"/>
        <v>67035.047378999996</v>
      </c>
      <c r="BB13" s="426">
        <f t="shared" si="12"/>
        <v>149252.83552899997</v>
      </c>
      <c r="BF13" s="423" t="s">
        <v>554</v>
      </c>
      <c r="BG13" s="424" t="s">
        <v>560</v>
      </c>
      <c r="BH13" s="425">
        <v>15224242</v>
      </c>
      <c r="BI13" s="426">
        <f t="shared" si="13"/>
        <v>16183.369246</v>
      </c>
      <c r="BM13" s="427" t="s">
        <v>554</v>
      </c>
      <c r="BN13" s="93" t="s">
        <v>560</v>
      </c>
      <c r="BO13" s="94">
        <v>0</v>
      </c>
      <c r="BP13" s="94">
        <v>203469316</v>
      </c>
      <c r="BQ13" s="94">
        <v>78286375</v>
      </c>
      <c r="BR13" s="94">
        <v>125182941</v>
      </c>
      <c r="BS13" s="94">
        <v>78286375</v>
      </c>
      <c r="BT13" s="426">
        <f t="shared" si="14"/>
        <v>216287.88290799997</v>
      </c>
      <c r="BU13" s="426">
        <f t="shared" si="15"/>
        <v>83218.416624999998</v>
      </c>
      <c r="BV13" s="426">
        <f t="shared" si="16"/>
        <v>133069.46628299999</v>
      </c>
      <c r="BW13" s="426">
        <f t="shared" si="17"/>
        <v>83218.416624999998</v>
      </c>
      <c r="CA13" s="93" t="s">
        <v>560</v>
      </c>
      <c r="CB13" s="426">
        <v>16542148</v>
      </c>
      <c r="CC13" s="426">
        <f t="shared" si="18"/>
        <v>17584.303324</v>
      </c>
      <c r="CG13" s="424" t="s">
        <v>560</v>
      </c>
      <c r="CH13" s="425">
        <v>0</v>
      </c>
      <c r="CI13" s="425">
        <v>203469316</v>
      </c>
      <c r="CJ13" s="425">
        <v>-203469316</v>
      </c>
      <c r="CK13" s="425">
        <v>94828523</v>
      </c>
      <c r="CL13" s="425">
        <v>108640793</v>
      </c>
      <c r="CM13" s="425">
        <v>94828523</v>
      </c>
      <c r="CN13" s="425">
        <f t="shared" si="19"/>
        <v>216287.88290799997</v>
      </c>
      <c r="CO13" s="425">
        <f t="shared" si="20"/>
        <v>100802.71994899999</v>
      </c>
      <c r="CP13" s="425">
        <f t="shared" si="21"/>
        <v>115485.16295899999</v>
      </c>
      <c r="CQ13" s="425">
        <f t="shared" si="22"/>
        <v>100802.71994899999</v>
      </c>
      <c r="CU13" s="424" t="s">
        <v>560</v>
      </c>
      <c r="CV13" s="425">
        <v>16205368</v>
      </c>
      <c r="CW13" s="425">
        <v>16205368</v>
      </c>
      <c r="CX13" s="426">
        <f t="shared" si="23"/>
        <v>17226.306184000001</v>
      </c>
      <c r="CY13" s="426">
        <f t="shared" si="24"/>
        <v>17226.306184000001</v>
      </c>
      <c r="DB13" s="568" t="s">
        <v>560</v>
      </c>
      <c r="DC13" s="569">
        <v>203469316</v>
      </c>
      <c r="DD13" s="569">
        <v>111033891</v>
      </c>
      <c r="DE13" s="569">
        <v>92435425</v>
      </c>
      <c r="DF13" s="569">
        <v>111033891</v>
      </c>
      <c r="DG13" s="570">
        <f t="shared" si="25"/>
        <v>216287.88290799997</v>
      </c>
      <c r="DH13" s="570">
        <f t="shared" si="26"/>
        <v>118029.02613299999</v>
      </c>
      <c r="DI13" s="570">
        <f t="shared" si="27"/>
        <v>98258.856774999993</v>
      </c>
      <c r="DJ13" s="570">
        <f t="shared" si="28"/>
        <v>118029.02613299999</v>
      </c>
      <c r="DN13" s="93" t="s">
        <v>560</v>
      </c>
      <c r="DO13" s="93">
        <v>16212967</v>
      </c>
      <c r="DP13" s="93">
        <v>16212967</v>
      </c>
      <c r="DQ13" s="626">
        <f t="shared" si="29"/>
        <v>17234.383921000001</v>
      </c>
      <c r="DR13" s="626">
        <f t="shared" si="30"/>
        <v>17234.383921000001</v>
      </c>
      <c r="DV13" s="93" t="s">
        <v>560</v>
      </c>
      <c r="DW13" s="94">
        <v>203469316</v>
      </c>
      <c r="DX13" s="94">
        <v>127246858</v>
      </c>
      <c r="DY13" s="94">
        <v>76222458</v>
      </c>
      <c r="DZ13" s="94">
        <v>127246858</v>
      </c>
      <c r="EA13" s="94">
        <f t="shared" si="58"/>
        <v>216287.88290799997</v>
      </c>
      <c r="EB13" s="94">
        <f t="shared" si="31"/>
        <v>135263.41005399998</v>
      </c>
      <c r="EC13" s="94">
        <f t="shared" si="32"/>
        <v>81024.472853999992</v>
      </c>
      <c r="ED13" s="94">
        <f t="shared" si="33"/>
        <v>135263.41005399998</v>
      </c>
      <c r="EH13" s="420" t="s">
        <v>560</v>
      </c>
      <c r="EI13" s="420">
        <v>16212967</v>
      </c>
      <c r="EJ13" s="426">
        <f t="shared" si="34"/>
        <v>17234.383921000001</v>
      </c>
      <c r="EN13" s="420" t="s">
        <v>560</v>
      </c>
      <c r="EO13" s="426">
        <v>203469316</v>
      </c>
      <c r="EP13" s="426">
        <v>143459825</v>
      </c>
      <c r="EQ13" s="426">
        <v>60009491</v>
      </c>
      <c r="ER13" s="426">
        <v>143459825</v>
      </c>
      <c r="ES13" s="700">
        <f t="shared" si="35"/>
        <v>216287.88290799997</v>
      </c>
      <c r="ET13" s="700">
        <f t="shared" si="36"/>
        <v>152497.79397500001</v>
      </c>
      <c r="EU13" s="700">
        <f t="shared" si="37"/>
        <v>63790.088932999999</v>
      </c>
      <c r="EV13" s="700">
        <f t="shared" si="38"/>
        <v>152497.79397500001</v>
      </c>
      <c r="EZ13" s="730" t="s">
        <v>554</v>
      </c>
      <c r="FA13" s="731" t="s">
        <v>560</v>
      </c>
      <c r="FB13" s="420">
        <v>16553761</v>
      </c>
      <c r="FC13" s="426">
        <f t="shared" si="39"/>
        <v>16553.760999999999</v>
      </c>
      <c r="FG13" s="735" t="s">
        <v>554</v>
      </c>
      <c r="FH13" s="734" t="s">
        <v>560</v>
      </c>
      <c r="FI13" s="732">
        <v>203469316</v>
      </c>
      <c r="FJ13" s="733">
        <v>160013586</v>
      </c>
      <c r="FK13" s="733">
        <v>43455730</v>
      </c>
      <c r="FL13" s="733">
        <v>160013586</v>
      </c>
      <c r="FM13" s="426">
        <f t="shared" si="40"/>
        <v>203469.31599999999</v>
      </c>
      <c r="FN13" s="426">
        <f t="shared" si="41"/>
        <v>160013.58600000001</v>
      </c>
      <c r="FO13" s="426">
        <f t="shared" si="42"/>
        <v>43455.73</v>
      </c>
      <c r="FP13" s="426">
        <f t="shared" si="43"/>
        <v>160013.58600000001</v>
      </c>
      <c r="FT13" s="427" t="s">
        <v>554</v>
      </c>
      <c r="FU13" s="93" t="s">
        <v>560</v>
      </c>
      <c r="FV13" s="94">
        <v>0</v>
      </c>
      <c r="FW13" s="94">
        <v>16553761</v>
      </c>
      <c r="FX13" s="94">
        <v>16553761</v>
      </c>
      <c r="FY13" s="426">
        <f t="shared" si="44"/>
        <v>0</v>
      </c>
      <c r="FZ13" s="426">
        <f t="shared" si="45"/>
        <v>16553.760999999999</v>
      </c>
      <c r="GA13" s="426">
        <f t="shared" si="46"/>
        <v>16553.760999999999</v>
      </c>
      <c r="GG13" s="762" t="s">
        <v>554</v>
      </c>
      <c r="GH13" s="763" t="s">
        <v>560</v>
      </c>
      <c r="GI13" s="764">
        <v>203469316</v>
      </c>
      <c r="GJ13" s="764">
        <v>176567347</v>
      </c>
      <c r="GK13" s="764">
        <v>26901969</v>
      </c>
      <c r="GL13" s="764">
        <v>176567347</v>
      </c>
      <c r="GM13" s="764">
        <v>0</v>
      </c>
      <c r="GN13" s="426">
        <f t="shared" si="47"/>
        <v>203469.31599999999</v>
      </c>
      <c r="GO13" s="426">
        <f t="shared" si="48"/>
        <v>176567.34700000001</v>
      </c>
      <c r="GP13" s="426">
        <f t="shared" si="49"/>
        <v>26901.969000000001</v>
      </c>
      <c r="GQ13" s="426">
        <f t="shared" si="50"/>
        <v>176567.34700000001</v>
      </c>
      <c r="GR13" s="426">
        <f t="shared" si="51"/>
        <v>0</v>
      </c>
      <c r="GV13" s="780" t="s">
        <v>560</v>
      </c>
      <c r="GW13" s="779">
        <v>16970226</v>
      </c>
      <c r="GX13" s="426">
        <f t="shared" si="52"/>
        <v>16970.225999999999</v>
      </c>
      <c r="HB13" s="782" t="s">
        <v>560</v>
      </c>
      <c r="HC13" s="764">
        <v>203469316</v>
      </c>
      <c r="HD13" s="764">
        <v>193537573</v>
      </c>
      <c r="HE13" s="764">
        <v>9931743</v>
      </c>
      <c r="HF13" s="764">
        <v>193537573</v>
      </c>
      <c r="HG13" s="426">
        <f t="shared" si="53"/>
        <v>203469.31599999999</v>
      </c>
      <c r="HH13" s="426">
        <f t="shared" si="54"/>
        <v>9931.7430000000004</v>
      </c>
      <c r="HI13" s="426">
        <f t="shared" si="55"/>
        <v>193537.573</v>
      </c>
      <c r="HJ13" s="426">
        <f t="shared" si="56"/>
        <v>9931.7430000000004</v>
      </c>
      <c r="HK13" s="426">
        <f t="shared" si="57"/>
        <v>193537.573</v>
      </c>
    </row>
    <row r="14" spans="1:221" ht="15" customHeight="1" x14ac:dyDescent="0.3">
      <c r="A14" s="287" t="s">
        <v>554</v>
      </c>
      <c r="B14" s="288" t="s">
        <v>561</v>
      </c>
      <c r="C14" s="289">
        <v>65528926</v>
      </c>
      <c r="D14" s="290">
        <f t="shared" si="3"/>
        <v>69657.24833799999</v>
      </c>
      <c r="E14" s="289">
        <v>0</v>
      </c>
      <c r="F14" s="289">
        <f t="shared" si="4"/>
        <v>0</v>
      </c>
      <c r="J14" s="291" t="s">
        <v>554</v>
      </c>
      <c r="K14" s="292" t="s">
        <v>562</v>
      </c>
      <c r="L14" s="293">
        <v>1660578</v>
      </c>
      <c r="M14" s="293">
        <f t="shared" si="5"/>
        <v>1765.1944139999998</v>
      </c>
      <c r="Q14" s="291" t="s">
        <v>554</v>
      </c>
      <c r="R14" s="292" t="s">
        <v>561</v>
      </c>
      <c r="S14" s="293">
        <v>65528926</v>
      </c>
      <c r="T14" s="293">
        <v>0</v>
      </c>
      <c r="U14" s="293">
        <f t="shared" si="6"/>
        <v>69657.24833799999</v>
      </c>
      <c r="V14" s="293">
        <f t="shared" si="7"/>
        <v>0</v>
      </c>
      <c r="Z14" s="288" t="s">
        <v>561</v>
      </c>
      <c r="AA14" s="289">
        <v>14979218</v>
      </c>
      <c r="AB14" s="289">
        <f t="shared" si="8"/>
        <v>15922.908734000001</v>
      </c>
      <c r="AF14" s="288" t="s">
        <v>561</v>
      </c>
      <c r="AG14" s="289">
        <v>65528926</v>
      </c>
      <c r="AH14" s="289">
        <f t="shared" si="0"/>
        <v>69657.24833799999</v>
      </c>
      <c r="AI14" s="289">
        <v>14979218</v>
      </c>
      <c r="AL14" s="426"/>
      <c r="AN14" s="423" t="s">
        <v>554</v>
      </c>
      <c r="AO14" s="424" t="s">
        <v>561</v>
      </c>
      <c r="AP14" s="425">
        <v>0</v>
      </c>
      <c r="AQ14" s="425">
        <f t="shared" si="9"/>
        <v>0</v>
      </c>
      <c r="AU14" s="423" t="s">
        <v>554</v>
      </c>
      <c r="AV14" s="424" t="s">
        <v>561</v>
      </c>
      <c r="AW14" s="425">
        <v>65528926</v>
      </c>
      <c r="AX14" s="425">
        <v>14979218</v>
      </c>
      <c r="AY14" s="425">
        <v>50549708</v>
      </c>
      <c r="AZ14" s="426">
        <f t="shared" si="10"/>
        <v>69657.24833799999</v>
      </c>
      <c r="BA14" s="426">
        <f t="shared" si="11"/>
        <v>15922.908734000001</v>
      </c>
      <c r="BB14" s="426">
        <f t="shared" si="12"/>
        <v>53734.339603999993</v>
      </c>
      <c r="BF14" s="423" t="s">
        <v>554</v>
      </c>
      <c r="BG14" s="424" t="s">
        <v>562</v>
      </c>
      <c r="BH14" s="425">
        <v>569640</v>
      </c>
      <c r="BI14" s="426">
        <f t="shared" si="13"/>
        <v>605.52731999999992</v>
      </c>
      <c r="BM14" s="427" t="s">
        <v>554</v>
      </c>
      <c r="BN14" s="93" t="s">
        <v>561</v>
      </c>
      <c r="BO14" s="94">
        <v>0</v>
      </c>
      <c r="BP14" s="94">
        <v>65528926</v>
      </c>
      <c r="BQ14" s="94">
        <v>14979218</v>
      </c>
      <c r="BR14" s="94">
        <v>50549708</v>
      </c>
      <c r="BS14" s="94">
        <v>14979218</v>
      </c>
      <c r="BT14" s="426">
        <f t="shared" si="14"/>
        <v>69657.24833799999</v>
      </c>
      <c r="BU14" s="426">
        <f t="shared" si="15"/>
        <v>15922.908734000001</v>
      </c>
      <c r="BV14" s="426">
        <f t="shared" si="16"/>
        <v>53734.339603999993</v>
      </c>
      <c r="BW14" s="426">
        <f t="shared" si="17"/>
        <v>15922.908734000001</v>
      </c>
      <c r="CA14" s="93" t="s">
        <v>561</v>
      </c>
      <c r="CB14" s="426">
        <v>15580983</v>
      </c>
      <c r="CC14" s="426">
        <f t="shared" si="18"/>
        <v>16562.584929000001</v>
      </c>
      <c r="CG14" s="424" t="s">
        <v>561</v>
      </c>
      <c r="CH14" s="425">
        <v>0</v>
      </c>
      <c r="CI14" s="425">
        <v>65528926</v>
      </c>
      <c r="CJ14" s="425">
        <v>-65528926</v>
      </c>
      <c r="CK14" s="425">
        <v>30560201</v>
      </c>
      <c r="CL14" s="425">
        <v>34968725</v>
      </c>
      <c r="CM14" s="425">
        <v>30560201</v>
      </c>
      <c r="CN14" s="425">
        <f t="shared" si="19"/>
        <v>69657.24833799999</v>
      </c>
      <c r="CO14" s="425">
        <f t="shared" si="20"/>
        <v>32485.493663000001</v>
      </c>
      <c r="CP14" s="425">
        <f t="shared" si="21"/>
        <v>37171.754674999996</v>
      </c>
      <c r="CQ14" s="425">
        <f t="shared" si="22"/>
        <v>32485.493663000001</v>
      </c>
      <c r="CU14" s="424" t="s">
        <v>561</v>
      </c>
      <c r="CV14" s="425">
        <v>0</v>
      </c>
      <c r="CW14" s="425">
        <v>0</v>
      </c>
      <c r="CX14" s="426">
        <f t="shared" si="23"/>
        <v>0</v>
      </c>
      <c r="CY14" s="426">
        <f t="shared" si="24"/>
        <v>0</v>
      </c>
      <c r="DB14" s="568" t="s">
        <v>561</v>
      </c>
      <c r="DC14" s="569">
        <v>65528926</v>
      </c>
      <c r="DD14" s="569">
        <v>30560201</v>
      </c>
      <c r="DE14" s="569">
        <v>34968725</v>
      </c>
      <c r="DF14" s="569">
        <v>30560201</v>
      </c>
      <c r="DG14" s="570">
        <f t="shared" si="25"/>
        <v>69657.24833799999</v>
      </c>
      <c r="DH14" s="570">
        <f t="shared" si="26"/>
        <v>32485.493663000001</v>
      </c>
      <c r="DI14" s="570">
        <f t="shared" si="27"/>
        <v>37171.754674999996</v>
      </c>
      <c r="DJ14" s="570">
        <f t="shared" si="28"/>
        <v>32485.493663000001</v>
      </c>
      <c r="DN14" s="93" t="s">
        <v>562</v>
      </c>
      <c r="DO14" s="93">
        <v>854460</v>
      </c>
      <c r="DP14" s="93">
        <v>854460</v>
      </c>
      <c r="DQ14" s="626">
        <f t="shared" si="29"/>
        <v>908.29097999999999</v>
      </c>
      <c r="DR14" s="626">
        <f t="shared" si="30"/>
        <v>908.29097999999999</v>
      </c>
      <c r="DV14" s="93" t="s">
        <v>561</v>
      </c>
      <c r="DW14" s="94">
        <v>65528926</v>
      </c>
      <c r="DX14" s="94">
        <v>30560201</v>
      </c>
      <c r="DY14" s="94">
        <v>34968725</v>
      </c>
      <c r="DZ14" s="94">
        <v>30560201</v>
      </c>
      <c r="EA14" s="94">
        <f t="shared" si="58"/>
        <v>69657.24833799999</v>
      </c>
      <c r="EB14" s="94">
        <f t="shared" si="31"/>
        <v>32485.493663000001</v>
      </c>
      <c r="EC14" s="94">
        <f t="shared" si="32"/>
        <v>37171.754674999996</v>
      </c>
      <c r="ED14" s="94">
        <f t="shared" si="33"/>
        <v>32485.493663000001</v>
      </c>
      <c r="EH14" s="420" t="s">
        <v>561</v>
      </c>
      <c r="EI14" s="420">
        <v>15432959</v>
      </c>
      <c r="EJ14" s="426">
        <f t="shared" si="34"/>
        <v>16405.235417</v>
      </c>
      <c r="EN14" s="420" t="s">
        <v>561</v>
      </c>
      <c r="EO14" s="426">
        <v>65528926</v>
      </c>
      <c r="EP14" s="426">
        <v>45993160</v>
      </c>
      <c r="EQ14" s="426">
        <v>19535766</v>
      </c>
      <c r="ER14" s="426">
        <v>45993160</v>
      </c>
      <c r="ES14" s="700">
        <f t="shared" si="35"/>
        <v>69657.24833799999</v>
      </c>
      <c r="ET14" s="700">
        <f t="shared" si="36"/>
        <v>48890.729080000005</v>
      </c>
      <c r="EU14" s="700">
        <f t="shared" si="37"/>
        <v>20766.519258</v>
      </c>
      <c r="EV14" s="700">
        <f t="shared" si="38"/>
        <v>48890.729080000005</v>
      </c>
      <c r="EZ14" s="730" t="s">
        <v>554</v>
      </c>
      <c r="FA14" s="731" t="s">
        <v>561</v>
      </c>
      <c r="FB14" s="420">
        <v>0</v>
      </c>
      <c r="FC14" s="426">
        <f t="shared" si="39"/>
        <v>0</v>
      </c>
      <c r="FG14" s="735" t="s">
        <v>554</v>
      </c>
      <c r="FH14" s="734" t="s">
        <v>561</v>
      </c>
      <c r="FI14" s="732">
        <v>65528926</v>
      </c>
      <c r="FJ14" s="733">
        <v>45993160</v>
      </c>
      <c r="FK14" s="733">
        <v>19535766</v>
      </c>
      <c r="FL14" s="733">
        <v>45993160</v>
      </c>
      <c r="FM14" s="426">
        <f t="shared" si="40"/>
        <v>65528.925999999999</v>
      </c>
      <c r="FN14" s="426">
        <f t="shared" si="41"/>
        <v>45993.16</v>
      </c>
      <c r="FO14" s="426">
        <f t="shared" si="42"/>
        <v>19535.766</v>
      </c>
      <c r="FP14" s="426">
        <f t="shared" si="43"/>
        <v>45993.16</v>
      </c>
      <c r="FT14" s="427" t="s">
        <v>554</v>
      </c>
      <c r="FU14" s="93" t="s">
        <v>561</v>
      </c>
      <c r="FV14" s="94">
        <v>0</v>
      </c>
      <c r="FW14" s="94">
        <v>0</v>
      </c>
      <c r="FX14" s="94">
        <v>0</v>
      </c>
      <c r="FY14" s="426">
        <f t="shared" si="44"/>
        <v>0</v>
      </c>
      <c r="FZ14" s="426">
        <f t="shared" si="45"/>
        <v>0</v>
      </c>
      <c r="GA14" s="426">
        <f t="shared" si="46"/>
        <v>0</v>
      </c>
      <c r="GG14" s="762" t="s">
        <v>554</v>
      </c>
      <c r="GH14" s="763" t="s">
        <v>561</v>
      </c>
      <c r="GI14" s="764">
        <v>65528926</v>
      </c>
      <c r="GJ14" s="764">
        <v>45993160</v>
      </c>
      <c r="GK14" s="764">
        <v>19535766</v>
      </c>
      <c r="GL14" s="764">
        <v>45993160</v>
      </c>
      <c r="GM14" s="764">
        <v>0</v>
      </c>
      <c r="GN14" s="426">
        <f t="shared" si="47"/>
        <v>65528.925999999999</v>
      </c>
      <c r="GO14" s="426">
        <f t="shared" si="48"/>
        <v>45993.16</v>
      </c>
      <c r="GP14" s="426">
        <f t="shared" si="49"/>
        <v>19535.766</v>
      </c>
      <c r="GQ14" s="426">
        <f t="shared" si="50"/>
        <v>45993.16</v>
      </c>
      <c r="GR14" s="426">
        <f t="shared" si="51"/>
        <v>0</v>
      </c>
      <c r="GV14" s="780" t="s">
        <v>561</v>
      </c>
      <c r="GW14" s="779">
        <v>15565080</v>
      </c>
      <c r="GX14" s="426">
        <f t="shared" si="52"/>
        <v>15565.08</v>
      </c>
      <c r="HB14" s="782" t="s">
        <v>561</v>
      </c>
      <c r="HC14" s="764">
        <v>65528926</v>
      </c>
      <c r="HD14" s="764">
        <v>61558240</v>
      </c>
      <c r="HE14" s="764">
        <v>3970686</v>
      </c>
      <c r="HF14" s="764">
        <v>61558240</v>
      </c>
      <c r="HG14" s="426">
        <f t="shared" si="53"/>
        <v>65528.925999999999</v>
      </c>
      <c r="HH14" s="426">
        <f t="shared" si="54"/>
        <v>3970.6860000000001</v>
      </c>
      <c r="HI14" s="426">
        <f t="shared" si="55"/>
        <v>61558.239999999998</v>
      </c>
      <c r="HJ14" s="426">
        <f t="shared" si="56"/>
        <v>3970.6860000000001</v>
      </c>
      <c r="HK14" s="426">
        <f t="shared" si="57"/>
        <v>61558.239999999998</v>
      </c>
    </row>
    <row r="15" spans="1:221" ht="15" customHeight="1" x14ac:dyDescent="0.3">
      <c r="A15" s="287" t="s">
        <v>554</v>
      </c>
      <c r="B15" s="288" t="s">
        <v>562</v>
      </c>
      <c r="C15" s="289">
        <v>19927407</v>
      </c>
      <c r="D15" s="290">
        <f t="shared" si="3"/>
        <v>21182.833640999997</v>
      </c>
      <c r="E15" s="289">
        <v>1660578</v>
      </c>
      <c r="F15" s="289">
        <f t="shared" si="4"/>
        <v>1765.1944139999998</v>
      </c>
      <c r="J15" s="291" t="s">
        <v>553</v>
      </c>
      <c r="K15" s="292" t="s">
        <v>358</v>
      </c>
      <c r="L15" s="293">
        <v>1753980</v>
      </c>
      <c r="M15" s="293">
        <f t="shared" si="5"/>
        <v>1864.48074</v>
      </c>
      <c r="Q15" s="291" t="s">
        <v>554</v>
      </c>
      <c r="R15" s="292" t="s">
        <v>562</v>
      </c>
      <c r="S15" s="293">
        <v>19927407</v>
      </c>
      <c r="T15" s="293">
        <v>3321156</v>
      </c>
      <c r="U15" s="293">
        <f t="shared" si="6"/>
        <v>21182.833640999997</v>
      </c>
      <c r="V15" s="293">
        <f t="shared" si="7"/>
        <v>3530.3888279999996</v>
      </c>
      <c r="Z15" s="288" t="s">
        <v>562</v>
      </c>
      <c r="AA15" s="289">
        <v>664580</v>
      </c>
      <c r="AB15" s="289">
        <f t="shared" si="8"/>
        <v>706.44853999999998</v>
      </c>
      <c r="AF15" s="288" t="s">
        <v>562</v>
      </c>
      <c r="AG15" s="289">
        <v>19927407</v>
      </c>
      <c r="AH15" s="289">
        <f t="shared" si="0"/>
        <v>21182.833640999997</v>
      </c>
      <c r="AI15" s="289">
        <v>3985736</v>
      </c>
      <c r="AL15" s="426"/>
      <c r="AN15" s="423" t="s">
        <v>554</v>
      </c>
      <c r="AO15" s="424" t="s">
        <v>562</v>
      </c>
      <c r="AP15" s="425">
        <v>569640</v>
      </c>
      <c r="AQ15" s="425">
        <f t="shared" si="9"/>
        <v>605.52731999999992</v>
      </c>
      <c r="AU15" s="423" t="s">
        <v>554</v>
      </c>
      <c r="AV15" s="424" t="s">
        <v>562</v>
      </c>
      <c r="AW15" s="425">
        <v>19927407</v>
      </c>
      <c r="AX15" s="425">
        <v>4555376</v>
      </c>
      <c r="AY15" s="425">
        <v>15372031</v>
      </c>
      <c r="AZ15" s="426">
        <f t="shared" si="10"/>
        <v>21182.833640999997</v>
      </c>
      <c r="BA15" s="426">
        <f t="shared" si="11"/>
        <v>4842.3646879999997</v>
      </c>
      <c r="BB15" s="426">
        <f t="shared" si="12"/>
        <v>16340.468953</v>
      </c>
      <c r="BF15" s="423" t="s">
        <v>553</v>
      </c>
      <c r="BG15" s="424" t="s">
        <v>358</v>
      </c>
      <c r="BH15" s="425">
        <v>1631418</v>
      </c>
      <c r="BI15" s="426">
        <f t="shared" si="13"/>
        <v>1734.1973339999997</v>
      </c>
      <c r="BM15" s="427" t="s">
        <v>554</v>
      </c>
      <c r="BN15" s="93" t="s">
        <v>562</v>
      </c>
      <c r="BO15" s="94">
        <v>0</v>
      </c>
      <c r="BP15" s="94">
        <v>19927407</v>
      </c>
      <c r="BQ15" s="94">
        <v>5125016</v>
      </c>
      <c r="BR15" s="94">
        <v>14802391</v>
      </c>
      <c r="BS15" s="94">
        <v>5125016</v>
      </c>
      <c r="BT15" s="426">
        <f t="shared" si="14"/>
        <v>21182.833640999997</v>
      </c>
      <c r="BU15" s="426">
        <f t="shared" si="15"/>
        <v>5447.8920079999989</v>
      </c>
      <c r="BV15" s="426">
        <f t="shared" si="16"/>
        <v>15734.941632999999</v>
      </c>
      <c r="BW15" s="426">
        <f t="shared" si="17"/>
        <v>5447.8920079999989</v>
      </c>
      <c r="CA15" s="93" t="s">
        <v>562</v>
      </c>
      <c r="CB15" s="426">
        <v>854460</v>
      </c>
      <c r="CC15" s="426">
        <f t="shared" si="18"/>
        <v>908.29097999999999</v>
      </c>
      <c r="CG15" s="424" t="s">
        <v>562</v>
      </c>
      <c r="CH15" s="425">
        <v>0</v>
      </c>
      <c r="CI15" s="425">
        <v>19927407</v>
      </c>
      <c r="CJ15" s="425">
        <v>-19927407</v>
      </c>
      <c r="CK15" s="425">
        <v>5979476</v>
      </c>
      <c r="CL15" s="425">
        <v>13947931</v>
      </c>
      <c r="CM15" s="425">
        <v>5979476</v>
      </c>
      <c r="CN15" s="425">
        <f t="shared" si="19"/>
        <v>21182.833640999997</v>
      </c>
      <c r="CO15" s="425">
        <f t="shared" si="20"/>
        <v>6356.1829879999996</v>
      </c>
      <c r="CP15" s="425">
        <f t="shared" si="21"/>
        <v>14826.650653000001</v>
      </c>
      <c r="CQ15" s="425">
        <f t="shared" si="22"/>
        <v>6356.1829879999996</v>
      </c>
      <c r="CU15" s="424" t="s">
        <v>562</v>
      </c>
      <c r="CV15" s="425">
        <v>854460</v>
      </c>
      <c r="CW15" s="425">
        <v>854460</v>
      </c>
      <c r="CX15" s="426">
        <f t="shared" si="23"/>
        <v>908.29097999999999</v>
      </c>
      <c r="CY15" s="426">
        <f t="shared" si="24"/>
        <v>908.29097999999999</v>
      </c>
      <c r="DB15" s="568" t="s">
        <v>562</v>
      </c>
      <c r="DC15" s="569">
        <v>19927407</v>
      </c>
      <c r="DD15" s="569">
        <v>6833936</v>
      </c>
      <c r="DE15" s="569">
        <v>13093471</v>
      </c>
      <c r="DF15" s="569">
        <v>6833936</v>
      </c>
      <c r="DG15" s="570">
        <f t="shared" si="25"/>
        <v>21182.833640999997</v>
      </c>
      <c r="DH15" s="570">
        <f t="shared" si="26"/>
        <v>7264.4739679999993</v>
      </c>
      <c r="DI15" s="570">
        <f t="shared" si="27"/>
        <v>13918.359672999999</v>
      </c>
      <c r="DJ15" s="570">
        <f t="shared" si="28"/>
        <v>7264.4739679999993</v>
      </c>
      <c r="DN15" s="93" t="s">
        <v>358</v>
      </c>
      <c r="DO15" s="93">
        <v>1718886</v>
      </c>
      <c r="DP15" s="93">
        <v>1718886</v>
      </c>
      <c r="DQ15" s="626">
        <f t="shared" si="29"/>
        <v>1827.1758179999999</v>
      </c>
      <c r="DR15" s="626">
        <f t="shared" si="30"/>
        <v>1827.1758179999999</v>
      </c>
      <c r="DV15" s="93" t="s">
        <v>562</v>
      </c>
      <c r="DW15" s="94">
        <v>19927407</v>
      </c>
      <c r="DX15" s="94">
        <v>7688396</v>
      </c>
      <c r="DY15" s="94">
        <v>12239011</v>
      </c>
      <c r="DZ15" s="94">
        <v>7688396</v>
      </c>
      <c r="EA15" s="94">
        <f t="shared" si="58"/>
        <v>21182.833640999997</v>
      </c>
      <c r="EB15" s="94">
        <f t="shared" si="31"/>
        <v>8172.7649479999991</v>
      </c>
      <c r="EC15" s="94">
        <f t="shared" si="32"/>
        <v>13010.068692999999</v>
      </c>
      <c r="ED15" s="94">
        <f t="shared" si="33"/>
        <v>8172.7649479999991</v>
      </c>
      <c r="EH15" s="420" t="s">
        <v>562</v>
      </c>
      <c r="EI15" s="420">
        <v>854460</v>
      </c>
      <c r="EJ15" s="426">
        <f t="shared" si="34"/>
        <v>908.29097999999999</v>
      </c>
      <c r="EN15" s="420" t="s">
        <v>562</v>
      </c>
      <c r="EO15" s="426">
        <v>19927407</v>
      </c>
      <c r="EP15" s="426">
        <v>8542856</v>
      </c>
      <c r="EQ15" s="426">
        <v>11384551</v>
      </c>
      <c r="ER15" s="426">
        <v>8542856</v>
      </c>
      <c r="ES15" s="700">
        <f t="shared" si="35"/>
        <v>21182.833640999997</v>
      </c>
      <c r="ET15" s="700">
        <f t="shared" si="36"/>
        <v>9081.0559279999998</v>
      </c>
      <c r="EU15" s="700">
        <f t="shared" si="37"/>
        <v>12101.777712999999</v>
      </c>
      <c r="EV15" s="700">
        <f t="shared" si="38"/>
        <v>9081.0559279999998</v>
      </c>
      <c r="EZ15" s="730" t="s">
        <v>554</v>
      </c>
      <c r="FA15" s="731" t="s">
        <v>562</v>
      </c>
      <c r="FB15" s="420">
        <v>854460</v>
      </c>
      <c r="FC15" s="426">
        <f t="shared" si="39"/>
        <v>854.46</v>
      </c>
      <c r="FG15" s="735" t="s">
        <v>554</v>
      </c>
      <c r="FH15" s="734" t="s">
        <v>562</v>
      </c>
      <c r="FI15" s="732">
        <v>19927407</v>
      </c>
      <c r="FJ15" s="733">
        <v>9397316</v>
      </c>
      <c r="FK15" s="733">
        <v>10530091</v>
      </c>
      <c r="FL15" s="733">
        <v>9397316</v>
      </c>
      <c r="FM15" s="426">
        <f t="shared" si="40"/>
        <v>19927.406999999999</v>
      </c>
      <c r="FN15" s="426">
        <f t="shared" si="41"/>
        <v>9397.3160000000007</v>
      </c>
      <c r="FO15" s="426">
        <f t="shared" si="42"/>
        <v>10530.091</v>
      </c>
      <c r="FP15" s="426">
        <f t="shared" si="43"/>
        <v>9397.3160000000007</v>
      </c>
      <c r="FT15" s="427" t="s">
        <v>554</v>
      </c>
      <c r="FU15" s="93" t="s">
        <v>562</v>
      </c>
      <c r="FV15" s="94">
        <v>0</v>
      </c>
      <c r="FW15" s="94">
        <v>854460</v>
      </c>
      <c r="FX15" s="94">
        <v>854460</v>
      </c>
      <c r="FY15" s="426">
        <f t="shared" si="44"/>
        <v>0</v>
      </c>
      <c r="FZ15" s="426">
        <f t="shared" si="45"/>
        <v>854.46</v>
      </c>
      <c r="GA15" s="426">
        <f t="shared" si="46"/>
        <v>854.46</v>
      </c>
      <c r="GG15" s="762" t="s">
        <v>554</v>
      </c>
      <c r="GH15" s="763" t="s">
        <v>562</v>
      </c>
      <c r="GI15" s="764">
        <v>19927407</v>
      </c>
      <c r="GJ15" s="764">
        <v>10251776</v>
      </c>
      <c r="GK15" s="764">
        <v>9675631</v>
      </c>
      <c r="GL15" s="764">
        <v>10251776</v>
      </c>
      <c r="GM15" s="764">
        <v>0</v>
      </c>
      <c r="GN15" s="426">
        <f t="shared" si="47"/>
        <v>19927.406999999999</v>
      </c>
      <c r="GO15" s="426">
        <f t="shared" si="48"/>
        <v>10251.776</v>
      </c>
      <c r="GP15" s="426">
        <f t="shared" si="49"/>
        <v>9675.6309999999994</v>
      </c>
      <c r="GQ15" s="426">
        <f t="shared" si="50"/>
        <v>10251.776</v>
      </c>
      <c r="GR15" s="426">
        <f t="shared" si="51"/>
        <v>0</v>
      </c>
      <c r="GV15" s="780" t="s">
        <v>562</v>
      </c>
      <c r="GW15" s="779">
        <v>854460</v>
      </c>
      <c r="GX15" s="426">
        <f t="shared" si="52"/>
        <v>854.46</v>
      </c>
      <c r="HB15" s="782" t="s">
        <v>562</v>
      </c>
      <c r="HC15" s="764">
        <v>19927407</v>
      </c>
      <c r="HD15" s="764">
        <v>11106236</v>
      </c>
      <c r="HE15" s="764">
        <v>8821171</v>
      </c>
      <c r="HF15" s="764">
        <v>11106236</v>
      </c>
      <c r="HG15" s="426">
        <f t="shared" si="53"/>
        <v>19927.406999999999</v>
      </c>
      <c r="HH15" s="426">
        <f t="shared" si="54"/>
        <v>8821.1710000000003</v>
      </c>
      <c r="HI15" s="426">
        <f t="shared" si="55"/>
        <v>11106.236000000001</v>
      </c>
      <c r="HJ15" s="426">
        <f t="shared" si="56"/>
        <v>8821.1710000000003</v>
      </c>
      <c r="HK15" s="426">
        <f t="shared" si="57"/>
        <v>11106.236000000001</v>
      </c>
    </row>
    <row r="16" spans="1:221" ht="15" customHeight="1" x14ac:dyDescent="0.3">
      <c r="A16" s="287" t="s">
        <v>553</v>
      </c>
      <c r="B16" s="288" t="s">
        <v>358</v>
      </c>
      <c r="C16" s="289">
        <v>27224450</v>
      </c>
      <c r="D16" s="290">
        <f t="shared" si="3"/>
        <v>28939.590349999999</v>
      </c>
      <c r="E16" s="289">
        <v>1553401</v>
      </c>
      <c r="F16" s="289">
        <f t="shared" si="4"/>
        <v>1651.265263</v>
      </c>
      <c r="J16" s="291" t="s">
        <v>554</v>
      </c>
      <c r="K16" s="292" t="s">
        <v>563</v>
      </c>
      <c r="L16" s="293">
        <v>189150</v>
      </c>
      <c r="M16" s="293">
        <f t="shared" si="5"/>
        <v>201.06645</v>
      </c>
      <c r="Q16" s="291" t="s">
        <v>553</v>
      </c>
      <c r="R16" s="292" t="s">
        <v>358</v>
      </c>
      <c r="S16" s="293">
        <v>27224450</v>
      </c>
      <c r="T16" s="293">
        <v>3307381</v>
      </c>
      <c r="U16" s="293">
        <f t="shared" si="6"/>
        <v>28939.590349999999</v>
      </c>
      <c r="V16" s="293">
        <f t="shared" si="7"/>
        <v>3515.7460029999997</v>
      </c>
      <c r="Z16" s="288" t="s">
        <v>358</v>
      </c>
      <c r="AA16" s="289">
        <v>2378561</v>
      </c>
      <c r="AB16" s="289">
        <f t="shared" si="8"/>
        <v>2528.410343</v>
      </c>
      <c r="AF16" s="288" t="s">
        <v>358</v>
      </c>
      <c r="AG16" s="289">
        <v>27224450</v>
      </c>
      <c r="AH16" s="289">
        <f t="shared" si="0"/>
        <v>28939.590349999999</v>
      </c>
      <c r="AI16" s="289">
        <v>5685942</v>
      </c>
      <c r="AL16" s="426"/>
      <c r="AN16" s="423" t="s">
        <v>553</v>
      </c>
      <c r="AO16" s="424" t="s">
        <v>358</v>
      </c>
      <c r="AP16" s="425">
        <v>1464965</v>
      </c>
      <c r="AQ16" s="425">
        <f t="shared" si="9"/>
        <v>1557.2577949999998</v>
      </c>
      <c r="AU16" s="423" t="s">
        <v>553</v>
      </c>
      <c r="AV16" s="424" t="s">
        <v>358</v>
      </c>
      <c r="AW16" s="425">
        <v>27224450</v>
      </c>
      <c r="AX16" s="425">
        <v>7150907</v>
      </c>
      <c r="AY16" s="425">
        <v>20073543</v>
      </c>
      <c r="AZ16" s="426">
        <f t="shared" si="10"/>
        <v>28939.590349999999</v>
      </c>
      <c r="BA16" s="426">
        <f t="shared" si="11"/>
        <v>7601.4141410000002</v>
      </c>
      <c r="BB16" s="426">
        <f t="shared" si="12"/>
        <v>21338.176209000001</v>
      </c>
      <c r="BF16" s="423" t="s">
        <v>554</v>
      </c>
      <c r="BG16" s="424" t="s">
        <v>563</v>
      </c>
      <c r="BH16" s="425">
        <v>151320</v>
      </c>
      <c r="BI16" s="426">
        <f t="shared" si="13"/>
        <v>160.85315999999997</v>
      </c>
      <c r="BM16" s="427" t="s">
        <v>553</v>
      </c>
      <c r="BN16" s="93" t="s">
        <v>358</v>
      </c>
      <c r="BO16" s="94">
        <v>0</v>
      </c>
      <c r="BP16" s="94">
        <v>27224450</v>
      </c>
      <c r="BQ16" s="94">
        <v>8782325</v>
      </c>
      <c r="BR16" s="94">
        <v>18442125</v>
      </c>
      <c r="BS16" s="94">
        <v>8782325</v>
      </c>
      <c r="BT16" s="426">
        <f t="shared" si="14"/>
        <v>28939.590349999999</v>
      </c>
      <c r="BU16" s="426">
        <f t="shared" si="15"/>
        <v>9335.6114749999997</v>
      </c>
      <c r="BV16" s="426">
        <f t="shared" si="16"/>
        <v>19603.978875000001</v>
      </c>
      <c r="BW16" s="426">
        <f t="shared" si="17"/>
        <v>9335.6114749999997</v>
      </c>
      <c r="CA16" s="93" t="s">
        <v>358</v>
      </c>
      <c r="CB16" s="426">
        <v>1993130</v>
      </c>
      <c r="CC16" s="426">
        <f t="shared" si="18"/>
        <v>2118.6971899999999</v>
      </c>
      <c r="CG16" s="424" t="s">
        <v>358</v>
      </c>
      <c r="CH16" s="425">
        <v>0</v>
      </c>
      <c r="CI16" s="425">
        <v>27224450</v>
      </c>
      <c r="CJ16" s="425">
        <v>-27224450</v>
      </c>
      <c r="CK16" s="425">
        <v>10775455</v>
      </c>
      <c r="CL16" s="425">
        <v>16448995</v>
      </c>
      <c r="CM16" s="425">
        <v>10775455</v>
      </c>
      <c r="CN16" s="425">
        <f t="shared" si="19"/>
        <v>28939.590349999999</v>
      </c>
      <c r="CO16" s="425">
        <f t="shared" si="20"/>
        <v>11454.308664999999</v>
      </c>
      <c r="CP16" s="425">
        <f t="shared" si="21"/>
        <v>17485.281684999998</v>
      </c>
      <c r="CQ16" s="425">
        <f t="shared" si="22"/>
        <v>11454.308664999999</v>
      </c>
      <c r="CU16" s="424" t="s">
        <v>358</v>
      </c>
      <c r="CV16" s="425">
        <v>1717409</v>
      </c>
      <c r="CW16" s="425">
        <v>1717409</v>
      </c>
      <c r="CX16" s="426">
        <f t="shared" si="23"/>
        <v>1825.605767</v>
      </c>
      <c r="CY16" s="426">
        <f t="shared" si="24"/>
        <v>1825.605767</v>
      </c>
      <c r="DB16" s="568" t="s">
        <v>358</v>
      </c>
      <c r="DC16" s="569">
        <v>27224450</v>
      </c>
      <c r="DD16" s="569">
        <v>12492864</v>
      </c>
      <c r="DE16" s="569">
        <v>14731586</v>
      </c>
      <c r="DF16" s="569">
        <v>12492864</v>
      </c>
      <c r="DG16" s="570">
        <f t="shared" si="25"/>
        <v>28939.590349999999</v>
      </c>
      <c r="DH16" s="570">
        <f t="shared" si="26"/>
        <v>13279.914432</v>
      </c>
      <c r="DI16" s="570">
        <f t="shared" si="27"/>
        <v>15659.675917999999</v>
      </c>
      <c r="DJ16" s="570">
        <f t="shared" si="28"/>
        <v>13279.914432</v>
      </c>
      <c r="DN16" s="93" t="s">
        <v>563</v>
      </c>
      <c r="DO16" s="93">
        <v>138710</v>
      </c>
      <c r="DP16" s="93">
        <v>138710</v>
      </c>
      <c r="DQ16" s="626">
        <f t="shared" si="29"/>
        <v>147.44873000000001</v>
      </c>
      <c r="DR16" s="626">
        <f t="shared" si="30"/>
        <v>147.44873000000001</v>
      </c>
      <c r="DV16" s="93" t="s">
        <v>358</v>
      </c>
      <c r="DW16" s="94">
        <v>27224450</v>
      </c>
      <c r="DX16" s="94">
        <v>14211750</v>
      </c>
      <c r="DY16" s="94">
        <v>13012700</v>
      </c>
      <c r="DZ16" s="94">
        <v>14211750</v>
      </c>
      <c r="EA16" s="94">
        <f t="shared" si="58"/>
        <v>28939.590349999999</v>
      </c>
      <c r="EB16" s="94">
        <f t="shared" si="31"/>
        <v>15107.090249999999</v>
      </c>
      <c r="EC16" s="94">
        <f t="shared" si="32"/>
        <v>13832.500099999999</v>
      </c>
      <c r="ED16" s="94">
        <f t="shared" si="33"/>
        <v>15107.090249999999</v>
      </c>
      <c r="EH16" s="420" t="s">
        <v>358</v>
      </c>
      <c r="EI16" s="420">
        <v>1895612</v>
      </c>
      <c r="EJ16" s="426">
        <f t="shared" si="34"/>
        <v>2015.035556</v>
      </c>
      <c r="EN16" s="420" t="s">
        <v>358</v>
      </c>
      <c r="EO16" s="426">
        <v>27224450</v>
      </c>
      <c r="EP16" s="426">
        <v>16107362</v>
      </c>
      <c r="EQ16" s="426">
        <v>11117088</v>
      </c>
      <c r="ER16" s="426">
        <v>16107362</v>
      </c>
      <c r="ES16" s="700">
        <f t="shared" si="35"/>
        <v>28939.590349999999</v>
      </c>
      <c r="ET16" s="700">
        <f t="shared" si="36"/>
        <v>17122.125806</v>
      </c>
      <c r="EU16" s="700">
        <f t="shared" si="37"/>
        <v>11817.464543999999</v>
      </c>
      <c r="EV16" s="700">
        <f t="shared" si="38"/>
        <v>17122.125806</v>
      </c>
      <c r="EZ16" s="730" t="s">
        <v>553</v>
      </c>
      <c r="FA16" s="731" t="s">
        <v>358</v>
      </c>
      <c r="FB16" s="420">
        <v>1537088</v>
      </c>
      <c r="FC16" s="426">
        <f t="shared" si="39"/>
        <v>1537.088</v>
      </c>
      <c r="FG16" s="735" t="s">
        <v>553</v>
      </c>
      <c r="FH16" s="734" t="s">
        <v>358</v>
      </c>
      <c r="FI16" s="732">
        <v>27224450</v>
      </c>
      <c r="FJ16" s="733">
        <v>17644450</v>
      </c>
      <c r="FK16" s="733">
        <v>9580000</v>
      </c>
      <c r="FL16" s="733">
        <v>17644450</v>
      </c>
      <c r="FM16" s="426">
        <f t="shared" si="40"/>
        <v>27224.45</v>
      </c>
      <c r="FN16" s="426">
        <f t="shared" si="41"/>
        <v>17644.45</v>
      </c>
      <c r="FO16" s="426">
        <f t="shared" si="42"/>
        <v>9580</v>
      </c>
      <c r="FP16" s="426">
        <f t="shared" si="43"/>
        <v>17644.45</v>
      </c>
      <c r="FT16" s="427" t="s">
        <v>553</v>
      </c>
      <c r="FU16" s="93" t="s">
        <v>358</v>
      </c>
      <c r="FV16" s="94">
        <v>0</v>
      </c>
      <c r="FW16" s="94">
        <v>1973768</v>
      </c>
      <c r="FX16" s="94">
        <v>1973768</v>
      </c>
      <c r="FY16" s="426">
        <f t="shared" si="44"/>
        <v>0</v>
      </c>
      <c r="FZ16" s="426">
        <f t="shared" si="45"/>
        <v>1973.768</v>
      </c>
      <c r="GA16" s="426">
        <f t="shared" si="46"/>
        <v>1973.768</v>
      </c>
      <c r="GG16" s="762" t="s">
        <v>553</v>
      </c>
      <c r="GH16" s="763" t="s">
        <v>358</v>
      </c>
      <c r="GI16" s="764">
        <v>27224450</v>
      </c>
      <c r="GJ16" s="764">
        <v>19618218</v>
      </c>
      <c r="GK16" s="764">
        <v>7606232</v>
      </c>
      <c r="GL16" s="764">
        <v>19618218</v>
      </c>
      <c r="GM16" s="764">
        <v>0</v>
      </c>
      <c r="GN16" s="426">
        <f t="shared" si="47"/>
        <v>27224.45</v>
      </c>
      <c r="GO16" s="426">
        <f t="shared" si="48"/>
        <v>19618.218000000001</v>
      </c>
      <c r="GP16" s="426">
        <f t="shared" si="49"/>
        <v>7606.232</v>
      </c>
      <c r="GQ16" s="426">
        <f t="shared" si="50"/>
        <v>19618.218000000001</v>
      </c>
      <c r="GR16" s="426">
        <f t="shared" si="51"/>
        <v>0</v>
      </c>
      <c r="GV16" s="780" t="s">
        <v>923</v>
      </c>
      <c r="GW16" s="779">
        <v>2367200</v>
      </c>
      <c r="GX16" s="426">
        <f t="shared" si="52"/>
        <v>2367.1999999999998</v>
      </c>
      <c r="HB16" s="782" t="s">
        <v>923</v>
      </c>
      <c r="HC16" s="764">
        <v>3000000</v>
      </c>
      <c r="HD16" s="764">
        <v>2367200</v>
      </c>
      <c r="HE16" s="764">
        <v>632800</v>
      </c>
      <c r="HF16" s="764">
        <v>2367200</v>
      </c>
      <c r="HG16" s="426">
        <f t="shared" si="53"/>
        <v>3000</v>
      </c>
      <c r="HH16" s="426">
        <f t="shared" si="54"/>
        <v>632.79999999999995</v>
      </c>
      <c r="HI16" s="426">
        <f t="shared" si="55"/>
        <v>2367.1999999999998</v>
      </c>
      <c r="HJ16" s="426">
        <f t="shared" si="56"/>
        <v>632.79999999999995</v>
      </c>
      <c r="HK16" s="426">
        <f t="shared" si="57"/>
        <v>2367.1999999999998</v>
      </c>
    </row>
    <row r="17" spans="1:219" ht="15" customHeight="1" x14ac:dyDescent="0.3">
      <c r="A17" s="287" t="s">
        <v>554</v>
      </c>
      <c r="B17" s="288" t="s">
        <v>563</v>
      </c>
      <c r="C17" s="289">
        <v>6178938</v>
      </c>
      <c r="D17" s="290">
        <f t="shared" si="3"/>
        <v>6568.2110939999993</v>
      </c>
      <c r="E17" s="289">
        <v>0</v>
      </c>
      <c r="F17" s="289">
        <f t="shared" si="4"/>
        <v>0</v>
      </c>
      <c r="J17" s="291" t="s">
        <v>554</v>
      </c>
      <c r="K17" s="292" t="s">
        <v>564</v>
      </c>
      <c r="L17" s="293">
        <v>1564830</v>
      </c>
      <c r="M17" s="293">
        <f t="shared" si="5"/>
        <v>1663.4142899999999</v>
      </c>
      <c r="Q17" s="291" t="s">
        <v>554</v>
      </c>
      <c r="R17" s="292" t="s">
        <v>563</v>
      </c>
      <c r="S17" s="293">
        <v>6178938</v>
      </c>
      <c r="T17" s="293">
        <v>189150</v>
      </c>
      <c r="U17" s="293">
        <f t="shared" si="6"/>
        <v>6568.2110939999993</v>
      </c>
      <c r="V17" s="293">
        <f t="shared" si="7"/>
        <v>201.06645</v>
      </c>
      <c r="Z17" s="288" t="s">
        <v>563</v>
      </c>
      <c r="AA17" s="289">
        <v>365690</v>
      </c>
      <c r="AB17" s="289">
        <f t="shared" si="8"/>
        <v>388.72846999999996</v>
      </c>
      <c r="AF17" s="288" t="s">
        <v>563</v>
      </c>
      <c r="AG17" s="289">
        <v>6178938</v>
      </c>
      <c r="AH17" s="289">
        <f t="shared" si="0"/>
        <v>6568.2110939999993</v>
      </c>
      <c r="AI17" s="289">
        <v>554840</v>
      </c>
      <c r="AL17" s="426"/>
      <c r="AN17" s="423" t="s">
        <v>554</v>
      </c>
      <c r="AO17" s="424" t="s">
        <v>563</v>
      </c>
      <c r="AP17" s="425">
        <v>0</v>
      </c>
      <c r="AQ17" s="425">
        <f t="shared" si="9"/>
        <v>0</v>
      </c>
      <c r="AU17" s="423" t="s">
        <v>554</v>
      </c>
      <c r="AV17" s="424" t="s">
        <v>563</v>
      </c>
      <c r="AW17" s="425">
        <v>6178938</v>
      </c>
      <c r="AX17" s="425">
        <v>554840</v>
      </c>
      <c r="AY17" s="425">
        <v>5624098</v>
      </c>
      <c r="AZ17" s="426">
        <f t="shared" si="10"/>
        <v>6568.2110939999993</v>
      </c>
      <c r="BA17" s="426">
        <f t="shared" si="11"/>
        <v>589.79492000000005</v>
      </c>
      <c r="BB17" s="426">
        <f t="shared" si="12"/>
        <v>5978.416174</v>
      </c>
      <c r="BF17" s="423" t="s">
        <v>554</v>
      </c>
      <c r="BG17" s="424" t="s">
        <v>564</v>
      </c>
      <c r="BH17" s="425">
        <v>1480098</v>
      </c>
      <c r="BI17" s="426">
        <f t="shared" si="13"/>
        <v>1573.3441739999998</v>
      </c>
      <c r="BM17" s="427" t="s">
        <v>554</v>
      </c>
      <c r="BN17" s="93" t="s">
        <v>563</v>
      </c>
      <c r="BO17" s="94">
        <v>0</v>
      </c>
      <c r="BP17" s="94">
        <v>6178938</v>
      </c>
      <c r="BQ17" s="94">
        <v>706160</v>
      </c>
      <c r="BR17" s="94">
        <v>5472778</v>
      </c>
      <c r="BS17" s="94">
        <v>706160</v>
      </c>
      <c r="BT17" s="426">
        <f t="shared" si="14"/>
        <v>6568.2110939999993</v>
      </c>
      <c r="BU17" s="426">
        <f t="shared" si="15"/>
        <v>750.64807999999994</v>
      </c>
      <c r="BV17" s="426">
        <f t="shared" si="16"/>
        <v>5817.5630140000003</v>
      </c>
      <c r="BW17" s="426">
        <f t="shared" si="17"/>
        <v>750.64807999999994</v>
      </c>
      <c r="CA17" s="93" t="s">
        <v>563</v>
      </c>
      <c r="CB17" s="426">
        <v>151320</v>
      </c>
      <c r="CC17" s="426">
        <f t="shared" si="18"/>
        <v>160.85315999999997</v>
      </c>
      <c r="CG17" s="424" t="s">
        <v>563</v>
      </c>
      <c r="CH17" s="425">
        <v>0</v>
      </c>
      <c r="CI17" s="425">
        <v>6178938</v>
      </c>
      <c r="CJ17" s="425">
        <v>-6178938</v>
      </c>
      <c r="CK17" s="425">
        <v>857480</v>
      </c>
      <c r="CL17" s="425">
        <v>5321458</v>
      </c>
      <c r="CM17" s="425">
        <v>857480</v>
      </c>
      <c r="CN17" s="425">
        <f t="shared" si="19"/>
        <v>6568.2110939999993</v>
      </c>
      <c r="CO17" s="425">
        <f t="shared" si="20"/>
        <v>911.50123999999994</v>
      </c>
      <c r="CP17" s="425">
        <f t="shared" si="21"/>
        <v>5656.7098539999997</v>
      </c>
      <c r="CQ17" s="425">
        <f t="shared" si="22"/>
        <v>911.50123999999994</v>
      </c>
      <c r="CU17" s="424" t="s">
        <v>563</v>
      </c>
      <c r="CV17" s="425">
        <v>151320</v>
      </c>
      <c r="CW17" s="425">
        <v>151320</v>
      </c>
      <c r="CX17" s="426">
        <f t="shared" si="23"/>
        <v>160.85315999999997</v>
      </c>
      <c r="CY17" s="426">
        <f t="shared" si="24"/>
        <v>160.85315999999997</v>
      </c>
      <c r="DB17" s="568" t="s">
        <v>563</v>
      </c>
      <c r="DC17" s="569">
        <v>6178938</v>
      </c>
      <c r="DD17" s="569">
        <v>1008800</v>
      </c>
      <c r="DE17" s="569">
        <v>5170138</v>
      </c>
      <c r="DF17" s="569">
        <v>1008800</v>
      </c>
      <c r="DG17" s="570">
        <f t="shared" si="25"/>
        <v>6568.2110939999993</v>
      </c>
      <c r="DH17" s="570">
        <f t="shared" si="26"/>
        <v>1072.3543999999999</v>
      </c>
      <c r="DI17" s="570">
        <f t="shared" si="27"/>
        <v>5495.8566940000001</v>
      </c>
      <c r="DJ17" s="570">
        <f t="shared" si="28"/>
        <v>1072.3543999999999</v>
      </c>
      <c r="DN17" s="93" t="s">
        <v>564</v>
      </c>
      <c r="DO17" s="93">
        <v>1580176</v>
      </c>
      <c r="DP17" s="93">
        <v>1580176</v>
      </c>
      <c r="DQ17" s="626">
        <f t="shared" si="29"/>
        <v>1679.7270879999999</v>
      </c>
      <c r="DR17" s="626">
        <f t="shared" si="30"/>
        <v>1679.7270879999999</v>
      </c>
      <c r="DV17" s="93" t="s">
        <v>563</v>
      </c>
      <c r="DW17" s="94">
        <v>6178938</v>
      </c>
      <c r="DX17" s="94">
        <v>1147510</v>
      </c>
      <c r="DY17" s="94">
        <v>5031428</v>
      </c>
      <c r="DZ17" s="94">
        <v>1147510</v>
      </c>
      <c r="EA17" s="94">
        <f t="shared" si="58"/>
        <v>6568.2110939999993</v>
      </c>
      <c r="EB17" s="94">
        <f t="shared" si="31"/>
        <v>1219.80313</v>
      </c>
      <c r="EC17" s="94">
        <f t="shared" si="32"/>
        <v>5348.407964</v>
      </c>
      <c r="ED17" s="94">
        <f t="shared" si="33"/>
        <v>1219.80313</v>
      </c>
      <c r="EH17" s="420" t="s">
        <v>564</v>
      </c>
      <c r="EI17" s="420">
        <v>1895612</v>
      </c>
      <c r="EJ17" s="426">
        <f t="shared" si="34"/>
        <v>2015.035556</v>
      </c>
      <c r="EN17" s="420" t="s">
        <v>563</v>
      </c>
      <c r="EO17" s="426">
        <v>6178938</v>
      </c>
      <c r="EP17" s="426">
        <v>1147510</v>
      </c>
      <c r="EQ17" s="426">
        <v>5031428</v>
      </c>
      <c r="ER17" s="426">
        <v>1147510</v>
      </c>
      <c r="ES17" s="700">
        <f t="shared" si="35"/>
        <v>6568.2110939999993</v>
      </c>
      <c r="ET17" s="700">
        <f t="shared" si="36"/>
        <v>1219.80313</v>
      </c>
      <c r="EU17" s="700">
        <f t="shared" si="37"/>
        <v>5348.407964</v>
      </c>
      <c r="EV17" s="700">
        <f t="shared" si="38"/>
        <v>1219.80313</v>
      </c>
      <c r="EZ17" s="730" t="s">
        <v>554</v>
      </c>
      <c r="FA17" s="731" t="s">
        <v>564</v>
      </c>
      <c r="FB17" s="420">
        <v>1537088</v>
      </c>
      <c r="FC17" s="426">
        <f t="shared" si="39"/>
        <v>1537.088</v>
      </c>
      <c r="FG17" s="735" t="s">
        <v>554</v>
      </c>
      <c r="FH17" s="734" t="s">
        <v>563</v>
      </c>
      <c r="FI17" s="732">
        <v>6178938</v>
      </c>
      <c r="FJ17" s="733">
        <v>1147510</v>
      </c>
      <c r="FK17" s="733">
        <v>5031428</v>
      </c>
      <c r="FL17" s="733">
        <v>1147510</v>
      </c>
      <c r="FM17" s="426">
        <f t="shared" si="40"/>
        <v>6178.9380000000001</v>
      </c>
      <c r="FN17" s="426">
        <f t="shared" si="41"/>
        <v>1147.51</v>
      </c>
      <c r="FO17" s="426">
        <f t="shared" si="42"/>
        <v>5031.4279999999999</v>
      </c>
      <c r="FP17" s="426">
        <f t="shared" si="43"/>
        <v>1147.51</v>
      </c>
      <c r="FT17" s="427" t="s">
        <v>554</v>
      </c>
      <c r="FU17" s="93" t="s">
        <v>563</v>
      </c>
      <c r="FV17" s="94">
        <v>0</v>
      </c>
      <c r="FW17" s="94">
        <v>428740</v>
      </c>
      <c r="FX17" s="94">
        <v>428740</v>
      </c>
      <c r="FY17" s="426">
        <f t="shared" si="44"/>
        <v>0</v>
      </c>
      <c r="FZ17" s="426">
        <f t="shared" si="45"/>
        <v>428.74</v>
      </c>
      <c r="GA17" s="426">
        <f t="shared" si="46"/>
        <v>428.74</v>
      </c>
      <c r="GG17" s="762" t="s">
        <v>554</v>
      </c>
      <c r="GH17" s="763" t="s">
        <v>563</v>
      </c>
      <c r="GI17" s="764">
        <v>6178938</v>
      </c>
      <c r="GJ17" s="764">
        <v>1576250</v>
      </c>
      <c r="GK17" s="764">
        <v>4602688</v>
      </c>
      <c r="GL17" s="764">
        <v>1576250</v>
      </c>
      <c r="GM17" s="764">
        <v>0</v>
      </c>
      <c r="GN17" s="426">
        <f t="shared" si="47"/>
        <v>6178.9380000000001</v>
      </c>
      <c r="GO17" s="426">
        <f t="shared" si="48"/>
        <v>1576.25</v>
      </c>
      <c r="GP17" s="426">
        <f t="shared" si="49"/>
        <v>4602.6880000000001</v>
      </c>
      <c r="GQ17" s="426">
        <f t="shared" si="50"/>
        <v>1576.25</v>
      </c>
      <c r="GR17" s="426">
        <f t="shared" si="51"/>
        <v>0</v>
      </c>
      <c r="GV17" s="780" t="s">
        <v>358</v>
      </c>
      <c r="GW17" s="779">
        <v>2117020</v>
      </c>
      <c r="GX17" s="426">
        <f t="shared" si="52"/>
        <v>2117.02</v>
      </c>
      <c r="HB17" s="782" t="s">
        <v>358</v>
      </c>
      <c r="HC17" s="764">
        <v>27224450</v>
      </c>
      <c r="HD17" s="764">
        <v>21735238</v>
      </c>
      <c r="HE17" s="764">
        <v>5489212</v>
      </c>
      <c r="HF17" s="764">
        <v>21735238</v>
      </c>
      <c r="HG17" s="426">
        <f t="shared" si="53"/>
        <v>27224.45</v>
      </c>
      <c r="HH17" s="426">
        <f t="shared" si="54"/>
        <v>5489.2120000000004</v>
      </c>
      <c r="HI17" s="426">
        <f t="shared" si="55"/>
        <v>21735.238000000001</v>
      </c>
      <c r="HJ17" s="426">
        <f t="shared" si="56"/>
        <v>5489.2120000000004</v>
      </c>
      <c r="HK17" s="426">
        <f t="shared" si="57"/>
        <v>21735.238000000001</v>
      </c>
    </row>
    <row r="18" spans="1:219" ht="15" customHeight="1" x14ac:dyDescent="0.3">
      <c r="A18" s="287" t="s">
        <v>554</v>
      </c>
      <c r="B18" s="288" t="s">
        <v>564</v>
      </c>
      <c r="C18" s="289">
        <v>21045512</v>
      </c>
      <c r="D18" s="290">
        <f t="shared" si="3"/>
        <v>22371.379255999997</v>
      </c>
      <c r="E18" s="289">
        <v>1553401</v>
      </c>
      <c r="F18" s="289">
        <f t="shared" si="4"/>
        <v>1651.265263</v>
      </c>
      <c r="J18" s="291" t="s">
        <v>553</v>
      </c>
      <c r="K18" s="292" t="s">
        <v>360</v>
      </c>
      <c r="L18" s="293">
        <v>11687581</v>
      </c>
      <c r="M18" s="293">
        <f t="shared" si="5"/>
        <v>12423.898603</v>
      </c>
      <c r="Q18" s="291" t="s">
        <v>554</v>
      </c>
      <c r="R18" s="292" t="s">
        <v>564</v>
      </c>
      <c r="S18" s="293">
        <v>21045512</v>
      </c>
      <c r="T18" s="293">
        <v>3118231</v>
      </c>
      <c r="U18" s="293">
        <f t="shared" si="6"/>
        <v>22371.379255999997</v>
      </c>
      <c r="V18" s="293">
        <f t="shared" si="7"/>
        <v>3314.6795529999999</v>
      </c>
      <c r="Z18" s="288" t="s">
        <v>564</v>
      </c>
      <c r="AA18" s="289">
        <v>2012871</v>
      </c>
      <c r="AB18" s="289">
        <f t="shared" si="8"/>
        <v>2139.681873</v>
      </c>
      <c r="AF18" s="288" t="s">
        <v>564</v>
      </c>
      <c r="AG18" s="289">
        <v>21045512</v>
      </c>
      <c r="AH18" s="289">
        <f t="shared" si="0"/>
        <v>22371.379255999997</v>
      </c>
      <c r="AI18" s="289">
        <v>5131102</v>
      </c>
      <c r="AL18" s="426"/>
      <c r="AN18" s="423" t="s">
        <v>554</v>
      </c>
      <c r="AO18" s="424" t="s">
        <v>564</v>
      </c>
      <c r="AP18" s="425">
        <v>1464965</v>
      </c>
      <c r="AQ18" s="425">
        <f t="shared" si="9"/>
        <v>1557.2577949999998</v>
      </c>
      <c r="AU18" s="423" t="s">
        <v>554</v>
      </c>
      <c r="AV18" s="424" t="s">
        <v>564</v>
      </c>
      <c r="AW18" s="425">
        <v>21045512</v>
      </c>
      <c r="AX18" s="425">
        <v>6596067</v>
      </c>
      <c r="AY18" s="425">
        <v>14449445</v>
      </c>
      <c r="AZ18" s="426">
        <f t="shared" si="10"/>
        <v>22371.379255999997</v>
      </c>
      <c r="BA18" s="426">
        <f t="shared" si="11"/>
        <v>7011.6192209999999</v>
      </c>
      <c r="BB18" s="426">
        <f t="shared" si="12"/>
        <v>15359.760034999999</v>
      </c>
      <c r="BF18" s="423" t="s">
        <v>553</v>
      </c>
      <c r="BG18" s="424" t="s">
        <v>360</v>
      </c>
      <c r="BH18" s="425">
        <v>8474722</v>
      </c>
      <c r="BI18" s="426">
        <f t="shared" si="13"/>
        <v>9008.6294859999998</v>
      </c>
      <c r="BM18" s="427" t="s">
        <v>554</v>
      </c>
      <c r="BN18" s="93" t="s">
        <v>564</v>
      </c>
      <c r="BO18" s="94">
        <v>0</v>
      </c>
      <c r="BP18" s="94">
        <v>21045512</v>
      </c>
      <c r="BQ18" s="94">
        <v>8076165</v>
      </c>
      <c r="BR18" s="94">
        <v>12969347</v>
      </c>
      <c r="BS18" s="94">
        <v>8076165</v>
      </c>
      <c r="BT18" s="426">
        <f t="shared" si="14"/>
        <v>22371.379255999997</v>
      </c>
      <c r="BU18" s="426">
        <f t="shared" si="15"/>
        <v>8584.9633949999989</v>
      </c>
      <c r="BV18" s="426">
        <f t="shared" si="16"/>
        <v>13786.415860999999</v>
      </c>
      <c r="BW18" s="426">
        <f t="shared" si="17"/>
        <v>8584.9633949999989</v>
      </c>
      <c r="CA18" s="93" t="s">
        <v>564</v>
      </c>
      <c r="CB18" s="426">
        <v>1841810</v>
      </c>
      <c r="CC18" s="426">
        <f t="shared" si="18"/>
        <v>1957.8440299999997</v>
      </c>
      <c r="CG18" s="424" t="s">
        <v>564</v>
      </c>
      <c r="CH18" s="425">
        <v>0</v>
      </c>
      <c r="CI18" s="425">
        <v>21045512</v>
      </c>
      <c r="CJ18" s="425">
        <v>-21045512</v>
      </c>
      <c r="CK18" s="425">
        <v>9917975</v>
      </c>
      <c r="CL18" s="425">
        <v>11127537</v>
      </c>
      <c r="CM18" s="425">
        <v>9917975</v>
      </c>
      <c r="CN18" s="425">
        <f t="shared" si="19"/>
        <v>22371.379255999997</v>
      </c>
      <c r="CO18" s="425">
        <f t="shared" si="20"/>
        <v>10542.807424999999</v>
      </c>
      <c r="CP18" s="425">
        <f t="shared" si="21"/>
        <v>11828.571830999999</v>
      </c>
      <c r="CQ18" s="425">
        <f t="shared" si="22"/>
        <v>10542.807424999999</v>
      </c>
      <c r="CU18" s="424" t="s">
        <v>564</v>
      </c>
      <c r="CV18" s="425">
        <v>1566089</v>
      </c>
      <c r="CW18" s="425">
        <v>1566089</v>
      </c>
      <c r="CX18" s="426">
        <f t="shared" si="23"/>
        <v>1664.7526069999999</v>
      </c>
      <c r="CY18" s="426">
        <f t="shared" si="24"/>
        <v>1664.7526069999999</v>
      </c>
      <c r="DB18" s="568" t="s">
        <v>564</v>
      </c>
      <c r="DC18" s="569">
        <v>21045512</v>
      </c>
      <c r="DD18" s="569">
        <v>11484064</v>
      </c>
      <c r="DE18" s="569">
        <v>9561448</v>
      </c>
      <c r="DF18" s="569">
        <v>11484064</v>
      </c>
      <c r="DG18" s="570">
        <f t="shared" si="25"/>
        <v>22371.379255999997</v>
      </c>
      <c r="DH18" s="570">
        <f t="shared" si="26"/>
        <v>12207.560031999999</v>
      </c>
      <c r="DI18" s="570">
        <f t="shared" si="27"/>
        <v>10163.819223999999</v>
      </c>
      <c r="DJ18" s="570">
        <f t="shared" si="28"/>
        <v>12207.560031999999</v>
      </c>
      <c r="DN18" s="93" t="s">
        <v>360</v>
      </c>
      <c r="DO18" s="93">
        <v>11234869</v>
      </c>
      <c r="DP18" s="93">
        <v>11234869</v>
      </c>
      <c r="DQ18" s="626">
        <f t="shared" si="29"/>
        <v>11942.665747000001</v>
      </c>
      <c r="DR18" s="626">
        <f t="shared" si="30"/>
        <v>11942.665747000001</v>
      </c>
      <c r="DV18" s="93" t="s">
        <v>564</v>
      </c>
      <c r="DW18" s="94">
        <v>21045512</v>
      </c>
      <c r="DX18" s="94">
        <v>13064240</v>
      </c>
      <c r="DY18" s="94">
        <v>7981272</v>
      </c>
      <c r="DZ18" s="94">
        <v>13064240</v>
      </c>
      <c r="EA18" s="94">
        <f t="shared" si="58"/>
        <v>22371.379255999997</v>
      </c>
      <c r="EB18" s="94">
        <f t="shared" si="31"/>
        <v>13887.287119999999</v>
      </c>
      <c r="EC18" s="94">
        <f t="shared" si="32"/>
        <v>8484.0921359999993</v>
      </c>
      <c r="ED18" s="94">
        <f t="shared" si="33"/>
        <v>13887.287119999999</v>
      </c>
      <c r="EH18" s="420" t="s">
        <v>565</v>
      </c>
      <c r="EI18" s="420">
        <v>13787394</v>
      </c>
      <c r="EJ18" s="426">
        <f t="shared" si="34"/>
        <v>14655.999822</v>
      </c>
      <c r="EN18" s="420" t="s">
        <v>564</v>
      </c>
      <c r="EO18" s="426">
        <v>21045512</v>
      </c>
      <c r="EP18" s="426">
        <v>14959852</v>
      </c>
      <c r="EQ18" s="426">
        <v>6085660</v>
      </c>
      <c r="ER18" s="426">
        <v>14959852</v>
      </c>
      <c r="ES18" s="700">
        <f t="shared" si="35"/>
        <v>22371.379255999997</v>
      </c>
      <c r="ET18" s="700">
        <f t="shared" si="36"/>
        <v>15902.322676</v>
      </c>
      <c r="EU18" s="700">
        <f t="shared" si="37"/>
        <v>6469.0565799999995</v>
      </c>
      <c r="EV18" s="700">
        <f t="shared" si="38"/>
        <v>15902.322676</v>
      </c>
      <c r="EZ18" s="730" t="s">
        <v>553</v>
      </c>
      <c r="FA18" s="731" t="s">
        <v>565</v>
      </c>
      <c r="FB18" s="420">
        <v>0</v>
      </c>
      <c r="FC18" s="426">
        <f t="shared" si="39"/>
        <v>0</v>
      </c>
      <c r="FG18" s="735" t="s">
        <v>554</v>
      </c>
      <c r="FH18" s="734" t="s">
        <v>564</v>
      </c>
      <c r="FI18" s="732">
        <v>21045512</v>
      </c>
      <c r="FJ18" s="733">
        <v>16496940</v>
      </c>
      <c r="FK18" s="733">
        <v>4548572</v>
      </c>
      <c r="FL18" s="733">
        <v>16496940</v>
      </c>
      <c r="FM18" s="426">
        <f t="shared" si="40"/>
        <v>21045.511999999999</v>
      </c>
      <c r="FN18" s="426">
        <f t="shared" si="41"/>
        <v>16496.939999999999</v>
      </c>
      <c r="FO18" s="426">
        <f t="shared" si="42"/>
        <v>4548.5720000000001</v>
      </c>
      <c r="FP18" s="426">
        <f t="shared" si="43"/>
        <v>16496.939999999999</v>
      </c>
      <c r="FT18" s="427" t="s">
        <v>554</v>
      </c>
      <c r="FU18" s="93" t="s">
        <v>564</v>
      </c>
      <c r="FV18" s="94">
        <v>0</v>
      </c>
      <c r="FW18" s="94">
        <v>1545028</v>
      </c>
      <c r="FX18" s="94">
        <v>1545028</v>
      </c>
      <c r="FY18" s="426">
        <f t="shared" si="44"/>
        <v>0</v>
      </c>
      <c r="FZ18" s="426">
        <f t="shared" si="45"/>
        <v>1545.028</v>
      </c>
      <c r="GA18" s="426">
        <f t="shared" si="46"/>
        <v>1545.028</v>
      </c>
      <c r="GG18" s="762" t="s">
        <v>554</v>
      </c>
      <c r="GH18" s="763" t="s">
        <v>564</v>
      </c>
      <c r="GI18" s="764">
        <v>21045512</v>
      </c>
      <c r="GJ18" s="764">
        <v>18041968</v>
      </c>
      <c r="GK18" s="764">
        <v>3003544</v>
      </c>
      <c r="GL18" s="764">
        <v>18041968</v>
      </c>
      <c r="GM18" s="764">
        <v>0</v>
      </c>
      <c r="GN18" s="426">
        <f t="shared" si="47"/>
        <v>21045.511999999999</v>
      </c>
      <c r="GO18" s="426">
        <f t="shared" si="48"/>
        <v>18041.968000000001</v>
      </c>
      <c r="GP18" s="426">
        <f t="shared" si="49"/>
        <v>3003.5439999999999</v>
      </c>
      <c r="GQ18" s="426">
        <f t="shared" si="50"/>
        <v>18041.968000000001</v>
      </c>
      <c r="GR18" s="426">
        <f t="shared" si="51"/>
        <v>0</v>
      </c>
      <c r="GV18" s="780" t="s">
        <v>563</v>
      </c>
      <c r="GW18" s="779">
        <v>302640</v>
      </c>
      <c r="GX18" s="426">
        <f t="shared" si="52"/>
        <v>302.64</v>
      </c>
      <c r="HB18" s="782" t="s">
        <v>563</v>
      </c>
      <c r="HC18" s="764">
        <v>6178938</v>
      </c>
      <c r="HD18" s="764">
        <v>1878890</v>
      </c>
      <c r="HE18" s="764">
        <v>4300048</v>
      </c>
      <c r="HF18" s="764">
        <v>1878890</v>
      </c>
      <c r="HG18" s="426">
        <f t="shared" si="53"/>
        <v>6178.9380000000001</v>
      </c>
      <c r="HH18" s="426">
        <f t="shared" si="54"/>
        <v>4300.0479999999998</v>
      </c>
      <c r="HI18" s="426">
        <f t="shared" si="55"/>
        <v>1878.89</v>
      </c>
      <c r="HJ18" s="426">
        <f t="shared" si="56"/>
        <v>4300.0479999999998</v>
      </c>
      <c r="HK18" s="426">
        <f t="shared" si="57"/>
        <v>1878.89</v>
      </c>
    </row>
    <row r="19" spans="1:219" ht="15" customHeight="1" x14ac:dyDescent="0.3">
      <c r="A19" s="287" t="s">
        <v>553</v>
      </c>
      <c r="B19" s="288" t="s">
        <v>565</v>
      </c>
      <c r="C19" s="289">
        <v>64131355</v>
      </c>
      <c r="D19" s="290">
        <f t="shared" si="3"/>
        <v>68171.630365000005</v>
      </c>
      <c r="E19" s="289">
        <v>0</v>
      </c>
      <c r="F19" s="289">
        <f t="shared" si="4"/>
        <v>0</v>
      </c>
      <c r="J19" s="291" t="s">
        <v>554</v>
      </c>
      <c r="K19" s="292" t="s">
        <v>567</v>
      </c>
      <c r="L19" s="293">
        <v>11357374</v>
      </c>
      <c r="M19" s="293">
        <f t="shared" si="5"/>
        <v>12072.888561999998</v>
      </c>
      <c r="Q19" s="291" t="s">
        <v>553</v>
      </c>
      <c r="R19" s="292" t="s">
        <v>565</v>
      </c>
      <c r="S19" s="293">
        <v>64131355</v>
      </c>
      <c r="T19" s="293">
        <v>0</v>
      </c>
      <c r="U19" s="293">
        <f t="shared" si="6"/>
        <v>68171.630365000005</v>
      </c>
      <c r="V19" s="293">
        <f t="shared" si="7"/>
        <v>0</v>
      </c>
      <c r="Z19" s="288" t="s">
        <v>565</v>
      </c>
      <c r="AA19" s="289">
        <v>14417982</v>
      </c>
      <c r="AB19" s="289">
        <f t="shared" si="8"/>
        <v>15326.314865999999</v>
      </c>
      <c r="AF19" s="288" t="s">
        <v>565</v>
      </c>
      <c r="AG19" s="289">
        <v>64131355</v>
      </c>
      <c r="AH19" s="289">
        <f t="shared" si="0"/>
        <v>68171.630365000005</v>
      </c>
      <c r="AI19" s="289">
        <v>14417982</v>
      </c>
      <c r="AL19" s="426"/>
      <c r="AN19" s="423" t="s">
        <v>553</v>
      </c>
      <c r="AO19" s="424" t="s">
        <v>565</v>
      </c>
      <c r="AP19" s="425">
        <v>0</v>
      </c>
      <c r="AQ19" s="425">
        <f t="shared" si="9"/>
        <v>0</v>
      </c>
      <c r="AU19" s="423" t="s">
        <v>553</v>
      </c>
      <c r="AV19" s="424" t="s">
        <v>565</v>
      </c>
      <c r="AW19" s="425">
        <v>64131355</v>
      </c>
      <c r="AX19" s="425">
        <v>14417982</v>
      </c>
      <c r="AY19" s="425">
        <v>49713373</v>
      </c>
      <c r="AZ19" s="426">
        <f t="shared" si="10"/>
        <v>68171.630365000005</v>
      </c>
      <c r="BA19" s="426">
        <f t="shared" si="11"/>
        <v>15326.314865999999</v>
      </c>
      <c r="BB19" s="426">
        <f t="shared" si="12"/>
        <v>52845.315498999997</v>
      </c>
      <c r="BF19" s="423" t="s">
        <v>554</v>
      </c>
      <c r="BG19" s="424" t="s">
        <v>567</v>
      </c>
      <c r="BH19" s="425">
        <v>7531274</v>
      </c>
      <c r="BI19" s="426">
        <f t="shared" si="13"/>
        <v>8005.7442620000002</v>
      </c>
      <c r="BM19" s="427" t="s">
        <v>553</v>
      </c>
      <c r="BN19" s="93" t="s">
        <v>565</v>
      </c>
      <c r="BO19" s="94">
        <v>0</v>
      </c>
      <c r="BP19" s="94">
        <v>64131355</v>
      </c>
      <c r="BQ19" s="94">
        <v>14417982</v>
      </c>
      <c r="BR19" s="94">
        <v>49713373</v>
      </c>
      <c r="BS19" s="94">
        <v>14417982</v>
      </c>
      <c r="BT19" s="426">
        <f t="shared" si="14"/>
        <v>68171.630365000005</v>
      </c>
      <c r="BU19" s="426">
        <f t="shared" si="15"/>
        <v>15326.314865999999</v>
      </c>
      <c r="BV19" s="426">
        <f t="shared" si="16"/>
        <v>52845.315498999997</v>
      </c>
      <c r="BW19" s="426">
        <f t="shared" si="17"/>
        <v>15326.314865999999</v>
      </c>
      <c r="CA19" s="93" t="s">
        <v>565</v>
      </c>
      <c r="CB19" s="426">
        <v>13856188</v>
      </c>
      <c r="CC19" s="426">
        <f t="shared" si="18"/>
        <v>14729.127843999999</v>
      </c>
      <c r="CG19" s="424" t="s">
        <v>565</v>
      </c>
      <c r="CH19" s="425">
        <v>0</v>
      </c>
      <c r="CI19" s="425">
        <v>64131355</v>
      </c>
      <c r="CJ19" s="425">
        <v>-64131355</v>
      </c>
      <c r="CK19" s="425">
        <v>28274170</v>
      </c>
      <c r="CL19" s="425">
        <v>35857185</v>
      </c>
      <c r="CM19" s="425">
        <v>28274170</v>
      </c>
      <c r="CN19" s="425">
        <f t="shared" si="19"/>
        <v>68171.630365000005</v>
      </c>
      <c r="CO19" s="425">
        <f t="shared" si="20"/>
        <v>30055.442709999996</v>
      </c>
      <c r="CP19" s="425">
        <f t="shared" si="21"/>
        <v>38116.187654999994</v>
      </c>
      <c r="CQ19" s="425">
        <f t="shared" si="22"/>
        <v>30055.442709999996</v>
      </c>
      <c r="CU19" s="424" t="s">
        <v>565</v>
      </c>
      <c r="CV19" s="425">
        <v>0</v>
      </c>
      <c r="CW19" s="425">
        <v>0</v>
      </c>
      <c r="CX19" s="426">
        <f t="shared" si="23"/>
        <v>0</v>
      </c>
      <c r="CY19" s="426">
        <f t="shared" si="24"/>
        <v>0</v>
      </c>
      <c r="DB19" s="568" t="s">
        <v>565</v>
      </c>
      <c r="DC19" s="569">
        <v>64131355</v>
      </c>
      <c r="DD19" s="569">
        <v>28274170</v>
      </c>
      <c r="DE19" s="569">
        <v>35857185</v>
      </c>
      <c r="DF19" s="569">
        <v>28274170</v>
      </c>
      <c r="DG19" s="570">
        <f t="shared" si="25"/>
        <v>68171.630365000005</v>
      </c>
      <c r="DH19" s="570">
        <f t="shared" si="26"/>
        <v>30055.442709999996</v>
      </c>
      <c r="DI19" s="570">
        <f t="shared" si="27"/>
        <v>38116.187654999994</v>
      </c>
      <c r="DJ19" s="570">
        <f t="shared" si="28"/>
        <v>30055.442709999996</v>
      </c>
      <c r="DN19" s="93" t="s">
        <v>567</v>
      </c>
      <c r="DO19" s="93">
        <v>10265228</v>
      </c>
      <c r="DP19" s="93">
        <v>10265228</v>
      </c>
      <c r="DQ19" s="626">
        <f t="shared" si="29"/>
        <v>10911.937363999999</v>
      </c>
      <c r="DR19" s="626">
        <f t="shared" si="30"/>
        <v>10911.937363999999</v>
      </c>
      <c r="DV19" s="93" t="s">
        <v>565</v>
      </c>
      <c r="DW19" s="94">
        <v>64131355</v>
      </c>
      <c r="DX19" s="94">
        <v>28274170</v>
      </c>
      <c r="DY19" s="94">
        <v>35857185</v>
      </c>
      <c r="DZ19" s="94">
        <v>28274170</v>
      </c>
      <c r="EA19" s="94">
        <f t="shared" si="58"/>
        <v>68171.630365000005</v>
      </c>
      <c r="EB19" s="94">
        <f t="shared" si="31"/>
        <v>30055.442709999996</v>
      </c>
      <c r="EC19" s="94">
        <f t="shared" si="32"/>
        <v>38116.187654999994</v>
      </c>
      <c r="ED19" s="94">
        <f t="shared" si="33"/>
        <v>30055.442709999996</v>
      </c>
      <c r="EH19" s="420" t="s">
        <v>566</v>
      </c>
      <c r="EI19" s="420">
        <v>7500729</v>
      </c>
      <c r="EJ19" s="426">
        <f t="shared" si="34"/>
        <v>7973.2749269999995</v>
      </c>
      <c r="EN19" s="420" t="s">
        <v>565</v>
      </c>
      <c r="EO19" s="426">
        <v>64131355</v>
      </c>
      <c r="EP19" s="426">
        <v>42061564</v>
      </c>
      <c r="EQ19" s="426">
        <v>22069791</v>
      </c>
      <c r="ER19" s="426">
        <v>42061564</v>
      </c>
      <c r="ES19" s="700">
        <f t="shared" si="35"/>
        <v>68171.630365000005</v>
      </c>
      <c r="ET19" s="700">
        <f t="shared" si="36"/>
        <v>44711.442531999994</v>
      </c>
      <c r="EU19" s="700">
        <f t="shared" si="37"/>
        <v>23460.187833</v>
      </c>
      <c r="EV19" s="700">
        <f t="shared" si="38"/>
        <v>44711.442531999994</v>
      </c>
      <c r="EZ19" s="730" t="s">
        <v>554</v>
      </c>
      <c r="FA19" s="731" t="s">
        <v>566</v>
      </c>
      <c r="FB19" s="420">
        <v>0</v>
      </c>
      <c r="FC19" s="426">
        <f t="shared" si="39"/>
        <v>0</v>
      </c>
      <c r="FG19" s="735" t="s">
        <v>553</v>
      </c>
      <c r="FH19" s="734" t="s">
        <v>565</v>
      </c>
      <c r="FI19" s="732">
        <v>64131355</v>
      </c>
      <c r="FJ19" s="733">
        <v>42061564</v>
      </c>
      <c r="FK19" s="733">
        <v>22069791</v>
      </c>
      <c r="FL19" s="733">
        <v>42061564</v>
      </c>
      <c r="FM19" s="426">
        <f t="shared" si="40"/>
        <v>64131.355000000003</v>
      </c>
      <c r="FN19" s="426">
        <f t="shared" si="41"/>
        <v>42061.563999999998</v>
      </c>
      <c r="FO19" s="426">
        <f t="shared" si="42"/>
        <v>22069.791000000001</v>
      </c>
      <c r="FP19" s="426">
        <f t="shared" si="43"/>
        <v>42061.563999999998</v>
      </c>
      <c r="FT19" s="427" t="s">
        <v>553</v>
      </c>
      <c r="FU19" s="93" t="s">
        <v>565</v>
      </c>
      <c r="FV19" s="94">
        <v>0</v>
      </c>
      <c r="FW19" s="94">
        <v>0</v>
      </c>
      <c r="FX19" s="94">
        <v>0</v>
      </c>
      <c r="FY19" s="426">
        <f t="shared" si="44"/>
        <v>0</v>
      </c>
      <c r="FZ19" s="426">
        <f t="shared" si="45"/>
        <v>0</v>
      </c>
      <c r="GA19" s="426">
        <f t="shared" si="46"/>
        <v>0</v>
      </c>
      <c r="GG19" s="762" t="s">
        <v>553</v>
      </c>
      <c r="GH19" s="763" t="s">
        <v>565</v>
      </c>
      <c r="GI19" s="764">
        <v>64131355</v>
      </c>
      <c r="GJ19" s="764">
        <v>42061564</v>
      </c>
      <c r="GK19" s="764">
        <v>22069791</v>
      </c>
      <c r="GL19" s="764">
        <v>42061564</v>
      </c>
      <c r="GM19" s="764">
        <v>0</v>
      </c>
      <c r="GN19" s="426">
        <f t="shared" si="47"/>
        <v>64131.355000000003</v>
      </c>
      <c r="GO19" s="426">
        <f t="shared" si="48"/>
        <v>42061.563999999998</v>
      </c>
      <c r="GP19" s="426">
        <f t="shared" si="49"/>
        <v>22069.791000000001</v>
      </c>
      <c r="GQ19" s="426">
        <f t="shared" si="50"/>
        <v>42061.563999999998</v>
      </c>
      <c r="GR19" s="426">
        <f t="shared" si="51"/>
        <v>0</v>
      </c>
      <c r="GV19" s="780" t="s">
        <v>564</v>
      </c>
      <c r="GW19" s="779">
        <v>1814380</v>
      </c>
      <c r="GX19" s="426">
        <f t="shared" si="52"/>
        <v>1814.38</v>
      </c>
      <c r="HB19" s="782" t="s">
        <v>564</v>
      </c>
      <c r="HC19" s="764">
        <v>21045512</v>
      </c>
      <c r="HD19" s="764">
        <v>19856348</v>
      </c>
      <c r="HE19" s="764">
        <v>1189164</v>
      </c>
      <c r="HF19" s="764">
        <v>19856348</v>
      </c>
      <c r="HG19" s="426">
        <f t="shared" si="53"/>
        <v>21045.511999999999</v>
      </c>
      <c r="HH19" s="426">
        <f t="shared" si="54"/>
        <v>1189.164</v>
      </c>
      <c r="HI19" s="426">
        <f t="shared" si="55"/>
        <v>19856.348000000002</v>
      </c>
      <c r="HJ19" s="426">
        <f t="shared" si="56"/>
        <v>1189.164</v>
      </c>
      <c r="HK19" s="426">
        <f t="shared" si="57"/>
        <v>19856.348000000002</v>
      </c>
    </row>
    <row r="20" spans="1:219" ht="15" customHeight="1" x14ac:dyDescent="0.3">
      <c r="A20" s="287" t="s">
        <v>554</v>
      </c>
      <c r="B20" s="288" t="s">
        <v>566</v>
      </c>
      <c r="C20" s="289">
        <v>31734180</v>
      </c>
      <c r="D20" s="290">
        <f t="shared" si="3"/>
        <v>33733.433339999996</v>
      </c>
      <c r="E20" s="289">
        <v>0</v>
      </c>
      <c r="F20" s="289">
        <f t="shared" si="4"/>
        <v>0</v>
      </c>
      <c r="J20" s="291" t="s">
        <v>554</v>
      </c>
      <c r="K20" s="292" t="s">
        <v>623</v>
      </c>
      <c r="L20" s="293">
        <v>330207</v>
      </c>
      <c r="M20" s="293">
        <f t="shared" si="5"/>
        <v>351.010041</v>
      </c>
      <c r="Q20" s="291" t="s">
        <v>554</v>
      </c>
      <c r="R20" s="292" t="s">
        <v>566</v>
      </c>
      <c r="S20" s="293">
        <v>31734180</v>
      </c>
      <c r="T20" s="293">
        <v>0</v>
      </c>
      <c r="U20" s="293">
        <f t="shared" si="6"/>
        <v>33733.433339999996</v>
      </c>
      <c r="V20" s="293">
        <f t="shared" si="7"/>
        <v>0</v>
      </c>
      <c r="Z20" s="288" t="s">
        <v>566</v>
      </c>
      <c r="AA20" s="289">
        <v>7278607</v>
      </c>
      <c r="AB20" s="289">
        <f t="shared" si="8"/>
        <v>7737.1592409999994</v>
      </c>
      <c r="AF20" s="288" t="s">
        <v>566</v>
      </c>
      <c r="AG20" s="289">
        <v>31734180</v>
      </c>
      <c r="AH20" s="289">
        <f t="shared" si="0"/>
        <v>33733.433339999996</v>
      </c>
      <c r="AI20" s="289">
        <v>7278607</v>
      </c>
      <c r="AL20" s="426"/>
      <c r="AN20" s="423" t="s">
        <v>554</v>
      </c>
      <c r="AO20" s="424" t="s">
        <v>566</v>
      </c>
      <c r="AP20" s="425">
        <v>0</v>
      </c>
      <c r="AQ20" s="425">
        <f t="shared" si="9"/>
        <v>0</v>
      </c>
      <c r="AU20" s="423" t="s">
        <v>554</v>
      </c>
      <c r="AV20" s="424" t="s">
        <v>566</v>
      </c>
      <c r="AW20" s="425">
        <v>31734180</v>
      </c>
      <c r="AX20" s="425">
        <v>7278607</v>
      </c>
      <c r="AY20" s="425">
        <v>24455573</v>
      </c>
      <c r="AZ20" s="426">
        <f t="shared" si="10"/>
        <v>33733.433339999996</v>
      </c>
      <c r="BA20" s="426">
        <f t="shared" si="11"/>
        <v>7737.1592409999994</v>
      </c>
      <c r="BB20" s="426">
        <f t="shared" si="12"/>
        <v>25996.274098999998</v>
      </c>
      <c r="BF20" s="423" t="s">
        <v>554</v>
      </c>
      <c r="BG20" s="424" t="s">
        <v>623</v>
      </c>
      <c r="BH20" s="425">
        <v>943448</v>
      </c>
      <c r="BI20" s="426">
        <f t="shared" si="13"/>
        <v>1002.8852239999999</v>
      </c>
      <c r="BM20" s="427" t="s">
        <v>554</v>
      </c>
      <c r="BN20" s="93" t="s">
        <v>566</v>
      </c>
      <c r="BO20" s="94">
        <v>0</v>
      </c>
      <c r="BP20" s="94">
        <v>31734180</v>
      </c>
      <c r="BQ20" s="94">
        <v>7278607</v>
      </c>
      <c r="BR20" s="94">
        <v>24455573</v>
      </c>
      <c r="BS20" s="94">
        <v>7278607</v>
      </c>
      <c r="BT20" s="426">
        <f t="shared" si="14"/>
        <v>33733.433339999996</v>
      </c>
      <c r="BU20" s="426">
        <f t="shared" si="15"/>
        <v>7737.1592409999994</v>
      </c>
      <c r="BV20" s="426">
        <f t="shared" si="16"/>
        <v>25996.274098999998</v>
      </c>
      <c r="BW20" s="426">
        <f t="shared" si="17"/>
        <v>7737.1592409999994</v>
      </c>
      <c r="CA20" s="93" t="s">
        <v>566</v>
      </c>
      <c r="CB20" s="426">
        <v>7544641</v>
      </c>
      <c r="CC20" s="426">
        <f t="shared" si="18"/>
        <v>8019.9533829999991</v>
      </c>
      <c r="CG20" s="424" t="s">
        <v>566</v>
      </c>
      <c r="CH20" s="425">
        <v>0</v>
      </c>
      <c r="CI20" s="425">
        <v>31734180</v>
      </c>
      <c r="CJ20" s="425">
        <v>-31734180</v>
      </c>
      <c r="CK20" s="425">
        <v>14823248</v>
      </c>
      <c r="CL20" s="425">
        <v>16910932</v>
      </c>
      <c r="CM20" s="425">
        <v>14823248</v>
      </c>
      <c r="CN20" s="425">
        <f t="shared" si="19"/>
        <v>33733.433339999996</v>
      </c>
      <c r="CO20" s="425">
        <f t="shared" si="20"/>
        <v>15757.112623999999</v>
      </c>
      <c r="CP20" s="425">
        <f t="shared" si="21"/>
        <v>17976.320715999998</v>
      </c>
      <c r="CQ20" s="425">
        <f t="shared" si="22"/>
        <v>15757.112623999999</v>
      </c>
      <c r="CU20" s="424" t="s">
        <v>566</v>
      </c>
      <c r="CV20" s="425">
        <v>0</v>
      </c>
      <c r="CW20" s="425">
        <v>0</v>
      </c>
      <c r="CX20" s="426">
        <f t="shared" si="23"/>
        <v>0</v>
      </c>
      <c r="CY20" s="426">
        <f t="shared" si="24"/>
        <v>0</v>
      </c>
      <c r="DB20" s="568" t="s">
        <v>566</v>
      </c>
      <c r="DC20" s="569">
        <v>31734180</v>
      </c>
      <c r="DD20" s="569">
        <v>14823248</v>
      </c>
      <c r="DE20" s="569">
        <v>16910932</v>
      </c>
      <c r="DF20" s="569">
        <v>14823248</v>
      </c>
      <c r="DG20" s="570">
        <f t="shared" si="25"/>
        <v>33733.433339999996</v>
      </c>
      <c r="DH20" s="570">
        <f t="shared" si="26"/>
        <v>15757.112623999999</v>
      </c>
      <c r="DI20" s="570">
        <f t="shared" si="27"/>
        <v>17976.320715999998</v>
      </c>
      <c r="DJ20" s="570">
        <f t="shared" si="28"/>
        <v>15757.112623999999</v>
      </c>
      <c r="DN20" s="93" t="s">
        <v>623</v>
      </c>
      <c r="DO20" s="93">
        <v>969641</v>
      </c>
      <c r="DP20" s="93">
        <v>969641</v>
      </c>
      <c r="DQ20" s="626">
        <f t="shared" si="29"/>
        <v>1030.7283829999999</v>
      </c>
      <c r="DR20" s="626">
        <f t="shared" si="30"/>
        <v>1030.7283829999999</v>
      </c>
      <c r="DV20" s="93" t="s">
        <v>566</v>
      </c>
      <c r="DW20" s="94">
        <v>31734180</v>
      </c>
      <c r="DX20" s="94">
        <v>14823248</v>
      </c>
      <c r="DY20" s="94">
        <v>16910932</v>
      </c>
      <c r="DZ20" s="94">
        <v>14823248</v>
      </c>
      <c r="EA20" s="94">
        <f t="shared" si="58"/>
        <v>33733.433339999996</v>
      </c>
      <c r="EB20" s="94">
        <f t="shared" si="31"/>
        <v>15757.112623999999</v>
      </c>
      <c r="EC20" s="94">
        <f t="shared" si="32"/>
        <v>17976.320715999998</v>
      </c>
      <c r="ED20" s="94">
        <f t="shared" si="33"/>
        <v>15757.112623999999</v>
      </c>
      <c r="EH20" s="420" t="s">
        <v>359</v>
      </c>
      <c r="EI20" s="420">
        <v>6286665</v>
      </c>
      <c r="EJ20" s="426">
        <f t="shared" si="34"/>
        <v>6682.7248949999994</v>
      </c>
      <c r="EN20" s="420" t="s">
        <v>566</v>
      </c>
      <c r="EO20" s="426">
        <v>31734180</v>
      </c>
      <c r="EP20" s="426">
        <v>22323977</v>
      </c>
      <c r="EQ20" s="426">
        <v>9410203</v>
      </c>
      <c r="ER20" s="426">
        <v>22323977</v>
      </c>
      <c r="ES20" s="700">
        <f t="shared" si="35"/>
        <v>33733.433339999996</v>
      </c>
      <c r="ET20" s="700">
        <f t="shared" si="36"/>
        <v>23730.387550999996</v>
      </c>
      <c r="EU20" s="700">
        <f t="shared" si="37"/>
        <v>10003.045789</v>
      </c>
      <c r="EV20" s="700">
        <f t="shared" si="38"/>
        <v>23730.387550999996</v>
      </c>
      <c r="EZ20" s="730" t="s">
        <v>554</v>
      </c>
      <c r="FA20" s="731" t="s">
        <v>359</v>
      </c>
      <c r="FB20" s="420">
        <v>0</v>
      </c>
      <c r="FC20" s="426">
        <f t="shared" si="39"/>
        <v>0</v>
      </c>
      <c r="FG20" s="735" t="s">
        <v>554</v>
      </c>
      <c r="FH20" s="734" t="s">
        <v>566</v>
      </c>
      <c r="FI20" s="732">
        <v>31734180</v>
      </c>
      <c r="FJ20" s="733">
        <v>22323977</v>
      </c>
      <c r="FK20" s="733">
        <v>9410203</v>
      </c>
      <c r="FL20" s="733">
        <v>22323977</v>
      </c>
      <c r="FM20" s="426">
        <f t="shared" si="40"/>
        <v>31734.18</v>
      </c>
      <c r="FN20" s="426">
        <f t="shared" si="41"/>
        <v>22323.976999999999</v>
      </c>
      <c r="FO20" s="426">
        <f t="shared" si="42"/>
        <v>9410.2029999999995</v>
      </c>
      <c r="FP20" s="426">
        <f t="shared" si="43"/>
        <v>22323.976999999999</v>
      </c>
      <c r="FT20" s="427" t="s">
        <v>554</v>
      </c>
      <c r="FU20" s="93" t="s">
        <v>566</v>
      </c>
      <c r="FV20" s="94">
        <v>0</v>
      </c>
      <c r="FW20" s="94">
        <v>0</v>
      </c>
      <c r="FX20" s="94">
        <v>0</v>
      </c>
      <c r="FY20" s="426">
        <f t="shared" si="44"/>
        <v>0</v>
      </c>
      <c r="FZ20" s="426">
        <f t="shared" si="45"/>
        <v>0</v>
      </c>
      <c r="GA20" s="426">
        <f t="shared" si="46"/>
        <v>0</v>
      </c>
      <c r="GG20" s="762" t="s">
        <v>554</v>
      </c>
      <c r="GH20" s="763" t="s">
        <v>566</v>
      </c>
      <c r="GI20" s="764">
        <v>31734180</v>
      </c>
      <c r="GJ20" s="764">
        <v>22323977</v>
      </c>
      <c r="GK20" s="764">
        <v>9410203</v>
      </c>
      <c r="GL20" s="764">
        <v>22323977</v>
      </c>
      <c r="GM20" s="764">
        <v>0</v>
      </c>
      <c r="GN20" s="426">
        <f t="shared" si="47"/>
        <v>31734.18</v>
      </c>
      <c r="GO20" s="426">
        <f t="shared" si="48"/>
        <v>22323.976999999999</v>
      </c>
      <c r="GP20" s="426">
        <f t="shared" si="49"/>
        <v>9410.2029999999995</v>
      </c>
      <c r="GQ20" s="426">
        <f t="shared" si="50"/>
        <v>22323.976999999999</v>
      </c>
      <c r="GR20" s="426">
        <f t="shared" si="51"/>
        <v>0</v>
      </c>
      <c r="GV20" s="780" t="s">
        <v>565</v>
      </c>
      <c r="GW20" s="779">
        <v>13839655</v>
      </c>
      <c r="GX20" s="426">
        <f t="shared" si="52"/>
        <v>13839.655000000001</v>
      </c>
      <c r="HB20" s="782" t="s">
        <v>565</v>
      </c>
      <c r="HC20" s="764">
        <v>64141355</v>
      </c>
      <c r="HD20" s="764">
        <v>55901219</v>
      </c>
      <c r="HE20" s="764">
        <v>8240136</v>
      </c>
      <c r="HF20" s="764">
        <v>55901219</v>
      </c>
      <c r="HG20" s="426">
        <f t="shared" si="53"/>
        <v>64141.355000000003</v>
      </c>
      <c r="HH20" s="426">
        <f t="shared" si="54"/>
        <v>8240.1360000000004</v>
      </c>
      <c r="HI20" s="426">
        <f t="shared" si="55"/>
        <v>55901.218999999997</v>
      </c>
      <c r="HJ20" s="426">
        <f t="shared" si="56"/>
        <v>8240.1360000000004</v>
      </c>
      <c r="HK20" s="426">
        <f t="shared" si="57"/>
        <v>55901.218999999997</v>
      </c>
    </row>
    <row r="21" spans="1:219" ht="15" customHeight="1" x14ac:dyDescent="0.3">
      <c r="A21" s="287" t="s">
        <v>554</v>
      </c>
      <c r="B21" s="288" t="s">
        <v>359</v>
      </c>
      <c r="C21" s="289">
        <v>32397175</v>
      </c>
      <c r="D21" s="290">
        <f t="shared" si="3"/>
        <v>34438.197024999994</v>
      </c>
      <c r="E21" s="289">
        <v>0</v>
      </c>
      <c r="F21" s="289">
        <f t="shared" si="4"/>
        <v>0</v>
      </c>
      <c r="J21" s="291" t="s">
        <v>355</v>
      </c>
      <c r="K21" s="292" t="s">
        <v>364</v>
      </c>
      <c r="L21" s="293">
        <v>896580880</v>
      </c>
      <c r="M21" s="293">
        <f t="shared" si="5"/>
        <v>953065.47543999995</v>
      </c>
      <c r="Q21" s="291" t="s">
        <v>554</v>
      </c>
      <c r="R21" s="292" t="s">
        <v>359</v>
      </c>
      <c r="S21" s="293">
        <v>32397175</v>
      </c>
      <c r="T21" s="293">
        <v>0</v>
      </c>
      <c r="U21" s="293">
        <f t="shared" si="6"/>
        <v>34438.197024999994</v>
      </c>
      <c r="V21" s="293">
        <f t="shared" si="7"/>
        <v>0</v>
      </c>
      <c r="Z21" s="288" t="s">
        <v>359</v>
      </c>
      <c r="AA21" s="289">
        <v>7139375</v>
      </c>
      <c r="AB21" s="289">
        <f t="shared" si="8"/>
        <v>7589.1556249999994</v>
      </c>
      <c r="AF21" s="288" t="s">
        <v>359</v>
      </c>
      <c r="AG21" s="289">
        <v>32397175</v>
      </c>
      <c r="AH21" s="289">
        <f t="shared" si="0"/>
        <v>34438.197024999994</v>
      </c>
      <c r="AI21" s="289">
        <v>7139375</v>
      </c>
      <c r="AL21" s="426"/>
      <c r="AN21" s="423" t="s">
        <v>554</v>
      </c>
      <c r="AO21" s="424" t="s">
        <v>359</v>
      </c>
      <c r="AP21" s="425">
        <v>0</v>
      </c>
      <c r="AQ21" s="425">
        <f t="shared" si="9"/>
        <v>0</v>
      </c>
      <c r="AU21" s="423" t="s">
        <v>554</v>
      </c>
      <c r="AV21" s="424" t="s">
        <v>359</v>
      </c>
      <c r="AW21" s="425">
        <v>32397175</v>
      </c>
      <c r="AX21" s="425">
        <v>7139375</v>
      </c>
      <c r="AY21" s="425">
        <v>25257800</v>
      </c>
      <c r="AZ21" s="426">
        <f t="shared" si="10"/>
        <v>34438.197024999994</v>
      </c>
      <c r="BA21" s="426">
        <f t="shared" si="11"/>
        <v>7589.1556249999994</v>
      </c>
      <c r="BB21" s="426">
        <f t="shared" si="12"/>
        <v>26849.041399999998</v>
      </c>
      <c r="BF21" s="423" t="s">
        <v>355</v>
      </c>
      <c r="BG21" s="424" t="s">
        <v>364</v>
      </c>
      <c r="BH21" s="425">
        <v>934236692</v>
      </c>
      <c r="BI21" s="426">
        <f t="shared" si="13"/>
        <v>993093.603596</v>
      </c>
      <c r="BM21" s="427" t="s">
        <v>554</v>
      </c>
      <c r="BN21" s="93" t="s">
        <v>359</v>
      </c>
      <c r="BO21" s="94">
        <v>0</v>
      </c>
      <c r="BP21" s="94">
        <v>32397175</v>
      </c>
      <c r="BQ21" s="94">
        <v>7139375</v>
      </c>
      <c r="BR21" s="94">
        <v>25257800</v>
      </c>
      <c r="BS21" s="94">
        <v>7139375</v>
      </c>
      <c r="BT21" s="426">
        <f t="shared" si="14"/>
        <v>34438.197024999994</v>
      </c>
      <c r="BU21" s="426">
        <f t="shared" si="15"/>
        <v>7589.1556249999994</v>
      </c>
      <c r="BV21" s="426">
        <f t="shared" si="16"/>
        <v>26849.041399999998</v>
      </c>
      <c r="BW21" s="426">
        <f t="shared" si="17"/>
        <v>7589.1556249999994</v>
      </c>
      <c r="CA21" s="93" t="s">
        <v>359</v>
      </c>
      <c r="CB21" s="426">
        <v>6311547</v>
      </c>
      <c r="CC21" s="426">
        <f t="shared" si="18"/>
        <v>6709.1744609999996</v>
      </c>
      <c r="CG21" s="424" t="s">
        <v>359</v>
      </c>
      <c r="CH21" s="425">
        <v>0</v>
      </c>
      <c r="CI21" s="425">
        <v>32397175</v>
      </c>
      <c r="CJ21" s="425">
        <v>-32397175</v>
      </c>
      <c r="CK21" s="425">
        <v>13450922</v>
      </c>
      <c r="CL21" s="425">
        <v>18946253</v>
      </c>
      <c r="CM21" s="425">
        <v>13450922</v>
      </c>
      <c r="CN21" s="425">
        <f t="shared" si="19"/>
        <v>34438.197024999994</v>
      </c>
      <c r="CO21" s="425">
        <f t="shared" si="20"/>
        <v>14298.330086</v>
      </c>
      <c r="CP21" s="425">
        <f t="shared" si="21"/>
        <v>20139.866939</v>
      </c>
      <c r="CQ21" s="425">
        <f t="shared" si="22"/>
        <v>14298.330086</v>
      </c>
      <c r="CU21" s="424" t="s">
        <v>359</v>
      </c>
      <c r="CV21" s="425">
        <v>0</v>
      </c>
      <c r="CW21" s="425">
        <v>0</v>
      </c>
      <c r="CX21" s="426">
        <f t="shared" si="23"/>
        <v>0</v>
      </c>
      <c r="CY21" s="426">
        <f t="shared" si="24"/>
        <v>0</v>
      </c>
      <c r="DB21" s="568" t="s">
        <v>359</v>
      </c>
      <c r="DC21" s="569">
        <v>32397175</v>
      </c>
      <c r="DD21" s="569">
        <v>13450922</v>
      </c>
      <c r="DE21" s="569">
        <v>18946253</v>
      </c>
      <c r="DF21" s="569">
        <v>13450922</v>
      </c>
      <c r="DG21" s="570">
        <f t="shared" si="25"/>
        <v>34438.197024999994</v>
      </c>
      <c r="DH21" s="570">
        <f t="shared" si="26"/>
        <v>14298.330086</v>
      </c>
      <c r="DI21" s="570">
        <f t="shared" si="27"/>
        <v>20139.866939</v>
      </c>
      <c r="DJ21" s="570">
        <f t="shared" si="28"/>
        <v>14298.330086</v>
      </c>
      <c r="DN21" s="93" t="s">
        <v>364</v>
      </c>
      <c r="DO21" s="93">
        <v>935000631</v>
      </c>
      <c r="DP21" s="93">
        <v>935000631</v>
      </c>
      <c r="DQ21" s="626">
        <f t="shared" si="29"/>
        <v>993905.67075299995</v>
      </c>
      <c r="DR21" s="626">
        <f t="shared" si="30"/>
        <v>993905.67075299995</v>
      </c>
      <c r="DV21" s="93" t="s">
        <v>359</v>
      </c>
      <c r="DW21" s="94">
        <v>32397175</v>
      </c>
      <c r="DX21" s="94">
        <v>13450922</v>
      </c>
      <c r="DY21" s="94">
        <v>18946253</v>
      </c>
      <c r="DZ21" s="94">
        <v>13450922</v>
      </c>
      <c r="EA21" s="94">
        <f t="shared" si="58"/>
        <v>34438.197024999994</v>
      </c>
      <c r="EB21" s="94">
        <f t="shared" si="31"/>
        <v>14298.330086</v>
      </c>
      <c r="EC21" s="94">
        <f t="shared" si="32"/>
        <v>20139.866939</v>
      </c>
      <c r="ED21" s="94">
        <f t="shared" si="33"/>
        <v>14298.330086</v>
      </c>
      <c r="EH21" s="420" t="s">
        <v>360</v>
      </c>
      <c r="EI21" s="420">
        <v>10784123</v>
      </c>
      <c r="EJ21" s="426">
        <f t="shared" si="34"/>
        <v>11463.522749</v>
      </c>
      <c r="EN21" s="420" t="s">
        <v>359</v>
      </c>
      <c r="EO21" s="426">
        <v>32397175</v>
      </c>
      <c r="EP21" s="426">
        <v>19737587</v>
      </c>
      <c r="EQ21" s="426">
        <v>12659588</v>
      </c>
      <c r="ER21" s="426">
        <v>19737587</v>
      </c>
      <c r="ES21" s="700">
        <f t="shared" si="35"/>
        <v>34438.197024999994</v>
      </c>
      <c r="ET21" s="700">
        <f t="shared" si="36"/>
        <v>20981.054980999997</v>
      </c>
      <c r="EU21" s="700">
        <f t="shared" si="37"/>
        <v>13457.142043999998</v>
      </c>
      <c r="EV21" s="700">
        <f t="shared" si="38"/>
        <v>20981.054980999997</v>
      </c>
      <c r="EZ21" s="730" t="s">
        <v>553</v>
      </c>
      <c r="FA21" s="731" t="s">
        <v>360</v>
      </c>
      <c r="FB21" s="420">
        <v>10972813</v>
      </c>
      <c r="FC21" s="426">
        <f t="shared" si="39"/>
        <v>10972.813</v>
      </c>
      <c r="FG21" s="735" t="s">
        <v>554</v>
      </c>
      <c r="FH21" s="734" t="s">
        <v>359</v>
      </c>
      <c r="FI21" s="732">
        <v>32397175</v>
      </c>
      <c r="FJ21" s="733">
        <v>19737587</v>
      </c>
      <c r="FK21" s="733">
        <v>12659588</v>
      </c>
      <c r="FL21" s="733">
        <v>19737587</v>
      </c>
      <c r="FM21" s="426">
        <f t="shared" si="40"/>
        <v>32397.174999999999</v>
      </c>
      <c r="FN21" s="426">
        <f t="shared" si="41"/>
        <v>19737.587</v>
      </c>
      <c r="FO21" s="426">
        <f t="shared" si="42"/>
        <v>12659.588</v>
      </c>
      <c r="FP21" s="426">
        <f t="shared" si="43"/>
        <v>19737.587</v>
      </c>
      <c r="FT21" s="427" t="s">
        <v>554</v>
      </c>
      <c r="FU21" s="93" t="s">
        <v>359</v>
      </c>
      <c r="FV21" s="94">
        <v>0</v>
      </c>
      <c r="FW21" s="94">
        <v>0</v>
      </c>
      <c r="FX21" s="94">
        <v>0</v>
      </c>
      <c r="FY21" s="426">
        <f t="shared" si="44"/>
        <v>0</v>
      </c>
      <c r="FZ21" s="426">
        <f t="shared" si="45"/>
        <v>0</v>
      </c>
      <c r="GA21" s="426">
        <f t="shared" si="46"/>
        <v>0</v>
      </c>
      <c r="GG21" s="762" t="s">
        <v>554</v>
      </c>
      <c r="GH21" s="763" t="s">
        <v>359</v>
      </c>
      <c r="GI21" s="764">
        <v>32397175</v>
      </c>
      <c r="GJ21" s="764">
        <v>19737587</v>
      </c>
      <c r="GK21" s="764">
        <v>12659588</v>
      </c>
      <c r="GL21" s="764">
        <v>19737587</v>
      </c>
      <c r="GM21" s="764">
        <v>0</v>
      </c>
      <c r="GN21" s="426">
        <f t="shared" si="47"/>
        <v>32397.174999999999</v>
      </c>
      <c r="GO21" s="426">
        <f t="shared" si="48"/>
        <v>19737.587</v>
      </c>
      <c r="GP21" s="426">
        <f t="shared" si="49"/>
        <v>12659.588</v>
      </c>
      <c r="GQ21" s="426">
        <f t="shared" si="50"/>
        <v>19737.587</v>
      </c>
      <c r="GR21" s="426">
        <f t="shared" si="51"/>
        <v>0</v>
      </c>
      <c r="GV21" s="780" t="s">
        <v>566</v>
      </c>
      <c r="GW21" s="779">
        <v>7529345</v>
      </c>
      <c r="GX21" s="426">
        <f t="shared" si="52"/>
        <v>7529.3450000000003</v>
      </c>
      <c r="HB21" s="782" t="s">
        <v>566</v>
      </c>
      <c r="HC21" s="764">
        <v>31734180</v>
      </c>
      <c r="HD21" s="764">
        <v>29853322</v>
      </c>
      <c r="HE21" s="764">
        <v>1880858</v>
      </c>
      <c r="HF21" s="764">
        <v>29853322</v>
      </c>
      <c r="HG21" s="426">
        <f t="shared" si="53"/>
        <v>31734.18</v>
      </c>
      <c r="HH21" s="426">
        <f t="shared" si="54"/>
        <v>1880.8579999999999</v>
      </c>
      <c r="HI21" s="426">
        <f t="shared" si="55"/>
        <v>29853.322</v>
      </c>
      <c r="HJ21" s="426">
        <f t="shared" si="56"/>
        <v>1880.8579999999999</v>
      </c>
      <c r="HK21" s="426">
        <f t="shared" si="57"/>
        <v>29853.322</v>
      </c>
    </row>
    <row r="22" spans="1:219" ht="15" customHeight="1" x14ac:dyDescent="0.3">
      <c r="A22" s="287" t="s">
        <v>553</v>
      </c>
      <c r="B22" s="288" t="s">
        <v>360</v>
      </c>
      <c r="C22" s="289">
        <v>153167100</v>
      </c>
      <c r="D22" s="290">
        <f t="shared" si="3"/>
        <v>162816.62729999999</v>
      </c>
      <c r="E22" s="289">
        <v>12576161</v>
      </c>
      <c r="F22" s="289">
        <f t="shared" si="4"/>
        <v>13368.459143</v>
      </c>
      <c r="J22" s="291" t="s">
        <v>553</v>
      </c>
      <c r="K22" s="292" t="s">
        <v>365</v>
      </c>
      <c r="L22" s="293">
        <v>840017195</v>
      </c>
      <c r="M22" s="293">
        <f t="shared" si="5"/>
        <v>892938.27828499989</v>
      </c>
      <c r="Q22" s="291" t="s">
        <v>553</v>
      </c>
      <c r="R22" s="292" t="s">
        <v>360</v>
      </c>
      <c r="S22" s="293">
        <v>153167100</v>
      </c>
      <c r="T22" s="293">
        <v>24263742</v>
      </c>
      <c r="U22" s="293">
        <f t="shared" si="6"/>
        <v>162816.62729999999</v>
      </c>
      <c r="V22" s="293">
        <f t="shared" si="7"/>
        <v>25792.357745999998</v>
      </c>
      <c r="Z22" s="288" t="s">
        <v>360</v>
      </c>
      <c r="AA22" s="289">
        <v>5973241</v>
      </c>
      <c r="AB22" s="289">
        <f t="shared" si="8"/>
        <v>6349.5551829999995</v>
      </c>
      <c r="AF22" s="288" t="s">
        <v>360</v>
      </c>
      <c r="AG22" s="289">
        <v>151367100</v>
      </c>
      <c r="AH22" s="289">
        <f t="shared" si="0"/>
        <v>160903.2273</v>
      </c>
      <c r="AI22" s="289">
        <v>30236983</v>
      </c>
      <c r="AL22" s="426"/>
      <c r="AN22" s="423" t="s">
        <v>553</v>
      </c>
      <c r="AO22" s="424" t="s">
        <v>360</v>
      </c>
      <c r="AP22" s="425">
        <v>12233511</v>
      </c>
      <c r="AQ22" s="425">
        <f t="shared" si="9"/>
        <v>13004.222193</v>
      </c>
      <c r="AU22" s="423" t="s">
        <v>553</v>
      </c>
      <c r="AV22" s="424" t="s">
        <v>360</v>
      </c>
      <c r="AW22" s="425">
        <v>153467100</v>
      </c>
      <c r="AX22" s="425">
        <v>42470494</v>
      </c>
      <c r="AY22" s="425">
        <v>110996606</v>
      </c>
      <c r="AZ22" s="426">
        <f t="shared" si="10"/>
        <v>163135.52729999999</v>
      </c>
      <c r="BA22" s="426">
        <f t="shared" si="11"/>
        <v>45146.135122</v>
      </c>
      <c r="BB22" s="426">
        <f t="shared" si="12"/>
        <v>117989.39217799999</v>
      </c>
      <c r="BF22" s="423" t="s">
        <v>553</v>
      </c>
      <c r="BG22" s="424" t="s">
        <v>365</v>
      </c>
      <c r="BH22" s="425">
        <v>864577996</v>
      </c>
      <c r="BI22" s="426">
        <f t="shared" si="13"/>
        <v>919046.40974799998</v>
      </c>
      <c r="BM22" s="427" t="s">
        <v>553</v>
      </c>
      <c r="BN22" s="93" t="s">
        <v>360</v>
      </c>
      <c r="BO22" s="94">
        <v>0</v>
      </c>
      <c r="BP22" s="94">
        <v>154329100</v>
      </c>
      <c r="BQ22" s="94">
        <v>50945216</v>
      </c>
      <c r="BR22" s="94">
        <v>103383884</v>
      </c>
      <c r="BS22" s="94">
        <v>50945216</v>
      </c>
      <c r="BT22" s="426">
        <f t="shared" si="14"/>
        <v>164051.8333</v>
      </c>
      <c r="BU22" s="426">
        <f t="shared" si="15"/>
        <v>54154.764607999998</v>
      </c>
      <c r="BV22" s="426">
        <f t="shared" si="16"/>
        <v>109897.068692</v>
      </c>
      <c r="BW22" s="426">
        <f t="shared" si="17"/>
        <v>54154.764607999998</v>
      </c>
      <c r="CA22" s="93" t="s">
        <v>360</v>
      </c>
      <c r="CB22" s="426">
        <v>7845756</v>
      </c>
      <c r="CC22" s="426">
        <f t="shared" si="18"/>
        <v>8340.0386280000002</v>
      </c>
      <c r="CG22" s="424" t="s">
        <v>360</v>
      </c>
      <c r="CH22" s="425">
        <v>0</v>
      </c>
      <c r="CI22" s="425">
        <v>154709020</v>
      </c>
      <c r="CJ22" s="425">
        <v>-154709020</v>
      </c>
      <c r="CK22" s="425">
        <v>58790972</v>
      </c>
      <c r="CL22" s="425">
        <v>95918048</v>
      </c>
      <c r="CM22" s="425">
        <v>58790972</v>
      </c>
      <c r="CN22" s="425">
        <f t="shared" si="19"/>
        <v>164455.68825999997</v>
      </c>
      <c r="CO22" s="425">
        <f t="shared" si="20"/>
        <v>62494.803236</v>
      </c>
      <c r="CP22" s="425">
        <f t="shared" si="21"/>
        <v>101960.88502399999</v>
      </c>
      <c r="CQ22" s="425">
        <f t="shared" si="22"/>
        <v>62494.803236</v>
      </c>
      <c r="CU22" s="424" t="s">
        <v>360</v>
      </c>
      <c r="CV22" s="425">
        <v>14131320</v>
      </c>
      <c r="CW22" s="425">
        <v>14131320</v>
      </c>
      <c r="CX22" s="426">
        <f t="shared" si="23"/>
        <v>15021.593159999999</v>
      </c>
      <c r="CY22" s="426">
        <f t="shared" si="24"/>
        <v>15021.593159999999</v>
      </c>
      <c r="DB22" s="568" t="s">
        <v>360</v>
      </c>
      <c r="DC22" s="569">
        <v>155159020</v>
      </c>
      <c r="DD22" s="569">
        <v>72922292</v>
      </c>
      <c r="DE22" s="569">
        <v>82236728</v>
      </c>
      <c r="DF22" s="569">
        <v>72922292</v>
      </c>
      <c r="DG22" s="570">
        <f t="shared" si="25"/>
        <v>164934.03825999997</v>
      </c>
      <c r="DH22" s="570">
        <f t="shared" si="26"/>
        <v>77516.396395999996</v>
      </c>
      <c r="DI22" s="570">
        <f t="shared" si="27"/>
        <v>87417.641864000005</v>
      </c>
      <c r="DJ22" s="570">
        <f t="shared" si="28"/>
        <v>77516.396395999996</v>
      </c>
      <c r="DN22" s="93" t="s">
        <v>365</v>
      </c>
      <c r="DO22" s="93">
        <v>862016551</v>
      </c>
      <c r="DP22" s="93">
        <v>862016551</v>
      </c>
      <c r="DQ22" s="626">
        <f t="shared" si="29"/>
        <v>916323.59371299995</v>
      </c>
      <c r="DR22" s="626">
        <f t="shared" si="30"/>
        <v>916323.59371299995</v>
      </c>
      <c r="DV22" s="93" t="s">
        <v>360</v>
      </c>
      <c r="DW22" s="94">
        <v>157495020</v>
      </c>
      <c r="DX22" s="94">
        <v>84157161</v>
      </c>
      <c r="DY22" s="94">
        <v>73337859</v>
      </c>
      <c r="DZ22" s="94">
        <v>84157161</v>
      </c>
      <c r="EA22" s="94">
        <f t="shared" si="58"/>
        <v>167417.20625999998</v>
      </c>
      <c r="EB22" s="94">
        <f t="shared" si="31"/>
        <v>89459.062142999988</v>
      </c>
      <c r="EC22" s="94">
        <f t="shared" si="32"/>
        <v>77958.144116999989</v>
      </c>
      <c r="ED22" s="94">
        <f t="shared" si="33"/>
        <v>89459.062142999988</v>
      </c>
      <c r="EH22" s="420" t="s">
        <v>567</v>
      </c>
      <c r="EI22" s="420">
        <v>10265228</v>
      </c>
      <c r="EJ22" s="426">
        <f t="shared" si="34"/>
        <v>10911.937363999999</v>
      </c>
      <c r="EN22" s="420" t="s">
        <v>360</v>
      </c>
      <c r="EO22" s="426">
        <v>157995020</v>
      </c>
      <c r="EP22" s="426">
        <v>94941284</v>
      </c>
      <c r="EQ22" s="426">
        <v>63053736</v>
      </c>
      <c r="ER22" s="426">
        <v>94941284</v>
      </c>
      <c r="ES22" s="700">
        <f t="shared" si="35"/>
        <v>167948.70625999998</v>
      </c>
      <c r="ET22" s="700">
        <f t="shared" si="36"/>
        <v>100922.584892</v>
      </c>
      <c r="EU22" s="700">
        <f t="shared" si="37"/>
        <v>67026.121367999993</v>
      </c>
      <c r="EV22" s="700">
        <f t="shared" si="38"/>
        <v>100922.584892</v>
      </c>
      <c r="EZ22" s="730" t="s">
        <v>554</v>
      </c>
      <c r="FA22" s="731" t="s">
        <v>567</v>
      </c>
      <c r="FB22" s="420">
        <v>10265228</v>
      </c>
      <c r="FC22" s="426">
        <f t="shared" si="39"/>
        <v>10265.227999999999</v>
      </c>
      <c r="FG22" s="735" t="s">
        <v>553</v>
      </c>
      <c r="FH22" s="734" t="s">
        <v>360</v>
      </c>
      <c r="FI22" s="732">
        <v>160095020</v>
      </c>
      <c r="FJ22" s="733">
        <v>105914097</v>
      </c>
      <c r="FK22" s="733">
        <v>54180923</v>
      </c>
      <c r="FL22" s="733">
        <v>105914097</v>
      </c>
      <c r="FM22" s="426">
        <f t="shared" si="40"/>
        <v>160095.01999999999</v>
      </c>
      <c r="FN22" s="426">
        <f t="shared" si="41"/>
        <v>105914.09699999999</v>
      </c>
      <c r="FO22" s="426">
        <f t="shared" si="42"/>
        <v>54180.923000000003</v>
      </c>
      <c r="FP22" s="426">
        <f t="shared" si="43"/>
        <v>105914.09699999999</v>
      </c>
      <c r="FT22" s="427" t="s">
        <v>553</v>
      </c>
      <c r="FU22" s="93" t="s">
        <v>360</v>
      </c>
      <c r="FV22" s="94">
        <v>-5000000</v>
      </c>
      <c r="FW22" s="94">
        <v>10909917</v>
      </c>
      <c r="FX22" s="94">
        <v>10909917</v>
      </c>
      <c r="FY22" s="426">
        <f t="shared" si="44"/>
        <v>-5000</v>
      </c>
      <c r="FZ22" s="426">
        <f t="shared" si="45"/>
        <v>10909.916999999999</v>
      </c>
      <c r="GA22" s="426">
        <f t="shared" si="46"/>
        <v>10909.916999999999</v>
      </c>
      <c r="GG22" s="762" t="s">
        <v>553</v>
      </c>
      <c r="GH22" s="763" t="s">
        <v>360</v>
      </c>
      <c r="GI22" s="764">
        <v>155095020</v>
      </c>
      <c r="GJ22" s="764">
        <v>116824014</v>
      </c>
      <c r="GK22" s="764">
        <v>38271006</v>
      </c>
      <c r="GL22" s="764">
        <v>116824014</v>
      </c>
      <c r="GM22" s="764">
        <v>0</v>
      </c>
      <c r="GN22" s="426">
        <f t="shared" si="47"/>
        <v>155095.01999999999</v>
      </c>
      <c r="GO22" s="426">
        <f t="shared" si="48"/>
        <v>116824.014</v>
      </c>
      <c r="GP22" s="426">
        <f t="shared" si="49"/>
        <v>38271.006000000001</v>
      </c>
      <c r="GQ22" s="426">
        <f t="shared" si="50"/>
        <v>116824.014</v>
      </c>
      <c r="GR22" s="426">
        <f t="shared" si="51"/>
        <v>0</v>
      </c>
      <c r="GV22" s="780" t="s">
        <v>359</v>
      </c>
      <c r="GW22" s="779">
        <v>6303068</v>
      </c>
      <c r="GX22" s="426">
        <f t="shared" si="52"/>
        <v>6303.0680000000002</v>
      </c>
      <c r="HB22" s="782" t="s">
        <v>359</v>
      </c>
      <c r="HC22" s="764">
        <v>32397175</v>
      </c>
      <c r="HD22" s="764">
        <v>26040655</v>
      </c>
      <c r="HE22" s="764">
        <v>6356520</v>
      </c>
      <c r="HF22" s="764">
        <v>26040655</v>
      </c>
      <c r="HG22" s="426">
        <f t="shared" si="53"/>
        <v>32397.174999999999</v>
      </c>
      <c r="HH22" s="426">
        <f t="shared" si="54"/>
        <v>6356.52</v>
      </c>
      <c r="HI22" s="426">
        <f t="shared" si="55"/>
        <v>26040.654999999999</v>
      </c>
      <c r="HJ22" s="426">
        <f t="shared" si="56"/>
        <v>6356.52</v>
      </c>
      <c r="HK22" s="426">
        <f t="shared" si="57"/>
        <v>26040.654999999999</v>
      </c>
    </row>
    <row r="23" spans="1:219" ht="15" customHeight="1" x14ac:dyDescent="0.3">
      <c r="A23" s="287" t="s">
        <v>554</v>
      </c>
      <c r="B23" s="288" t="s">
        <v>567</v>
      </c>
      <c r="C23" s="289">
        <v>145712700</v>
      </c>
      <c r="D23" s="290">
        <f t="shared" si="3"/>
        <v>154892.60010000001</v>
      </c>
      <c r="E23" s="289">
        <v>11829293</v>
      </c>
      <c r="F23" s="289">
        <f t="shared" si="4"/>
        <v>12574.538458999999</v>
      </c>
      <c r="J23" s="291" t="s">
        <v>554</v>
      </c>
      <c r="K23" s="292" t="s">
        <v>366</v>
      </c>
      <c r="L23" s="293">
        <v>203109335</v>
      </c>
      <c r="M23" s="293">
        <f t="shared" si="5"/>
        <v>215905.22310499998</v>
      </c>
      <c r="Q23" s="291" t="s">
        <v>554</v>
      </c>
      <c r="R23" s="292" t="s">
        <v>567</v>
      </c>
      <c r="S23" s="293">
        <v>145712700</v>
      </c>
      <c r="T23" s="293">
        <v>23186667</v>
      </c>
      <c r="U23" s="293">
        <f t="shared" si="6"/>
        <v>154892.60010000001</v>
      </c>
      <c r="V23" s="293">
        <f t="shared" si="7"/>
        <v>24647.427021</v>
      </c>
      <c r="Z23" s="288" t="s">
        <v>567</v>
      </c>
      <c r="AA23" s="289">
        <v>5485792</v>
      </c>
      <c r="AB23" s="289">
        <f t="shared" si="8"/>
        <v>5831.3968960000002</v>
      </c>
      <c r="AF23" s="288" t="s">
        <v>567</v>
      </c>
      <c r="AG23" s="289">
        <v>145712700</v>
      </c>
      <c r="AH23" s="289">
        <f t="shared" si="0"/>
        <v>154892.60010000001</v>
      </c>
      <c r="AI23" s="289">
        <v>28672459</v>
      </c>
      <c r="AL23" s="426"/>
      <c r="AN23" s="423" t="s">
        <v>554</v>
      </c>
      <c r="AO23" s="424" t="s">
        <v>567</v>
      </c>
      <c r="AP23" s="425">
        <v>11683166</v>
      </c>
      <c r="AQ23" s="425">
        <f t="shared" si="9"/>
        <v>12419.205457999999</v>
      </c>
      <c r="AU23" s="423" t="s">
        <v>554</v>
      </c>
      <c r="AV23" s="424" t="s">
        <v>567</v>
      </c>
      <c r="AW23" s="425">
        <v>145712700</v>
      </c>
      <c r="AX23" s="425">
        <v>40355625</v>
      </c>
      <c r="AY23" s="425">
        <v>105357075</v>
      </c>
      <c r="AZ23" s="426">
        <f t="shared" si="10"/>
        <v>154892.60010000001</v>
      </c>
      <c r="BA23" s="426">
        <f t="shared" si="11"/>
        <v>42898.029374999998</v>
      </c>
      <c r="BB23" s="426">
        <f t="shared" si="12"/>
        <v>111994.570725</v>
      </c>
      <c r="BF23" s="423" t="s">
        <v>554</v>
      </c>
      <c r="BG23" s="424" t="s">
        <v>366</v>
      </c>
      <c r="BH23" s="425">
        <v>209204948</v>
      </c>
      <c r="BI23" s="426">
        <f t="shared" si="13"/>
        <v>222384.85972399998</v>
      </c>
      <c r="BM23" s="427" t="s">
        <v>554</v>
      </c>
      <c r="BN23" s="93" t="s">
        <v>567</v>
      </c>
      <c r="BO23" s="94">
        <v>0</v>
      </c>
      <c r="BP23" s="94">
        <v>145712700</v>
      </c>
      <c r="BQ23" s="94">
        <v>47886899</v>
      </c>
      <c r="BR23" s="94">
        <v>97825801</v>
      </c>
      <c r="BS23" s="94">
        <v>47886899</v>
      </c>
      <c r="BT23" s="426">
        <f t="shared" si="14"/>
        <v>154892.60010000001</v>
      </c>
      <c r="BU23" s="426">
        <f t="shared" si="15"/>
        <v>50903.773636999998</v>
      </c>
      <c r="BV23" s="426">
        <f t="shared" si="16"/>
        <v>103988.826463</v>
      </c>
      <c r="BW23" s="426">
        <f t="shared" si="17"/>
        <v>50903.773636999998</v>
      </c>
      <c r="CA23" s="93" t="s">
        <v>567</v>
      </c>
      <c r="CB23" s="426">
        <v>7531274</v>
      </c>
      <c r="CC23" s="426">
        <f t="shared" si="18"/>
        <v>8005.7442620000002</v>
      </c>
      <c r="CG23" s="424" t="s">
        <v>567</v>
      </c>
      <c r="CH23" s="425">
        <v>0</v>
      </c>
      <c r="CI23" s="425">
        <v>145712700</v>
      </c>
      <c r="CJ23" s="425">
        <v>-145712700</v>
      </c>
      <c r="CK23" s="425">
        <v>55418173</v>
      </c>
      <c r="CL23" s="425">
        <v>90294527</v>
      </c>
      <c r="CM23" s="425">
        <v>55418173</v>
      </c>
      <c r="CN23" s="425">
        <f t="shared" si="19"/>
        <v>154892.60010000001</v>
      </c>
      <c r="CO23" s="425">
        <f t="shared" si="20"/>
        <v>58909.517898999999</v>
      </c>
      <c r="CP23" s="425">
        <f t="shared" si="21"/>
        <v>95983.082200999997</v>
      </c>
      <c r="CQ23" s="425">
        <f t="shared" si="22"/>
        <v>58909.517898999999</v>
      </c>
      <c r="CU23" s="424" t="s">
        <v>567</v>
      </c>
      <c r="CV23" s="425">
        <v>12999182</v>
      </c>
      <c r="CW23" s="425">
        <v>12999182</v>
      </c>
      <c r="CX23" s="426">
        <f t="shared" si="23"/>
        <v>13818.130466000001</v>
      </c>
      <c r="CY23" s="426">
        <f t="shared" si="24"/>
        <v>13818.130466000001</v>
      </c>
      <c r="DB23" s="568" t="s">
        <v>567</v>
      </c>
      <c r="DC23" s="569">
        <v>145712700</v>
      </c>
      <c r="DD23" s="569">
        <v>68417355</v>
      </c>
      <c r="DE23" s="569">
        <v>77295345</v>
      </c>
      <c r="DF23" s="569">
        <v>68417355</v>
      </c>
      <c r="DG23" s="570">
        <f t="shared" si="25"/>
        <v>154892.60010000001</v>
      </c>
      <c r="DH23" s="570">
        <f t="shared" si="26"/>
        <v>72727.648364999986</v>
      </c>
      <c r="DI23" s="570">
        <f t="shared" si="27"/>
        <v>82164.951734999995</v>
      </c>
      <c r="DJ23" s="570">
        <f t="shared" si="28"/>
        <v>72727.648364999986</v>
      </c>
      <c r="DN23" s="93" t="s">
        <v>366</v>
      </c>
      <c r="DO23" s="93">
        <v>208372680</v>
      </c>
      <c r="DP23" s="93">
        <v>208372680</v>
      </c>
      <c r="DQ23" s="626">
        <f t="shared" si="29"/>
        <v>221500.15883999999</v>
      </c>
      <c r="DR23" s="626">
        <f t="shared" si="30"/>
        <v>221500.15883999999</v>
      </c>
      <c r="DV23" s="93" t="s">
        <v>567</v>
      </c>
      <c r="DW23" s="94">
        <v>145712700</v>
      </c>
      <c r="DX23" s="94">
        <v>78682583</v>
      </c>
      <c r="DY23" s="94">
        <v>67030117</v>
      </c>
      <c r="DZ23" s="94">
        <v>78682583</v>
      </c>
      <c r="EA23" s="94">
        <f t="shared" si="58"/>
        <v>154892.60010000001</v>
      </c>
      <c r="EB23" s="94">
        <f t="shared" si="31"/>
        <v>83639.585728999999</v>
      </c>
      <c r="EC23" s="94">
        <f t="shared" si="32"/>
        <v>71253.014370999997</v>
      </c>
      <c r="ED23" s="94">
        <f t="shared" si="33"/>
        <v>83639.585728999999</v>
      </c>
      <c r="EH23" s="420" t="s">
        <v>623</v>
      </c>
      <c r="EI23" s="420">
        <v>518895</v>
      </c>
      <c r="EJ23" s="426">
        <f t="shared" si="34"/>
        <v>551.58538499999997</v>
      </c>
      <c r="EN23" s="420" t="s">
        <v>567</v>
      </c>
      <c r="EO23" s="426">
        <v>145712700</v>
      </c>
      <c r="EP23" s="426">
        <v>88947811</v>
      </c>
      <c r="EQ23" s="426">
        <v>56764889</v>
      </c>
      <c r="ER23" s="426">
        <v>88947811</v>
      </c>
      <c r="ES23" s="700">
        <f t="shared" si="35"/>
        <v>154892.60010000001</v>
      </c>
      <c r="ET23" s="700">
        <f t="shared" si="36"/>
        <v>94551.523092999996</v>
      </c>
      <c r="EU23" s="700">
        <f t="shared" si="37"/>
        <v>60341.077007</v>
      </c>
      <c r="EV23" s="700">
        <f t="shared" si="38"/>
        <v>94551.523092999996</v>
      </c>
      <c r="EZ23" s="730" t="s">
        <v>554</v>
      </c>
      <c r="FA23" s="731" t="s">
        <v>623</v>
      </c>
      <c r="FB23" s="420">
        <v>707585</v>
      </c>
      <c r="FC23" s="426">
        <f t="shared" si="39"/>
        <v>707.58500000000004</v>
      </c>
      <c r="FG23" s="735" t="s">
        <v>554</v>
      </c>
      <c r="FH23" s="734" t="s">
        <v>567</v>
      </c>
      <c r="FI23" s="732">
        <v>145712700</v>
      </c>
      <c r="FJ23" s="733">
        <v>99213039</v>
      </c>
      <c r="FK23" s="733">
        <v>46499661</v>
      </c>
      <c r="FL23" s="733">
        <v>99213039</v>
      </c>
      <c r="FM23" s="426">
        <f t="shared" si="40"/>
        <v>145712.70000000001</v>
      </c>
      <c r="FN23" s="426">
        <f t="shared" si="41"/>
        <v>99213.039000000004</v>
      </c>
      <c r="FO23" s="426">
        <f t="shared" si="42"/>
        <v>46499.661</v>
      </c>
      <c r="FP23" s="426">
        <f t="shared" si="43"/>
        <v>99213.039000000004</v>
      </c>
      <c r="FT23" s="427" t="s">
        <v>554</v>
      </c>
      <c r="FU23" s="93" t="s">
        <v>567</v>
      </c>
      <c r="FV23" s="94">
        <v>-5000000</v>
      </c>
      <c r="FW23" s="94">
        <v>10265228</v>
      </c>
      <c r="FX23" s="94">
        <v>10265228</v>
      </c>
      <c r="FY23" s="426">
        <f t="shared" si="44"/>
        <v>-5000</v>
      </c>
      <c r="FZ23" s="426">
        <f t="shared" si="45"/>
        <v>10265.227999999999</v>
      </c>
      <c r="GA23" s="426">
        <f t="shared" si="46"/>
        <v>10265.227999999999</v>
      </c>
      <c r="GG23" s="762" t="s">
        <v>554</v>
      </c>
      <c r="GH23" s="763" t="s">
        <v>567</v>
      </c>
      <c r="GI23" s="764">
        <v>140712700</v>
      </c>
      <c r="GJ23" s="764">
        <v>109478267</v>
      </c>
      <c r="GK23" s="764">
        <v>31234433</v>
      </c>
      <c r="GL23" s="764">
        <v>109478267</v>
      </c>
      <c r="GM23" s="764">
        <v>0</v>
      </c>
      <c r="GN23" s="426">
        <f t="shared" si="47"/>
        <v>140712.70000000001</v>
      </c>
      <c r="GO23" s="426">
        <f t="shared" si="48"/>
        <v>109478.26700000001</v>
      </c>
      <c r="GP23" s="426">
        <f t="shared" si="49"/>
        <v>31234.433000000001</v>
      </c>
      <c r="GQ23" s="426">
        <f t="shared" si="50"/>
        <v>109478.26700000001</v>
      </c>
      <c r="GR23" s="426">
        <f t="shared" si="51"/>
        <v>0</v>
      </c>
      <c r="GV23" s="780" t="s">
        <v>924</v>
      </c>
      <c r="GW23" s="779">
        <v>7242</v>
      </c>
      <c r="GX23" s="426">
        <f t="shared" si="52"/>
        <v>7.242</v>
      </c>
      <c r="HB23" s="782" t="s">
        <v>924</v>
      </c>
      <c r="HC23" s="764">
        <v>10000</v>
      </c>
      <c r="HD23" s="764">
        <v>7242</v>
      </c>
      <c r="HE23" s="764">
        <v>2758</v>
      </c>
      <c r="HF23" s="764">
        <v>7242</v>
      </c>
      <c r="HG23" s="426">
        <f t="shared" si="53"/>
        <v>10</v>
      </c>
      <c r="HH23" s="426">
        <f t="shared" si="54"/>
        <v>2.758</v>
      </c>
      <c r="HI23" s="426">
        <f t="shared" si="55"/>
        <v>7.242</v>
      </c>
      <c r="HJ23" s="426">
        <f t="shared" si="56"/>
        <v>2.758</v>
      </c>
      <c r="HK23" s="426">
        <f t="shared" si="57"/>
        <v>7.242</v>
      </c>
    </row>
    <row r="24" spans="1:219" ht="15" customHeight="1" x14ac:dyDescent="0.3">
      <c r="A24" s="287" t="s">
        <v>554</v>
      </c>
      <c r="B24" s="288" t="s">
        <v>568</v>
      </c>
      <c r="C24" s="289">
        <v>3554400</v>
      </c>
      <c r="D24" s="290">
        <f t="shared" si="3"/>
        <v>3778.3271999999997</v>
      </c>
      <c r="E24" s="289">
        <v>0</v>
      </c>
      <c r="F24" s="289">
        <f t="shared" si="4"/>
        <v>0</v>
      </c>
      <c r="J24" s="291" t="s">
        <v>554</v>
      </c>
      <c r="K24" s="292" t="s">
        <v>570</v>
      </c>
      <c r="L24" s="293">
        <v>8783203</v>
      </c>
      <c r="M24" s="293">
        <f t="shared" si="5"/>
        <v>9336.5447889999996</v>
      </c>
      <c r="Q24" s="291" t="s">
        <v>554</v>
      </c>
      <c r="R24" s="292" t="s">
        <v>568</v>
      </c>
      <c r="S24" s="293">
        <v>3554400</v>
      </c>
      <c r="T24" s="293">
        <v>0</v>
      </c>
      <c r="U24" s="293">
        <f t="shared" si="6"/>
        <v>3778.3271999999997</v>
      </c>
      <c r="V24" s="293">
        <f t="shared" si="7"/>
        <v>0</v>
      </c>
      <c r="Z24" s="288" t="s">
        <v>623</v>
      </c>
      <c r="AA24" s="289">
        <v>487449</v>
      </c>
      <c r="AB24" s="289">
        <f t="shared" si="8"/>
        <v>518.15828699999997</v>
      </c>
      <c r="AF24" s="288" t="s">
        <v>568</v>
      </c>
      <c r="AG24" s="289">
        <v>3554400</v>
      </c>
      <c r="AH24" s="289">
        <f t="shared" si="0"/>
        <v>3778.3271999999997</v>
      </c>
      <c r="AI24" s="289">
        <v>0</v>
      </c>
      <c r="AL24" s="426"/>
      <c r="AN24" s="423" t="s">
        <v>554</v>
      </c>
      <c r="AO24" s="424" t="s">
        <v>623</v>
      </c>
      <c r="AP24" s="425">
        <v>550345</v>
      </c>
      <c r="AQ24" s="425">
        <f t="shared" si="9"/>
        <v>585.01673500000004</v>
      </c>
      <c r="AU24" s="423" t="s">
        <v>554</v>
      </c>
      <c r="AV24" s="424" t="s">
        <v>568</v>
      </c>
      <c r="AW24" s="425">
        <v>3554400</v>
      </c>
      <c r="AX24" s="425">
        <v>0</v>
      </c>
      <c r="AY24" s="425">
        <v>3554400</v>
      </c>
      <c r="AZ24" s="426">
        <f t="shared" si="10"/>
        <v>3778.3271999999997</v>
      </c>
      <c r="BA24" s="426">
        <f t="shared" si="11"/>
        <v>0</v>
      </c>
      <c r="BB24" s="426">
        <f t="shared" si="12"/>
        <v>3778.3271999999997</v>
      </c>
      <c r="BF24" s="423" t="s">
        <v>554</v>
      </c>
      <c r="BG24" s="424" t="s">
        <v>570</v>
      </c>
      <c r="BH24" s="425">
        <v>8995333</v>
      </c>
      <c r="BI24" s="426">
        <f t="shared" si="13"/>
        <v>9562.0389790000008</v>
      </c>
      <c r="BM24" s="427" t="s">
        <v>554</v>
      </c>
      <c r="BN24" s="93" t="s">
        <v>568</v>
      </c>
      <c r="BO24" s="94">
        <v>0</v>
      </c>
      <c r="BP24" s="94">
        <v>3554400</v>
      </c>
      <c r="BQ24" s="94">
        <v>0</v>
      </c>
      <c r="BR24" s="94">
        <v>3554400</v>
      </c>
      <c r="BS24" s="94">
        <v>0</v>
      </c>
      <c r="BT24" s="426">
        <f t="shared" si="14"/>
        <v>3778.3271999999997</v>
      </c>
      <c r="BU24" s="426">
        <f t="shared" si="15"/>
        <v>0</v>
      </c>
      <c r="BV24" s="426">
        <f t="shared" si="16"/>
        <v>3778.3271999999997</v>
      </c>
      <c r="BW24" s="426">
        <f t="shared" si="17"/>
        <v>0</v>
      </c>
      <c r="CA24" s="93" t="s">
        <v>623</v>
      </c>
      <c r="CB24" s="426">
        <v>314482</v>
      </c>
      <c r="CC24" s="426">
        <f t="shared" si="18"/>
        <v>334.29436600000002</v>
      </c>
      <c r="CG24" s="424" t="s">
        <v>568</v>
      </c>
      <c r="CH24" s="425">
        <v>0</v>
      </c>
      <c r="CI24" s="425">
        <v>3554400</v>
      </c>
      <c r="CJ24" s="425">
        <v>-3554400</v>
      </c>
      <c r="CK24" s="425">
        <v>0</v>
      </c>
      <c r="CL24" s="425">
        <v>3554400</v>
      </c>
      <c r="CM24" s="425">
        <v>0</v>
      </c>
      <c r="CN24" s="425">
        <f t="shared" si="19"/>
        <v>3778.3271999999997</v>
      </c>
      <c r="CO24" s="425">
        <f t="shared" si="20"/>
        <v>0</v>
      </c>
      <c r="CP24" s="425">
        <f t="shared" si="21"/>
        <v>3778.3271999999997</v>
      </c>
      <c r="CQ24" s="425">
        <f t="shared" si="22"/>
        <v>0</v>
      </c>
      <c r="CU24" s="424" t="s">
        <v>623</v>
      </c>
      <c r="CV24" s="425">
        <v>1132138</v>
      </c>
      <c r="CW24" s="425">
        <v>1132138</v>
      </c>
      <c r="CX24" s="426">
        <f t="shared" si="23"/>
        <v>1203.4626939999998</v>
      </c>
      <c r="CY24" s="426">
        <f t="shared" si="24"/>
        <v>1203.4626939999998</v>
      </c>
      <c r="DB24" s="568" t="s">
        <v>568</v>
      </c>
      <c r="DC24" s="569">
        <v>3554400</v>
      </c>
      <c r="DD24" s="569">
        <v>0</v>
      </c>
      <c r="DE24" s="569">
        <v>3554400</v>
      </c>
      <c r="DF24" s="569">
        <v>0</v>
      </c>
      <c r="DG24" s="570">
        <f t="shared" si="25"/>
        <v>3778.3271999999997</v>
      </c>
      <c r="DH24" s="570">
        <f t="shared" si="26"/>
        <v>0</v>
      </c>
      <c r="DI24" s="570">
        <f t="shared" si="27"/>
        <v>3778.3271999999997</v>
      </c>
      <c r="DJ24" s="570">
        <f t="shared" si="28"/>
        <v>0</v>
      </c>
      <c r="DN24" s="93" t="s">
        <v>570</v>
      </c>
      <c r="DO24" s="93">
        <v>8750858</v>
      </c>
      <c r="DP24" s="93">
        <v>8750858</v>
      </c>
      <c r="DQ24" s="626">
        <f t="shared" si="29"/>
        <v>9302.1620540000004</v>
      </c>
      <c r="DR24" s="626">
        <f t="shared" si="30"/>
        <v>9302.1620540000004</v>
      </c>
      <c r="DV24" s="93" t="s">
        <v>568</v>
      </c>
      <c r="DW24" s="94">
        <v>3554400</v>
      </c>
      <c r="DX24" s="94">
        <v>0</v>
      </c>
      <c r="DY24" s="94">
        <v>3554400</v>
      </c>
      <c r="DZ24" s="94">
        <v>0</v>
      </c>
      <c r="EA24" s="94">
        <f t="shared" si="58"/>
        <v>3778.3271999999997</v>
      </c>
      <c r="EB24" s="94">
        <f t="shared" si="31"/>
        <v>0</v>
      </c>
      <c r="EC24" s="94">
        <f t="shared" si="32"/>
        <v>3778.3271999999997</v>
      </c>
      <c r="ED24" s="94">
        <f t="shared" si="33"/>
        <v>0</v>
      </c>
      <c r="EH24" s="420" t="s">
        <v>361</v>
      </c>
      <c r="EI24" s="420">
        <v>193926</v>
      </c>
      <c r="EJ24" s="426">
        <f t="shared" si="34"/>
        <v>206.14333799999997</v>
      </c>
      <c r="EN24" s="420" t="s">
        <v>568</v>
      </c>
      <c r="EO24" s="426">
        <v>3554400</v>
      </c>
      <c r="EP24" s="426">
        <v>0</v>
      </c>
      <c r="EQ24" s="426">
        <v>3554400</v>
      </c>
      <c r="ER24" s="426">
        <v>0</v>
      </c>
      <c r="ES24" s="700">
        <f t="shared" si="35"/>
        <v>3778.3271999999997</v>
      </c>
      <c r="ET24" s="700">
        <f t="shared" si="36"/>
        <v>0</v>
      </c>
      <c r="EU24" s="700">
        <f t="shared" si="37"/>
        <v>3778.3271999999997</v>
      </c>
      <c r="EV24" s="700">
        <f t="shared" si="38"/>
        <v>0</v>
      </c>
      <c r="EZ24" s="730" t="s">
        <v>553</v>
      </c>
      <c r="FA24" s="731" t="s">
        <v>361</v>
      </c>
      <c r="FB24" s="420">
        <v>0</v>
      </c>
      <c r="FC24" s="426">
        <f t="shared" si="39"/>
        <v>0</v>
      </c>
      <c r="FG24" s="735" t="s">
        <v>554</v>
      </c>
      <c r="FH24" s="734" t="s">
        <v>568</v>
      </c>
      <c r="FI24" s="732">
        <v>3554400</v>
      </c>
      <c r="FJ24" s="733">
        <v>0</v>
      </c>
      <c r="FK24" s="733">
        <v>3554400</v>
      </c>
      <c r="FL24" s="733">
        <v>0</v>
      </c>
      <c r="FM24" s="426">
        <f t="shared" si="40"/>
        <v>3554.4</v>
      </c>
      <c r="FN24" s="426">
        <f t="shared" si="41"/>
        <v>0</v>
      </c>
      <c r="FO24" s="426">
        <f t="shared" si="42"/>
        <v>3554.4</v>
      </c>
      <c r="FP24" s="426">
        <f t="shared" si="43"/>
        <v>0</v>
      </c>
      <c r="FT24" s="427" t="s">
        <v>554</v>
      </c>
      <c r="FU24" s="93" t="s">
        <v>623</v>
      </c>
      <c r="FV24" s="94">
        <v>0</v>
      </c>
      <c r="FW24" s="94">
        <v>644689</v>
      </c>
      <c r="FX24" s="94">
        <v>644689</v>
      </c>
      <c r="FY24" s="426">
        <f t="shared" si="44"/>
        <v>0</v>
      </c>
      <c r="FZ24" s="426">
        <f t="shared" si="45"/>
        <v>644.68899999999996</v>
      </c>
      <c r="GA24" s="426">
        <f t="shared" si="46"/>
        <v>644.68899999999996</v>
      </c>
      <c r="GG24" s="762" t="s">
        <v>554</v>
      </c>
      <c r="GH24" s="763" t="s">
        <v>568</v>
      </c>
      <c r="GI24" s="764">
        <v>3554400</v>
      </c>
      <c r="GJ24" s="764">
        <v>0</v>
      </c>
      <c r="GK24" s="764">
        <v>3554400</v>
      </c>
      <c r="GL24" s="764">
        <v>0</v>
      </c>
      <c r="GM24" s="764">
        <v>0</v>
      </c>
      <c r="GN24" s="426">
        <f t="shared" si="47"/>
        <v>3554.4</v>
      </c>
      <c r="GO24" s="426">
        <f t="shared" si="48"/>
        <v>0</v>
      </c>
      <c r="GP24" s="426">
        <f t="shared" si="49"/>
        <v>3554.4</v>
      </c>
      <c r="GQ24" s="426">
        <f t="shared" si="50"/>
        <v>0</v>
      </c>
      <c r="GR24" s="426">
        <f t="shared" si="51"/>
        <v>0</v>
      </c>
      <c r="GV24" s="780" t="s">
        <v>360</v>
      </c>
      <c r="GW24" s="779">
        <v>10957088</v>
      </c>
      <c r="GX24" s="426">
        <f t="shared" si="52"/>
        <v>10957.088</v>
      </c>
      <c r="HB24" s="782" t="s">
        <v>360</v>
      </c>
      <c r="HC24" s="764">
        <v>138969235</v>
      </c>
      <c r="HD24" s="764">
        <v>127781102</v>
      </c>
      <c r="HE24" s="764">
        <v>11188133</v>
      </c>
      <c r="HF24" s="764">
        <v>127781102</v>
      </c>
      <c r="HG24" s="426">
        <f t="shared" si="53"/>
        <v>138969.23499999999</v>
      </c>
      <c r="HH24" s="426">
        <f t="shared" si="54"/>
        <v>11188.133</v>
      </c>
      <c r="HI24" s="426">
        <f t="shared" si="55"/>
        <v>127781.102</v>
      </c>
      <c r="HJ24" s="426">
        <f t="shared" si="56"/>
        <v>11188.133</v>
      </c>
      <c r="HK24" s="426">
        <f t="shared" si="57"/>
        <v>127781.102</v>
      </c>
    </row>
    <row r="25" spans="1:219" ht="15" customHeight="1" x14ac:dyDescent="0.3">
      <c r="A25" s="287" t="s">
        <v>554</v>
      </c>
      <c r="B25" s="288" t="s">
        <v>623</v>
      </c>
      <c r="C25" s="289">
        <v>3900000</v>
      </c>
      <c r="D25" s="290">
        <f t="shared" si="3"/>
        <v>4145.7</v>
      </c>
      <c r="E25" s="289">
        <v>746868</v>
      </c>
      <c r="F25" s="289">
        <f t="shared" si="4"/>
        <v>793.92068400000005</v>
      </c>
      <c r="J25" s="291" t="s">
        <v>554</v>
      </c>
      <c r="K25" s="292" t="s">
        <v>367</v>
      </c>
      <c r="L25" s="293">
        <v>138316246</v>
      </c>
      <c r="M25" s="293">
        <f t="shared" si="5"/>
        <v>147030.169498</v>
      </c>
      <c r="Q25" s="291" t="s">
        <v>554</v>
      </c>
      <c r="R25" s="292" t="s">
        <v>623</v>
      </c>
      <c r="S25" s="293">
        <v>3900000</v>
      </c>
      <c r="T25" s="293">
        <v>1077075</v>
      </c>
      <c r="U25" s="293">
        <f t="shared" si="6"/>
        <v>4145.7</v>
      </c>
      <c r="V25" s="293">
        <f t="shared" si="7"/>
        <v>1144.9307249999999</v>
      </c>
      <c r="Z25" s="288" t="s">
        <v>361</v>
      </c>
      <c r="AA25" s="289">
        <v>236898</v>
      </c>
      <c r="AB25" s="289">
        <f t="shared" si="8"/>
        <v>251.82257399999997</v>
      </c>
      <c r="AF25" s="288" t="s">
        <v>623</v>
      </c>
      <c r="AG25" s="289">
        <v>2100000</v>
      </c>
      <c r="AH25" s="289">
        <f t="shared" si="0"/>
        <v>2232.2999999999997</v>
      </c>
      <c r="AI25" s="289">
        <v>1564524</v>
      </c>
      <c r="AL25" s="426"/>
      <c r="AN25" s="423" t="s">
        <v>553</v>
      </c>
      <c r="AO25" s="424" t="s">
        <v>361</v>
      </c>
      <c r="AP25" s="425">
        <v>0</v>
      </c>
      <c r="AQ25" s="425">
        <f t="shared" si="9"/>
        <v>0</v>
      </c>
      <c r="AU25" s="423" t="s">
        <v>554</v>
      </c>
      <c r="AV25" s="424" t="s">
        <v>623</v>
      </c>
      <c r="AW25" s="425">
        <v>4200000</v>
      </c>
      <c r="AX25" s="425">
        <v>2114869</v>
      </c>
      <c r="AY25" s="425">
        <v>2085131</v>
      </c>
      <c r="AZ25" s="426">
        <f t="shared" si="10"/>
        <v>4464.5999999999995</v>
      </c>
      <c r="BA25" s="426">
        <f t="shared" si="11"/>
        <v>2248.1057470000001</v>
      </c>
      <c r="BB25" s="426">
        <f t="shared" si="12"/>
        <v>2216.4942529999998</v>
      </c>
      <c r="BF25" s="423" t="s">
        <v>554</v>
      </c>
      <c r="BG25" s="424" t="s">
        <v>367</v>
      </c>
      <c r="BH25" s="425">
        <v>144738852</v>
      </c>
      <c r="BI25" s="426">
        <f t="shared" si="13"/>
        <v>153857.399676</v>
      </c>
      <c r="BM25" s="427" t="s">
        <v>554</v>
      </c>
      <c r="BN25" s="93" t="s">
        <v>623</v>
      </c>
      <c r="BO25" s="94">
        <v>0</v>
      </c>
      <c r="BP25" s="94">
        <v>5062000</v>
      </c>
      <c r="BQ25" s="94">
        <v>3058317</v>
      </c>
      <c r="BR25" s="94">
        <v>2003683</v>
      </c>
      <c r="BS25" s="94">
        <v>3058317</v>
      </c>
      <c r="BT25" s="426">
        <f t="shared" si="14"/>
        <v>5380.9059999999999</v>
      </c>
      <c r="BU25" s="426">
        <f t="shared" si="15"/>
        <v>3250.9909709999997</v>
      </c>
      <c r="BV25" s="426">
        <f t="shared" si="16"/>
        <v>2129.9150289999998</v>
      </c>
      <c r="BW25" s="426">
        <f t="shared" si="17"/>
        <v>3250.9909709999997</v>
      </c>
      <c r="CA25" s="93" t="s">
        <v>569</v>
      </c>
      <c r="CB25" s="426">
        <v>0</v>
      </c>
      <c r="CC25" s="426">
        <f t="shared" si="18"/>
        <v>0</v>
      </c>
      <c r="CG25" s="424" t="s">
        <v>623</v>
      </c>
      <c r="CH25" s="425">
        <v>0</v>
      </c>
      <c r="CI25" s="425">
        <v>5262000</v>
      </c>
      <c r="CJ25" s="425">
        <v>-5262000</v>
      </c>
      <c r="CK25" s="425">
        <v>3372799</v>
      </c>
      <c r="CL25" s="425">
        <v>1889201</v>
      </c>
      <c r="CM25" s="425">
        <v>3372799</v>
      </c>
      <c r="CN25" s="425">
        <f t="shared" si="19"/>
        <v>5593.5059999999994</v>
      </c>
      <c r="CO25" s="425">
        <f t="shared" si="20"/>
        <v>3585.2853369999998</v>
      </c>
      <c r="CP25" s="425">
        <f t="shared" si="21"/>
        <v>2008.2206629999998</v>
      </c>
      <c r="CQ25" s="425">
        <f t="shared" si="22"/>
        <v>3585.2853369999998</v>
      </c>
      <c r="CU25" s="424" t="s">
        <v>361</v>
      </c>
      <c r="CV25" s="425">
        <v>0</v>
      </c>
      <c r="CW25" s="425">
        <v>0</v>
      </c>
      <c r="CX25" s="426">
        <f t="shared" si="23"/>
        <v>0</v>
      </c>
      <c r="CY25" s="426">
        <f t="shared" si="24"/>
        <v>0</v>
      </c>
      <c r="DB25" s="568" t="s">
        <v>623</v>
      </c>
      <c r="DC25" s="569">
        <v>5712000</v>
      </c>
      <c r="DD25" s="569">
        <v>4504937</v>
      </c>
      <c r="DE25" s="569">
        <v>1207063</v>
      </c>
      <c r="DF25" s="569">
        <v>4504937</v>
      </c>
      <c r="DG25" s="570">
        <f t="shared" si="25"/>
        <v>6071.8559999999998</v>
      </c>
      <c r="DH25" s="570">
        <f t="shared" si="26"/>
        <v>4788.7480310000001</v>
      </c>
      <c r="DI25" s="570">
        <f t="shared" si="27"/>
        <v>1283.1079690000001</v>
      </c>
      <c r="DJ25" s="570">
        <f t="shared" si="28"/>
        <v>4788.7480310000001</v>
      </c>
      <c r="DN25" s="93" t="s">
        <v>367</v>
      </c>
      <c r="DO25" s="93">
        <v>144769923</v>
      </c>
      <c r="DP25" s="93">
        <v>144769923</v>
      </c>
      <c r="DQ25" s="626">
        <f t="shared" si="29"/>
        <v>153890.42814900001</v>
      </c>
      <c r="DR25" s="626">
        <f t="shared" si="30"/>
        <v>153890.42814900001</v>
      </c>
      <c r="DV25" s="93" t="s">
        <v>623</v>
      </c>
      <c r="DW25" s="94">
        <v>8048000</v>
      </c>
      <c r="DX25" s="94">
        <v>5474578</v>
      </c>
      <c r="DY25" s="94">
        <v>2573422</v>
      </c>
      <c r="DZ25" s="94">
        <v>5474578</v>
      </c>
      <c r="EA25" s="94">
        <f t="shared" si="58"/>
        <v>8555.0239999999994</v>
      </c>
      <c r="EB25" s="94">
        <f t="shared" si="31"/>
        <v>5819.4764139999997</v>
      </c>
      <c r="EC25" s="94">
        <f t="shared" si="32"/>
        <v>2735.5475859999997</v>
      </c>
      <c r="ED25" s="94">
        <f t="shared" si="33"/>
        <v>5819.4764139999997</v>
      </c>
      <c r="EH25" s="420" t="s">
        <v>362</v>
      </c>
      <c r="EI25" s="420">
        <v>193926</v>
      </c>
      <c r="EJ25" s="426">
        <f t="shared" si="34"/>
        <v>206.14333799999997</v>
      </c>
      <c r="EN25" s="420" t="s">
        <v>623</v>
      </c>
      <c r="EO25" s="426">
        <v>8548000</v>
      </c>
      <c r="EP25" s="426">
        <v>5993473</v>
      </c>
      <c r="EQ25" s="426">
        <v>2554527</v>
      </c>
      <c r="ER25" s="426">
        <v>5993473</v>
      </c>
      <c r="ES25" s="700">
        <f t="shared" si="35"/>
        <v>9086.5239999999994</v>
      </c>
      <c r="ET25" s="700">
        <f t="shared" si="36"/>
        <v>6371.0617990000001</v>
      </c>
      <c r="EU25" s="700">
        <f t="shared" si="37"/>
        <v>2715.4622009999998</v>
      </c>
      <c r="EV25" s="700">
        <f t="shared" si="38"/>
        <v>6371.0617990000001</v>
      </c>
      <c r="EZ25" s="730" t="s">
        <v>554</v>
      </c>
      <c r="FA25" s="731" t="s">
        <v>362</v>
      </c>
      <c r="FB25" s="420">
        <v>0</v>
      </c>
      <c r="FC25" s="426">
        <f t="shared" si="39"/>
        <v>0</v>
      </c>
      <c r="FG25" s="735" t="s">
        <v>554</v>
      </c>
      <c r="FH25" s="734" t="s">
        <v>623</v>
      </c>
      <c r="FI25" s="732">
        <v>10648000</v>
      </c>
      <c r="FJ25" s="733">
        <v>6701058</v>
      </c>
      <c r="FK25" s="733">
        <v>3946942</v>
      </c>
      <c r="FL25" s="733">
        <v>6701058</v>
      </c>
      <c r="FM25" s="426">
        <f t="shared" si="40"/>
        <v>10648</v>
      </c>
      <c r="FN25" s="426">
        <f t="shared" si="41"/>
        <v>6701.058</v>
      </c>
      <c r="FO25" s="426">
        <f t="shared" si="42"/>
        <v>3946.942</v>
      </c>
      <c r="FP25" s="426">
        <f t="shared" si="43"/>
        <v>6701.058</v>
      </c>
      <c r="FT25" s="427" t="s">
        <v>553</v>
      </c>
      <c r="FU25" s="93" t="s">
        <v>361</v>
      </c>
      <c r="FV25" s="94">
        <v>0</v>
      </c>
      <c r="FW25" s="94">
        <v>0</v>
      </c>
      <c r="FX25" s="94">
        <v>0</v>
      </c>
      <c r="FY25" s="426">
        <f t="shared" si="44"/>
        <v>0</v>
      </c>
      <c r="FZ25" s="426">
        <f t="shared" si="45"/>
        <v>0</v>
      </c>
      <c r="GA25" s="426">
        <f t="shared" si="46"/>
        <v>0</v>
      </c>
      <c r="GG25" s="762" t="s">
        <v>554</v>
      </c>
      <c r="GH25" s="763" t="s">
        <v>623</v>
      </c>
      <c r="GI25" s="764">
        <v>10648000</v>
      </c>
      <c r="GJ25" s="764">
        <v>7345747</v>
      </c>
      <c r="GK25" s="764">
        <v>3302253</v>
      </c>
      <c r="GL25" s="764">
        <v>7345747</v>
      </c>
      <c r="GM25" s="764">
        <v>0</v>
      </c>
      <c r="GN25" s="426">
        <f t="shared" si="47"/>
        <v>10648</v>
      </c>
      <c r="GO25" s="426">
        <f t="shared" si="48"/>
        <v>7345.7470000000003</v>
      </c>
      <c r="GP25" s="426">
        <f t="shared" si="49"/>
        <v>3302.2530000000002</v>
      </c>
      <c r="GQ25" s="426">
        <f t="shared" si="50"/>
        <v>7345.7470000000003</v>
      </c>
      <c r="GR25" s="426">
        <f t="shared" si="51"/>
        <v>0</v>
      </c>
      <c r="GV25" s="780" t="s">
        <v>567</v>
      </c>
      <c r="GW25" s="779">
        <v>10265228</v>
      </c>
      <c r="GX25" s="426">
        <f t="shared" si="52"/>
        <v>10265.227999999999</v>
      </c>
      <c r="HB25" s="782" t="s">
        <v>567</v>
      </c>
      <c r="HC25" s="764">
        <v>125666835</v>
      </c>
      <c r="HD25" s="764">
        <v>119743495</v>
      </c>
      <c r="HE25" s="764">
        <v>5923340</v>
      </c>
      <c r="HF25" s="764">
        <v>119743495</v>
      </c>
      <c r="HG25" s="426">
        <f t="shared" si="53"/>
        <v>125666.83500000001</v>
      </c>
      <c r="HH25" s="426">
        <f t="shared" si="54"/>
        <v>5923.34</v>
      </c>
      <c r="HI25" s="426">
        <f t="shared" si="55"/>
        <v>119743.495</v>
      </c>
      <c r="HJ25" s="426">
        <f t="shared" si="56"/>
        <v>5923.34</v>
      </c>
      <c r="HK25" s="426">
        <f t="shared" si="57"/>
        <v>119743.495</v>
      </c>
    </row>
    <row r="26" spans="1:219" ht="15" customHeight="1" x14ac:dyDescent="0.3">
      <c r="A26" s="287" t="s">
        <v>553</v>
      </c>
      <c r="B26" s="288" t="s">
        <v>361</v>
      </c>
      <c r="C26" s="289">
        <v>1575794</v>
      </c>
      <c r="D26" s="290">
        <f t="shared" si="3"/>
        <v>1675.0690219999999</v>
      </c>
      <c r="E26" s="289">
        <v>300000</v>
      </c>
      <c r="F26" s="289">
        <f t="shared" si="4"/>
        <v>318.89999999999998</v>
      </c>
      <c r="J26" s="291" t="s">
        <v>554</v>
      </c>
      <c r="K26" s="292" t="s">
        <v>368</v>
      </c>
      <c r="L26" s="293">
        <v>19675875</v>
      </c>
      <c r="M26" s="293">
        <f t="shared" si="5"/>
        <v>20915.455125</v>
      </c>
      <c r="Q26" s="291" t="s">
        <v>553</v>
      </c>
      <c r="R26" s="292" t="s">
        <v>361</v>
      </c>
      <c r="S26" s="293">
        <v>1575794</v>
      </c>
      <c r="T26" s="293">
        <v>300000</v>
      </c>
      <c r="U26" s="293">
        <f t="shared" si="6"/>
        <v>1675.0690219999999</v>
      </c>
      <c r="V26" s="293">
        <f t="shared" si="7"/>
        <v>318.89999999999998</v>
      </c>
      <c r="Z26" s="288" t="s">
        <v>481</v>
      </c>
      <c r="AA26" s="289">
        <v>236898</v>
      </c>
      <c r="AB26" s="289">
        <f t="shared" si="8"/>
        <v>251.82257399999997</v>
      </c>
      <c r="AF26" s="288" t="s">
        <v>361</v>
      </c>
      <c r="AG26" s="289">
        <v>1575794</v>
      </c>
      <c r="AH26" s="289">
        <f t="shared" si="0"/>
        <v>1675.0690219999999</v>
      </c>
      <c r="AI26" s="289">
        <v>536898</v>
      </c>
      <c r="AL26" s="426"/>
      <c r="AN26" s="423" t="s">
        <v>554</v>
      </c>
      <c r="AO26" s="424" t="s">
        <v>481</v>
      </c>
      <c r="AP26" s="425">
        <v>0</v>
      </c>
      <c r="AQ26" s="425">
        <f t="shared" si="9"/>
        <v>0</v>
      </c>
      <c r="AU26" s="423" t="s">
        <v>553</v>
      </c>
      <c r="AV26" s="424" t="s">
        <v>361</v>
      </c>
      <c r="AW26" s="425">
        <v>1575794</v>
      </c>
      <c r="AX26" s="425">
        <v>536898</v>
      </c>
      <c r="AY26" s="425">
        <v>1038896</v>
      </c>
      <c r="AZ26" s="426">
        <f t="shared" si="10"/>
        <v>1675.0690219999999</v>
      </c>
      <c r="BA26" s="426">
        <f t="shared" si="11"/>
        <v>570.72257400000001</v>
      </c>
      <c r="BB26" s="426">
        <f t="shared" si="12"/>
        <v>1104.346448</v>
      </c>
      <c r="BF26" s="423" t="s">
        <v>554</v>
      </c>
      <c r="BG26" s="424" t="s">
        <v>368</v>
      </c>
      <c r="BH26" s="425">
        <v>20102519</v>
      </c>
      <c r="BI26" s="426">
        <f t="shared" si="13"/>
        <v>21368.977696999998</v>
      </c>
      <c r="BM26" s="427" t="s">
        <v>553</v>
      </c>
      <c r="BN26" s="93" t="s">
        <v>361</v>
      </c>
      <c r="BO26" s="94">
        <v>0</v>
      </c>
      <c r="BP26" s="94">
        <v>1575794</v>
      </c>
      <c r="BQ26" s="94">
        <v>536898</v>
      </c>
      <c r="BR26" s="94">
        <v>1038896</v>
      </c>
      <c r="BS26" s="94">
        <v>536898</v>
      </c>
      <c r="BT26" s="426">
        <f t="shared" si="14"/>
        <v>1675.0690219999999</v>
      </c>
      <c r="BU26" s="426">
        <f t="shared" si="15"/>
        <v>570.72257400000001</v>
      </c>
      <c r="BV26" s="426">
        <f t="shared" si="16"/>
        <v>1104.346448</v>
      </c>
      <c r="BW26" s="426">
        <f t="shared" si="17"/>
        <v>570.72257400000001</v>
      </c>
      <c r="CA26" s="93" t="s">
        <v>361</v>
      </c>
      <c r="CB26" s="426">
        <v>236898</v>
      </c>
      <c r="CC26" s="426">
        <f t="shared" si="18"/>
        <v>251.82257399999997</v>
      </c>
      <c r="CG26" s="424" t="s">
        <v>569</v>
      </c>
      <c r="CH26" s="425">
        <v>0</v>
      </c>
      <c r="CI26" s="425">
        <v>179920</v>
      </c>
      <c r="CJ26" s="425">
        <v>-179920</v>
      </c>
      <c r="CK26" s="425">
        <v>0</v>
      </c>
      <c r="CL26" s="425">
        <v>179920</v>
      </c>
      <c r="CM26" s="425">
        <v>0</v>
      </c>
      <c r="CN26" s="425">
        <f t="shared" si="19"/>
        <v>191.25495999999998</v>
      </c>
      <c r="CO26" s="425">
        <f t="shared" si="20"/>
        <v>0</v>
      </c>
      <c r="CP26" s="425">
        <f t="shared" si="21"/>
        <v>191.25495999999998</v>
      </c>
      <c r="CQ26" s="425">
        <f t="shared" si="22"/>
        <v>0</v>
      </c>
      <c r="CU26" s="424" t="s">
        <v>481</v>
      </c>
      <c r="CV26" s="425">
        <v>0</v>
      </c>
      <c r="CW26" s="425">
        <v>0</v>
      </c>
      <c r="CX26" s="426">
        <f t="shared" si="23"/>
        <v>0</v>
      </c>
      <c r="CY26" s="426">
        <f t="shared" si="24"/>
        <v>0</v>
      </c>
      <c r="DB26" s="568" t="s">
        <v>569</v>
      </c>
      <c r="DC26" s="569">
        <v>179920</v>
      </c>
      <c r="DD26" s="569">
        <v>0</v>
      </c>
      <c r="DE26" s="569">
        <v>179920</v>
      </c>
      <c r="DF26" s="569">
        <v>0</v>
      </c>
      <c r="DG26" s="570">
        <f t="shared" si="25"/>
        <v>191.25495999999998</v>
      </c>
      <c r="DH26" s="570">
        <f t="shared" si="26"/>
        <v>0</v>
      </c>
      <c r="DI26" s="570">
        <f t="shared" si="27"/>
        <v>191.25495999999998</v>
      </c>
      <c r="DJ26" s="570">
        <f t="shared" si="28"/>
        <v>0</v>
      </c>
      <c r="DN26" s="93" t="s">
        <v>368</v>
      </c>
      <c r="DO26" s="93">
        <v>20542686</v>
      </c>
      <c r="DP26" s="93">
        <v>20542686</v>
      </c>
      <c r="DQ26" s="626">
        <f t="shared" si="29"/>
        <v>21836.875218000001</v>
      </c>
      <c r="DR26" s="626">
        <f t="shared" si="30"/>
        <v>21836.875218000001</v>
      </c>
      <c r="DV26" s="93" t="s">
        <v>569</v>
      </c>
      <c r="DW26" s="94">
        <v>179920</v>
      </c>
      <c r="DX26" s="94">
        <v>0</v>
      </c>
      <c r="DY26" s="94">
        <v>179920</v>
      </c>
      <c r="DZ26" s="94">
        <v>0</v>
      </c>
      <c r="EA26" s="94">
        <f t="shared" si="58"/>
        <v>191.25495999999998</v>
      </c>
      <c r="EB26" s="94">
        <f t="shared" si="31"/>
        <v>0</v>
      </c>
      <c r="EC26" s="94">
        <f t="shared" si="32"/>
        <v>191.25495999999998</v>
      </c>
      <c r="ED26" s="94">
        <f t="shared" si="33"/>
        <v>0</v>
      </c>
      <c r="EH26" s="420" t="s">
        <v>364</v>
      </c>
      <c r="EI26" s="420">
        <v>1657071684</v>
      </c>
      <c r="EJ26" s="426">
        <f t="shared" si="34"/>
        <v>1761467.2000919997</v>
      </c>
      <c r="EN26" s="420" t="s">
        <v>569</v>
      </c>
      <c r="EO26" s="426">
        <v>179920</v>
      </c>
      <c r="EP26" s="426">
        <v>0</v>
      </c>
      <c r="EQ26" s="426">
        <v>179920</v>
      </c>
      <c r="ER26" s="426">
        <v>0</v>
      </c>
      <c r="ES26" s="700">
        <f t="shared" si="35"/>
        <v>191.25495999999998</v>
      </c>
      <c r="ET26" s="700">
        <f t="shared" si="36"/>
        <v>0</v>
      </c>
      <c r="EU26" s="700">
        <f t="shared" si="37"/>
        <v>191.25495999999998</v>
      </c>
      <c r="EV26" s="700">
        <f t="shared" si="38"/>
        <v>0</v>
      </c>
      <c r="EZ26" s="730" t="s">
        <v>355</v>
      </c>
      <c r="FA26" s="731" t="s">
        <v>364</v>
      </c>
      <c r="FB26" s="420">
        <v>934348566</v>
      </c>
      <c r="FC26" s="426">
        <f t="shared" si="39"/>
        <v>934348.56599999999</v>
      </c>
      <c r="FG26" s="735" t="s">
        <v>554</v>
      </c>
      <c r="FH26" s="734" t="s">
        <v>569</v>
      </c>
      <c r="FI26" s="732">
        <v>179920</v>
      </c>
      <c r="FJ26" s="733">
        <v>0</v>
      </c>
      <c r="FK26" s="733">
        <v>179920</v>
      </c>
      <c r="FL26" s="733">
        <v>0</v>
      </c>
      <c r="FM26" s="426">
        <f t="shared" si="40"/>
        <v>179.92</v>
      </c>
      <c r="FN26" s="426">
        <f t="shared" si="41"/>
        <v>0</v>
      </c>
      <c r="FO26" s="426">
        <f t="shared" si="42"/>
        <v>179.92</v>
      </c>
      <c r="FP26" s="426">
        <f t="shared" si="43"/>
        <v>0</v>
      </c>
      <c r="FT26" s="427" t="s">
        <v>554</v>
      </c>
      <c r="FU26" s="93" t="s">
        <v>362</v>
      </c>
      <c r="FV26" s="94">
        <v>0</v>
      </c>
      <c r="FW26" s="94">
        <v>0</v>
      </c>
      <c r="FX26" s="94">
        <v>0</v>
      </c>
      <c r="FY26" s="426">
        <f t="shared" si="44"/>
        <v>0</v>
      </c>
      <c r="FZ26" s="426">
        <f t="shared" si="45"/>
        <v>0</v>
      </c>
      <c r="GA26" s="426">
        <f t="shared" si="46"/>
        <v>0</v>
      </c>
      <c r="GG26" s="762" t="s">
        <v>554</v>
      </c>
      <c r="GH26" s="763" t="s">
        <v>569</v>
      </c>
      <c r="GI26" s="764">
        <v>179920</v>
      </c>
      <c r="GJ26" s="764">
        <v>0</v>
      </c>
      <c r="GK26" s="764">
        <v>179920</v>
      </c>
      <c r="GL26" s="764">
        <v>0</v>
      </c>
      <c r="GM26" s="764">
        <v>0</v>
      </c>
      <c r="GN26" s="426">
        <f t="shared" si="47"/>
        <v>179.92</v>
      </c>
      <c r="GO26" s="426">
        <f t="shared" si="48"/>
        <v>0</v>
      </c>
      <c r="GP26" s="426">
        <f t="shared" si="49"/>
        <v>179.92</v>
      </c>
      <c r="GQ26" s="426">
        <f t="shared" si="50"/>
        <v>0</v>
      </c>
      <c r="GR26" s="426">
        <f t="shared" si="51"/>
        <v>0</v>
      </c>
      <c r="GV26" s="780" t="s">
        <v>623</v>
      </c>
      <c r="GW26" s="779">
        <v>691860</v>
      </c>
      <c r="GX26" s="426">
        <f t="shared" si="52"/>
        <v>691.86</v>
      </c>
      <c r="HB26" s="782" t="s">
        <v>568</v>
      </c>
      <c r="HC26" s="764">
        <v>3554400</v>
      </c>
      <c r="HD26" s="764">
        <v>0</v>
      </c>
      <c r="HE26" s="764">
        <v>3554400</v>
      </c>
      <c r="HF26" s="764">
        <v>0</v>
      </c>
      <c r="HG26" s="426">
        <f t="shared" si="53"/>
        <v>3554.4</v>
      </c>
      <c r="HH26" s="426">
        <f t="shared" si="54"/>
        <v>3554.4</v>
      </c>
      <c r="HI26" s="426">
        <f t="shared" si="55"/>
        <v>0</v>
      </c>
      <c r="HJ26" s="426">
        <f t="shared" si="56"/>
        <v>3554.4</v>
      </c>
      <c r="HK26" s="426">
        <f t="shared" si="57"/>
        <v>0</v>
      </c>
    </row>
    <row r="27" spans="1:219" ht="15" customHeight="1" x14ac:dyDescent="0.3">
      <c r="A27" s="287" t="s">
        <v>554</v>
      </c>
      <c r="B27" s="288" t="s">
        <v>362</v>
      </c>
      <c r="C27" s="289">
        <v>397783</v>
      </c>
      <c r="D27" s="290">
        <f t="shared" si="3"/>
        <v>422.84332899999998</v>
      </c>
      <c r="E27" s="289">
        <v>0</v>
      </c>
      <c r="F27" s="289">
        <f t="shared" si="4"/>
        <v>0</v>
      </c>
      <c r="J27" s="291" t="s">
        <v>554</v>
      </c>
      <c r="K27" s="292" t="s">
        <v>571</v>
      </c>
      <c r="L27" s="293">
        <v>7160</v>
      </c>
      <c r="M27" s="293">
        <f t="shared" si="5"/>
        <v>7.6110799999999994</v>
      </c>
      <c r="Q27" s="291" t="s">
        <v>554</v>
      </c>
      <c r="R27" s="292" t="s">
        <v>362</v>
      </c>
      <c r="S27" s="293">
        <v>397783</v>
      </c>
      <c r="T27" s="293">
        <v>0</v>
      </c>
      <c r="U27" s="293">
        <f t="shared" si="6"/>
        <v>422.84332899999998</v>
      </c>
      <c r="V27" s="293">
        <f t="shared" si="7"/>
        <v>0</v>
      </c>
      <c r="Z27" s="288" t="s">
        <v>364</v>
      </c>
      <c r="AA27" s="289">
        <v>1573536388</v>
      </c>
      <c r="AB27" s="289">
        <f t="shared" si="8"/>
        <v>1672669.1804440001</v>
      </c>
      <c r="AF27" s="288" t="s">
        <v>362</v>
      </c>
      <c r="AG27" s="289">
        <v>397783</v>
      </c>
      <c r="AH27" s="289">
        <f t="shared" si="0"/>
        <v>422.84332899999998</v>
      </c>
      <c r="AI27" s="289">
        <v>0</v>
      </c>
      <c r="AL27" s="426"/>
      <c r="AN27" s="423" t="s">
        <v>355</v>
      </c>
      <c r="AO27" s="424" t="s">
        <v>364</v>
      </c>
      <c r="AP27" s="425">
        <v>869513506</v>
      </c>
      <c r="AQ27" s="425">
        <f t="shared" si="9"/>
        <v>924292.85687799996</v>
      </c>
      <c r="AU27" s="423" t="s">
        <v>554</v>
      </c>
      <c r="AV27" s="424" t="s">
        <v>362</v>
      </c>
      <c r="AW27" s="425">
        <v>397783</v>
      </c>
      <c r="AX27" s="425">
        <v>0</v>
      </c>
      <c r="AY27" s="425">
        <v>397783</v>
      </c>
      <c r="AZ27" s="426">
        <f t="shared" si="10"/>
        <v>422.84332899999998</v>
      </c>
      <c r="BA27" s="426">
        <f t="shared" si="11"/>
        <v>0</v>
      </c>
      <c r="BB27" s="426">
        <f t="shared" si="12"/>
        <v>422.84332899999998</v>
      </c>
      <c r="BF27" s="423" t="s">
        <v>554</v>
      </c>
      <c r="BG27" s="424" t="s">
        <v>572</v>
      </c>
      <c r="BH27" s="425">
        <v>8363109</v>
      </c>
      <c r="BI27" s="426">
        <f t="shared" si="13"/>
        <v>8889.9848669999992</v>
      </c>
      <c r="BM27" s="427" t="s">
        <v>554</v>
      </c>
      <c r="BN27" s="93" t="s">
        <v>362</v>
      </c>
      <c r="BO27" s="94">
        <v>0</v>
      </c>
      <c r="BP27" s="94">
        <v>397783</v>
      </c>
      <c r="BQ27" s="94">
        <v>0</v>
      </c>
      <c r="BR27" s="94">
        <v>397783</v>
      </c>
      <c r="BS27" s="94">
        <v>0</v>
      </c>
      <c r="BT27" s="426">
        <f t="shared" si="14"/>
        <v>422.84332899999998</v>
      </c>
      <c r="BU27" s="426">
        <f t="shared" si="15"/>
        <v>0</v>
      </c>
      <c r="BV27" s="426">
        <f t="shared" si="16"/>
        <v>422.84332899999998</v>
      </c>
      <c r="BW27" s="426">
        <f t="shared" si="17"/>
        <v>0</v>
      </c>
      <c r="CA27" s="93" t="s">
        <v>481</v>
      </c>
      <c r="CB27" s="426">
        <v>236898</v>
      </c>
      <c r="CC27" s="426">
        <f t="shared" si="18"/>
        <v>251.82257399999997</v>
      </c>
      <c r="CG27" s="424" t="s">
        <v>361</v>
      </c>
      <c r="CH27" s="425">
        <v>0</v>
      </c>
      <c r="CI27" s="425">
        <v>1581237</v>
      </c>
      <c r="CJ27" s="425">
        <v>-1581237</v>
      </c>
      <c r="CK27" s="425">
        <v>773796</v>
      </c>
      <c r="CL27" s="425">
        <v>807441</v>
      </c>
      <c r="CM27" s="425">
        <v>773796</v>
      </c>
      <c r="CN27" s="425">
        <f t="shared" si="19"/>
        <v>1680.8549310000001</v>
      </c>
      <c r="CO27" s="425">
        <f t="shared" si="20"/>
        <v>822.54514800000004</v>
      </c>
      <c r="CP27" s="425">
        <f t="shared" si="21"/>
        <v>858.30978300000004</v>
      </c>
      <c r="CQ27" s="425">
        <f t="shared" si="22"/>
        <v>822.54514800000004</v>
      </c>
      <c r="CU27" s="424" t="s">
        <v>364</v>
      </c>
      <c r="CV27" s="425">
        <v>927975076</v>
      </c>
      <c r="CW27" s="425">
        <v>927975076</v>
      </c>
      <c r="CX27" s="426">
        <f t="shared" si="23"/>
        <v>986437.50578799995</v>
      </c>
      <c r="CY27" s="426">
        <f t="shared" si="24"/>
        <v>986437.50578799995</v>
      </c>
      <c r="DB27" s="568" t="s">
        <v>361</v>
      </c>
      <c r="DC27" s="569">
        <v>1581237</v>
      </c>
      <c r="DD27" s="569">
        <v>773796</v>
      </c>
      <c r="DE27" s="569">
        <v>807441</v>
      </c>
      <c r="DF27" s="569">
        <v>773796</v>
      </c>
      <c r="DG27" s="570">
        <f t="shared" si="25"/>
        <v>1680.8549310000001</v>
      </c>
      <c r="DH27" s="570">
        <f t="shared" si="26"/>
        <v>822.54514800000004</v>
      </c>
      <c r="DI27" s="570">
        <f t="shared" si="27"/>
        <v>858.30978300000004</v>
      </c>
      <c r="DJ27" s="570">
        <f t="shared" si="28"/>
        <v>822.54514800000004</v>
      </c>
      <c r="DN27" s="93" t="s">
        <v>572</v>
      </c>
      <c r="DO27" s="93">
        <v>9208655</v>
      </c>
      <c r="DP27" s="93">
        <v>9208655</v>
      </c>
      <c r="DQ27" s="626">
        <f t="shared" si="29"/>
        <v>9788.8002649999999</v>
      </c>
      <c r="DR27" s="626">
        <f t="shared" si="30"/>
        <v>9788.8002649999999</v>
      </c>
      <c r="DV27" s="93" t="s">
        <v>361</v>
      </c>
      <c r="DW27" s="94">
        <v>1581237</v>
      </c>
      <c r="DX27" s="94">
        <v>773796</v>
      </c>
      <c r="DY27" s="94">
        <v>807441</v>
      </c>
      <c r="DZ27" s="94">
        <v>773796</v>
      </c>
      <c r="EA27" s="94">
        <f t="shared" si="58"/>
        <v>1680.8549310000001</v>
      </c>
      <c r="EB27" s="94">
        <f t="shared" si="31"/>
        <v>822.54514800000004</v>
      </c>
      <c r="EC27" s="94">
        <f t="shared" si="32"/>
        <v>858.30978300000004</v>
      </c>
      <c r="ED27" s="94">
        <f t="shared" si="33"/>
        <v>822.54514800000004</v>
      </c>
      <c r="EH27" s="420" t="s">
        <v>365</v>
      </c>
      <c r="EI27" s="420">
        <v>1267708673</v>
      </c>
      <c r="EJ27" s="426">
        <f t="shared" si="34"/>
        <v>1347574.3193989999</v>
      </c>
      <c r="EN27" s="420" t="s">
        <v>361</v>
      </c>
      <c r="EO27" s="426">
        <v>1581237</v>
      </c>
      <c r="EP27" s="426">
        <v>967722</v>
      </c>
      <c r="EQ27" s="426">
        <v>613515</v>
      </c>
      <c r="ER27" s="426">
        <v>967722</v>
      </c>
      <c r="ES27" s="700">
        <f t="shared" si="35"/>
        <v>1680.8549310000001</v>
      </c>
      <c r="ET27" s="700">
        <f t="shared" si="36"/>
        <v>1028.688486</v>
      </c>
      <c r="EU27" s="700">
        <f t="shared" si="37"/>
        <v>652.16644499999995</v>
      </c>
      <c r="EV27" s="700">
        <f t="shared" si="38"/>
        <v>1028.688486</v>
      </c>
      <c r="EZ27" s="730" t="s">
        <v>553</v>
      </c>
      <c r="FA27" s="731" t="s">
        <v>365</v>
      </c>
      <c r="FB27" s="420">
        <v>870184908</v>
      </c>
      <c r="FC27" s="426">
        <f t="shared" si="39"/>
        <v>870184.90800000005</v>
      </c>
      <c r="FG27" s="735" t="s">
        <v>553</v>
      </c>
      <c r="FH27" s="734" t="s">
        <v>361</v>
      </c>
      <c r="FI27" s="732">
        <v>1581237</v>
      </c>
      <c r="FJ27" s="733">
        <v>967722</v>
      </c>
      <c r="FK27" s="733">
        <v>613515</v>
      </c>
      <c r="FL27" s="733">
        <v>967722</v>
      </c>
      <c r="FM27" s="426">
        <f t="shared" si="40"/>
        <v>1581.2370000000001</v>
      </c>
      <c r="FN27" s="426">
        <f t="shared" si="41"/>
        <v>967.72199999999998</v>
      </c>
      <c r="FO27" s="426">
        <f t="shared" si="42"/>
        <v>613.51499999999999</v>
      </c>
      <c r="FP27" s="426">
        <f t="shared" si="43"/>
        <v>967.72199999999998</v>
      </c>
      <c r="FT27" s="427" t="s">
        <v>355</v>
      </c>
      <c r="FU27" s="93" t="s">
        <v>364</v>
      </c>
      <c r="FV27" s="94">
        <v>295298000</v>
      </c>
      <c r="FW27" s="94">
        <v>949342005</v>
      </c>
      <c r="FX27" s="94">
        <v>949342005</v>
      </c>
      <c r="FY27" s="426">
        <f t="shared" si="44"/>
        <v>295298</v>
      </c>
      <c r="FZ27" s="426">
        <f t="shared" si="45"/>
        <v>949342.005</v>
      </c>
      <c r="GA27" s="426">
        <f t="shared" si="46"/>
        <v>949342.005</v>
      </c>
      <c r="GG27" s="762" t="s">
        <v>553</v>
      </c>
      <c r="GH27" s="763" t="s">
        <v>361</v>
      </c>
      <c r="GI27" s="764">
        <v>1581237</v>
      </c>
      <c r="GJ27" s="764">
        <v>967722</v>
      </c>
      <c r="GK27" s="764">
        <v>613515</v>
      </c>
      <c r="GL27" s="764">
        <v>967722</v>
      </c>
      <c r="GM27" s="764">
        <v>0</v>
      </c>
      <c r="GN27" s="426">
        <f t="shared" si="47"/>
        <v>1581.2370000000001</v>
      </c>
      <c r="GO27" s="426">
        <f t="shared" si="48"/>
        <v>967.72199999999998</v>
      </c>
      <c r="GP27" s="426">
        <f t="shared" si="49"/>
        <v>613.51499999999999</v>
      </c>
      <c r="GQ27" s="426">
        <f t="shared" si="50"/>
        <v>967.72199999999998</v>
      </c>
      <c r="GR27" s="426">
        <f t="shared" si="51"/>
        <v>0</v>
      </c>
      <c r="GV27" s="780" t="s">
        <v>361</v>
      </c>
      <c r="GW27" s="779">
        <v>2311346</v>
      </c>
      <c r="GX27" s="426">
        <f t="shared" si="52"/>
        <v>2311.346</v>
      </c>
      <c r="HB27" s="782" t="s">
        <v>623</v>
      </c>
      <c r="HC27" s="764">
        <v>9748000</v>
      </c>
      <c r="HD27" s="764">
        <v>8037607</v>
      </c>
      <c r="HE27" s="764">
        <v>1710393</v>
      </c>
      <c r="HF27" s="764">
        <v>8037607</v>
      </c>
      <c r="HG27" s="426">
        <f t="shared" si="53"/>
        <v>9748</v>
      </c>
      <c r="HH27" s="426">
        <f t="shared" si="54"/>
        <v>1710.393</v>
      </c>
      <c r="HI27" s="426">
        <f t="shared" si="55"/>
        <v>8037.607</v>
      </c>
      <c r="HJ27" s="426">
        <f t="shared" si="56"/>
        <v>1710.393</v>
      </c>
      <c r="HK27" s="426">
        <f t="shared" si="57"/>
        <v>8037.607</v>
      </c>
    </row>
    <row r="28" spans="1:219" ht="15" customHeight="1" x14ac:dyDescent="0.3">
      <c r="A28" s="287" t="s">
        <v>554</v>
      </c>
      <c r="B28" s="288" t="s">
        <v>481</v>
      </c>
      <c r="C28" s="289">
        <v>468353</v>
      </c>
      <c r="D28" s="290">
        <f t="shared" si="3"/>
        <v>497.859239</v>
      </c>
      <c r="E28" s="289">
        <v>0</v>
      </c>
      <c r="F28" s="289">
        <f t="shared" si="4"/>
        <v>0</v>
      </c>
      <c r="J28" s="291" t="s">
        <v>554</v>
      </c>
      <c r="K28" s="292" t="s">
        <v>572</v>
      </c>
      <c r="L28" s="293">
        <v>7217613</v>
      </c>
      <c r="M28" s="293">
        <f t="shared" si="5"/>
        <v>7672.3226189999996</v>
      </c>
      <c r="Q28" s="291" t="s">
        <v>554</v>
      </c>
      <c r="R28" s="292" t="s">
        <v>481</v>
      </c>
      <c r="S28" s="293">
        <v>468353</v>
      </c>
      <c r="T28" s="293">
        <v>0</v>
      </c>
      <c r="U28" s="293">
        <f t="shared" si="6"/>
        <v>497.859239</v>
      </c>
      <c r="V28" s="293">
        <f t="shared" si="7"/>
        <v>0</v>
      </c>
      <c r="Z28" s="288" t="s">
        <v>365</v>
      </c>
      <c r="AA28" s="289">
        <v>1201525335</v>
      </c>
      <c r="AB28" s="289">
        <f t="shared" si="8"/>
        <v>1277221.431105</v>
      </c>
      <c r="AF28" s="288" t="s">
        <v>481</v>
      </c>
      <c r="AG28" s="289">
        <v>468353</v>
      </c>
      <c r="AH28" s="289">
        <f t="shared" si="0"/>
        <v>497.859239</v>
      </c>
      <c r="AI28" s="289">
        <v>236898</v>
      </c>
      <c r="AL28" s="426"/>
      <c r="AN28" s="423" t="s">
        <v>553</v>
      </c>
      <c r="AO28" s="424" t="s">
        <v>365</v>
      </c>
      <c r="AP28" s="425">
        <v>803195126</v>
      </c>
      <c r="AQ28" s="425">
        <f t="shared" si="9"/>
        <v>853796.41893799999</v>
      </c>
      <c r="AU28" s="423" t="s">
        <v>554</v>
      </c>
      <c r="AV28" s="424" t="s">
        <v>481</v>
      </c>
      <c r="AW28" s="425">
        <v>468353</v>
      </c>
      <c r="AX28" s="425">
        <v>236898</v>
      </c>
      <c r="AY28" s="425">
        <v>231455</v>
      </c>
      <c r="AZ28" s="426">
        <f t="shared" si="10"/>
        <v>497.859239</v>
      </c>
      <c r="BA28" s="426">
        <f t="shared" si="11"/>
        <v>251.82257399999997</v>
      </c>
      <c r="BB28" s="426">
        <f t="shared" si="12"/>
        <v>246.036665</v>
      </c>
      <c r="BF28" s="423" t="s">
        <v>554</v>
      </c>
      <c r="BG28" s="424" t="s">
        <v>573</v>
      </c>
      <c r="BH28" s="425">
        <v>139935993</v>
      </c>
      <c r="BI28" s="426">
        <f t="shared" si="13"/>
        <v>148751.96055899997</v>
      </c>
      <c r="BM28" s="427" t="s">
        <v>554</v>
      </c>
      <c r="BN28" s="93" t="s">
        <v>481</v>
      </c>
      <c r="BO28" s="94">
        <v>0</v>
      </c>
      <c r="BP28" s="94">
        <v>468353</v>
      </c>
      <c r="BQ28" s="94">
        <v>236898</v>
      </c>
      <c r="BR28" s="94">
        <v>231455</v>
      </c>
      <c r="BS28" s="94">
        <v>236898</v>
      </c>
      <c r="BT28" s="426">
        <f t="shared" si="14"/>
        <v>497.859239</v>
      </c>
      <c r="BU28" s="426">
        <f t="shared" si="15"/>
        <v>251.82257399999997</v>
      </c>
      <c r="BV28" s="426">
        <f t="shared" si="16"/>
        <v>246.036665</v>
      </c>
      <c r="BW28" s="426">
        <f t="shared" si="17"/>
        <v>251.82257399999997</v>
      </c>
      <c r="CA28" s="93" t="s">
        <v>364</v>
      </c>
      <c r="CB28" s="426">
        <v>1656304310</v>
      </c>
      <c r="CC28" s="426">
        <f t="shared" si="18"/>
        <v>1760651.48153</v>
      </c>
      <c r="CG28" s="424" t="s">
        <v>362</v>
      </c>
      <c r="CH28" s="425">
        <v>0</v>
      </c>
      <c r="CI28" s="425">
        <v>397783</v>
      </c>
      <c r="CJ28" s="425">
        <v>-397783</v>
      </c>
      <c r="CK28" s="425">
        <v>0</v>
      </c>
      <c r="CL28" s="425">
        <v>397783</v>
      </c>
      <c r="CM28" s="425">
        <v>0</v>
      </c>
      <c r="CN28" s="425">
        <f t="shared" si="19"/>
        <v>422.84332899999998</v>
      </c>
      <c r="CO28" s="425">
        <f t="shared" si="20"/>
        <v>0</v>
      </c>
      <c r="CP28" s="425">
        <f t="shared" si="21"/>
        <v>422.84332899999998</v>
      </c>
      <c r="CQ28" s="425">
        <f t="shared" si="22"/>
        <v>0</v>
      </c>
      <c r="CU28" s="424" t="s">
        <v>365</v>
      </c>
      <c r="CV28" s="425">
        <v>854272355</v>
      </c>
      <c r="CW28" s="425">
        <v>854272355</v>
      </c>
      <c r="CX28" s="426">
        <f t="shared" si="23"/>
        <v>908091.5133649999</v>
      </c>
      <c r="CY28" s="426">
        <f t="shared" si="24"/>
        <v>908091.5133649999</v>
      </c>
      <c r="DB28" s="568" t="s">
        <v>362</v>
      </c>
      <c r="DC28" s="569">
        <v>397783</v>
      </c>
      <c r="DD28" s="569">
        <v>0</v>
      </c>
      <c r="DE28" s="569">
        <v>397783</v>
      </c>
      <c r="DF28" s="569">
        <v>0</v>
      </c>
      <c r="DG28" s="570">
        <f t="shared" si="25"/>
        <v>422.84332899999998</v>
      </c>
      <c r="DH28" s="570">
        <f t="shared" si="26"/>
        <v>0</v>
      </c>
      <c r="DI28" s="570">
        <f t="shared" si="27"/>
        <v>422.84332899999998</v>
      </c>
      <c r="DJ28" s="570">
        <f t="shared" si="28"/>
        <v>0</v>
      </c>
      <c r="DN28" s="93" t="s">
        <v>573</v>
      </c>
      <c r="DO28" s="93">
        <v>139517099</v>
      </c>
      <c r="DP28" s="93">
        <v>139517099</v>
      </c>
      <c r="DQ28" s="626">
        <f t="shared" si="29"/>
        <v>148306.67623699998</v>
      </c>
      <c r="DR28" s="626">
        <f t="shared" si="30"/>
        <v>148306.67623699998</v>
      </c>
      <c r="DV28" s="93" t="s">
        <v>362</v>
      </c>
      <c r="DW28" s="94">
        <v>397783</v>
      </c>
      <c r="DX28" s="94">
        <v>0</v>
      </c>
      <c r="DY28" s="94">
        <v>397783</v>
      </c>
      <c r="DZ28" s="94">
        <v>0</v>
      </c>
      <c r="EA28" s="94">
        <f t="shared" si="58"/>
        <v>422.84332899999998</v>
      </c>
      <c r="EB28" s="94">
        <f t="shared" si="31"/>
        <v>0</v>
      </c>
      <c r="EC28" s="94">
        <f t="shared" si="32"/>
        <v>422.84332899999998</v>
      </c>
      <c r="ED28" s="94">
        <f t="shared" si="33"/>
        <v>0</v>
      </c>
      <c r="EH28" s="420" t="s">
        <v>366</v>
      </c>
      <c r="EI28" s="420">
        <v>209514663</v>
      </c>
      <c r="EJ28" s="426">
        <f t="shared" si="34"/>
        <v>222714.08676899999</v>
      </c>
      <c r="EN28" s="420" t="s">
        <v>362</v>
      </c>
      <c r="EO28" s="426">
        <v>397783</v>
      </c>
      <c r="EP28" s="426">
        <v>193926</v>
      </c>
      <c r="EQ28" s="426">
        <v>203857</v>
      </c>
      <c r="ER28" s="426">
        <v>193926</v>
      </c>
      <c r="ES28" s="700">
        <f t="shared" si="35"/>
        <v>422.84332899999998</v>
      </c>
      <c r="ET28" s="700">
        <f t="shared" si="36"/>
        <v>206.14333799999997</v>
      </c>
      <c r="EU28" s="700">
        <f t="shared" si="37"/>
        <v>216.69999099999998</v>
      </c>
      <c r="EV28" s="700">
        <f t="shared" si="38"/>
        <v>206.14333799999997</v>
      </c>
      <c r="EZ28" s="730" t="s">
        <v>554</v>
      </c>
      <c r="FA28" s="731" t="s">
        <v>366</v>
      </c>
      <c r="FB28" s="420">
        <v>209952193</v>
      </c>
      <c r="FC28" s="426">
        <f t="shared" si="39"/>
        <v>209952.193</v>
      </c>
      <c r="FG28" s="735" t="s">
        <v>554</v>
      </c>
      <c r="FH28" s="734" t="s">
        <v>362</v>
      </c>
      <c r="FI28" s="732">
        <v>397783</v>
      </c>
      <c r="FJ28" s="733">
        <v>193926</v>
      </c>
      <c r="FK28" s="733">
        <v>203857</v>
      </c>
      <c r="FL28" s="733">
        <v>193926</v>
      </c>
      <c r="FM28" s="426">
        <f t="shared" si="40"/>
        <v>397.78300000000002</v>
      </c>
      <c r="FN28" s="426">
        <f t="shared" si="41"/>
        <v>193.92599999999999</v>
      </c>
      <c r="FO28" s="426">
        <f t="shared" si="42"/>
        <v>203.857</v>
      </c>
      <c r="FP28" s="426">
        <f t="shared" si="43"/>
        <v>193.92599999999999</v>
      </c>
      <c r="FT28" s="427" t="s">
        <v>553</v>
      </c>
      <c r="FU28" s="93" t="s">
        <v>365</v>
      </c>
      <c r="FV28" s="94">
        <v>282645000</v>
      </c>
      <c r="FW28" s="94">
        <v>868598143</v>
      </c>
      <c r="FX28" s="94">
        <v>868598143</v>
      </c>
      <c r="FY28" s="426">
        <f t="shared" si="44"/>
        <v>282645</v>
      </c>
      <c r="FZ28" s="426">
        <f t="shared" si="45"/>
        <v>868598.14300000004</v>
      </c>
      <c r="GA28" s="426">
        <f t="shared" si="46"/>
        <v>868598.14300000004</v>
      </c>
      <c r="GG28" s="762" t="s">
        <v>554</v>
      </c>
      <c r="GH28" s="763" t="s">
        <v>362</v>
      </c>
      <c r="GI28" s="764">
        <v>397783</v>
      </c>
      <c r="GJ28" s="764">
        <v>193926</v>
      </c>
      <c r="GK28" s="764">
        <v>203857</v>
      </c>
      <c r="GL28" s="764">
        <v>193926</v>
      </c>
      <c r="GM28" s="764">
        <v>0</v>
      </c>
      <c r="GN28" s="426">
        <f t="shared" si="47"/>
        <v>397.78300000000002</v>
      </c>
      <c r="GO28" s="426">
        <f t="shared" si="48"/>
        <v>193.92599999999999</v>
      </c>
      <c r="GP28" s="426">
        <f t="shared" si="49"/>
        <v>203.857</v>
      </c>
      <c r="GQ28" s="426">
        <f t="shared" si="50"/>
        <v>193.92599999999999</v>
      </c>
      <c r="GR28" s="426">
        <f t="shared" si="51"/>
        <v>0</v>
      </c>
      <c r="GV28" s="780" t="s">
        <v>362</v>
      </c>
      <c r="GW28" s="779">
        <v>426346</v>
      </c>
      <c r="GX28" s="426">
        <f t="shared" si="52"/>
        <v>426.346</v>
      </c>
      <c r="HB28" s="782" t="s">
        <v>569</v>
      </c>
      <c r="HC28" s="764">
        <v>0</v>
      </c>
      <c r="HD28" s="764">
        <v>0</v>
      </c>
      <c r="HE28" s="764">
        <v>0</v>
      </c>
      <c r="HF28" s="764">
        <v>0</v>
      </c>
      <c r="HG28" s="426">
        <f t="shared" si="53"/>
        <v>0</v>
      </c>
      <c r="HH28" s="426">
        <f t="shared" si="54"/>
        <v>0</v>
      </c>
      <c r="HI28" s="426">
        <f t="shared" si="55"/>
        <v>0</v>
      </c>
      <c r="HJ28" s="426">
        <f t="shared" si="56"/>
        <v>0</v>
      </c>
      <c r="HK28" s="426">
        <f t="shared" si="57"/>
        <v>0</v>
      </c>
    </row>
    <row r="29" spans="1:219" ht="15" customHeight="1" x14ac:dyDescent="0.3">
      <c r="A29" s="287" t="s">
        <v>554</v>
      </c>
      <c r="B29" s="288" t="s">
        <v>363</v>
      </c>
      <c r="C29" s="289">
        <v>709658</v>
      </c>
      <c r="D29" s="290">
        <f t="shared" si="3"/>
        <v>754.36645399999998</v>
      </c>
      <c r="E29" s="289">
        <v>300000</v>
      </c>
      <c r="F29" s="289">
        <f t="shared" si="4"/>
        <v>318.89999999999998</v>
      </c>
      <c r="J29" s="291" t="s">
        <v>554</v>
      </c>
      <c r="K29" s="292" t="s">
        <v>573</v>
      </c>
      <c r="L29" s="293">
        <v>135096518</v>
      </c>
      <c r="M29" s="293">
        <f t="shared" si="5"/>
        <v>143607.59863399999</v>
      </c>
      <c r="Q29" s="291" t="s">
        <v>554</v>
      </c>
      <c r="R29" s="292" t="s">
        <v>363</v>
      </c>
      <c r="S29" s="293">
        <v>709658</v>
      </c>
      <c r="T29" s="293">
        <v>300000</v>
      </c>
      <c r="U29" s="293">
        <f t="shared" si="6"/>
        <v>754.36645399999998</v>
      </c>
      <c r="V29" s="293">
        <f t="shared" si="7"/>
        <v>318.89999999999998</v>
      </c>
      <c r="Z29" s="288" t="s">
        <v>366</v>
      </c>
      <c r="AA29" s="289">
        <v>201579229</v>
      </c>
      <c r="AB29" s="289">
        <f t="shared" si="8"/>
        <v>214278.72042699999</v>
      </c>
      <c r="AF29" s="288" t="s">
        <v>363</v>
      </c>
      <c r="AG29" s="289">
        <v>709658</v>
      </c>
      <c r="AH29" s="289">
        <f t="shared" si="0"/>
        <v>754.36645399999998</v>
      </c>
      <c r="AI29" s="289">
        <v>300000</v>
      </c>
      <c r="AL29" s="426"/>
      <c r="AN29" s="423" t="s">
        <v>554</v>
      </c>
      <c r="AO29" s="424" t="s">
        <v>366</v>
      </c>
      <c r="AP29" s="425">
        <v>196086626</v>
      </c>
      <c r="AQ29" s="425">
        <f t="shared" si="9"/>
        <v>208440.08343799997</v>
      </c>
      <c r="AU29" s="423" t="s">
        <v>554</v>
      </c>
      <c r="AV29" s="424" t="s">
        <v>363</v>
      </c>
      <c r="AW29" s="425">
        <v>709658</v>
      </c>
      <c r="AX29" s="425">
        <v>300000</v>
      </c>
      <c r="AY29" s="425">
        <v>409658</v>
      </c>
      <c r="AZ29" s="426">
        <f t="shared" si="10"/>
        <v>754.36645399999998</v>
      </c>
      <c r="BA29" s="426">
        <f t="shared" si="11"/>
        <v>318.89999999999998</v>
      </c>
      <c r="BB29" s="426">
        <f t="shared" si="12"/>
        <v>435.466454</v>
      </c>
      <c r="BF29" s="423" t="s">
        <v>554</v>
      </c>
      <c r="BG29" s="424" t="s">
        <v>574</v>
      </c>
      <c r="BH29" s="425">
        <v>332147168</v>
      </c>
      <c r="BI29" s="426">
        <f t="shared" si="13"/>
        <v>353072.43958399998</v>
      </c>
      <c r="BM29" s="427" t="s">
        <v>554</v>
      </c>
      <c r="BN29" s="93" t="s">
        <v>363</v>
      </c>
      <c r="BO29" s="94">
        <v>0</v>
      </c>
      <c r="BP29" s="94">
        <v>709658</v>
      </c>
      <c r="BQ29" s="94">
        <v>300000</v>
      </c>
      <c r="BR29" s="94">
        <v>409658</v>
      </c>
      <c r="BS29" s="94">
        <v>300000</v>
      </c>
      <c r="BT29" s="426">
        <f t="shared" si="14"/>
        <v>754.36645399999998</v>
      </c>
      <c r="BU29" s="426">
        <f t="shared" si="15"/>
        <v>318.89999999999998</v>
      </c>
      <c r="BV29" s="426">
        <f t="shared" si="16"/>
        <v>435.466454</v>
      </c>
      <c r="BW29" s="426">
        <f t="shared" si="17"/>
        <v>318.89999999999998</v>
      </c>
      <c r="CA29" s="93" t="s">
        <v>365</v>
      </c>
      <c r="CB29" s="426">
        <v>1274423847</v>
      </c>
      <c r="CC29" s="426">
        <f t="shared" si="18"/>
        <v>1354712.5493610001</v>
      </c>
      <c r="CG29" s="424" t="s">
        <v>481</v>
      </c>
      <c r="CH29" s="425">
        <v>0</v>
      </c>
      <c r="CI29" s="425">
        <v>473796</v>
      </c>
      <c r="CJ29" s="425">
        <v>-473796</v>
      </c>
      <c r="CK29" s="425">
        <v>473796</v>
      </c>
      <c r="CL29" s="425">
        <v>0</v>
      </c>
      <c r="CM29" s="425">
        <v>473796</v>
      </c>
      <c r="CN29" s="425">
        <f t="shared" si="19"/>
        <v>503.64514799999995</v>
      </c>
      <c r="CO29" s="425">
        <f t="shared" si="20"/>
        <v>503.64514799999995</v>
      </c>
      <c r="CP29" s="425">
        <f t="shared" si="21"/>
        <v>0</v>
      </c>
      <c r="CQ29" s="425">
        <f t="shared" si="22"/>
        <v>503.64514799999995</v>
      </c>
      <c r="CU29" s="424" t="s">
        <v>366</v>
      </c>
      <c r="CV29" s="425">
        <v>206515253</v>
      </c>
      <c r="CW29" s="425">
        <v>206515253</v>
      </c>
      <c r="CX29" s="426">
        <f t="shared" si="23"/>
        <v>219525.71393899998</v>
      </c>
      <c r="CY29" s="426">
        <f t="shared" si="24"/>
        <v>219525.71393899998</v>
      </c>
      <c r="DB29" s="568" t="s">
        <v>481</v>
      </c>
      <c r="DC29" s="569">
        <v>473796</v>
      </c>
      <c r="DD29" s="569">
        <v>473796</v>
      </c>
      <c r="DE29" s="569">
        <v>0</v>
      </c>
      <c r="DF29" s="569">
        <v>473796</v>
      </c>
      <c r="DG29" s="570">
        <f t="shared" si="25"/>
        <v>503.64514799999995</v>
      </c>
      <c r="DH29" s="570">
        <f t="shared" si="26"/>
        <v>503.64514799999995</v>
      </c>
      <c r="DI29" s="570">
        <f t="shared" si="27"/>
        <v>0</v>
      </c>
      <c r="DJ29" s="570">
        <f t="shared" si="28"/>
        <v>503.64514799999995</v>
      </c>
      <c r="DN29" s="93" t="s">
        <v>574</v>
      </c>
      <c r="DO29" s="93">
        <v>330734148</v>
      </c>
      <c r="DP29" s="93">
        <v>330734148</v>
      </c>
      <c r="DQ29" s="626">
        <f t="shared" si="29"/>
        <v>351570.39932399994</v>
      </c>
      <c r="DR29" s="626">
        <f t="shared" si="30"/>
        <v>351570.39932399994</v>
      </c>
      <c r="DV29" s="93" t="s">
        <v>481</v>
      </c>
      <c r="DW29" s="94">
        <v>473796</v>
      </c>
      <c r="DX29" s="94">
        <v>473796</v>
      </c>
      <c r="DY29" s="94">
        <v>0</v>
      </c>
      <c r="DZ29" s="94">
        <v>473796</v>
      </c>
      <c r="EA29" s="94">
        <f t="shared" si="58"/>
        <v>503.64514799999995</v>
      </c>
      <c r="EB29" s="94">
        <f t="shared" si="31"/>
        <v>503.64514799999995</v>
      </c>
      <c r="EC29" s="94">
        <f t="shared" si="32"/>
        <v>0</v>
      </c>
      <c r="ED29" s="94">
        <f t="shared" si="33"/>
        <v>503.64514799999995</v>
      </c>
      <c r="EH29" s="420" t="s">
        <v>570</v>
      </c>
      <c r="EI29" s="420">
        <v>10302860</v>
      </c>
      <c r="EJ29" s="426">
        <f t="shared" si="34"/>
        <v>10951.94018</v>
      </c>
      <c r="EN29" s="420" t="s">
        <v>481</v>
      </c>
      <c r="EO29" s="426">
        <v>473796</v>
      </c>
      <c r="EP29" s="426">
        <v>473796</v>
      </c>
      <c r="EQ29" s="426">
        <v>0</v>
      </c>
      <c r="ER29" s="426">
        <v>473796</v>
      </c>
      <c r="ES29" s="700">
        <f t="shared" si="35"/>
        <v>503.64514799999995</v>
      </c>
      <c r="ET29" s="700">
        <f t="shared" si="36"/>
        <v>503.64514799999995</v>
      </c>
      <c r="EU29" s="700">
        <f t="shared" si="37"/>
        <v>0</v>
      </c>
      <c r="EV29" s="700">
        <f t="shared" si="38"/>
        <v>503.64514799999995</v>
      </c>
      <c r="EZ29" s="730" t="s">
        <v>554</v>
      </c>
      <c r="FA29" s="731" t="s">
        <v>570</v>
      </c>
      <c r="FB29" s="420">
        <v>9152235</v>
      </c>
      <c r="FC29" s="426">
        <f t="shared" si="39"/>
        <v>9152.2350000000006</v>
      </c>
      <c r="FG29" s="735" t="s">
        <v>554</v>
      </c>
      <c r="FH29" s="734" t="s">
        <v>481</v>
      </c>
      <c r="FI29" s="732">
        <v>473796</v>
      </c>
      <c r="FJ29" s="733">
        <v>473796</v>
      </c>
      <c r="FK29" s="733">
        <v>0</v>
      </c>
      <c r="FL29" s="733">
        <v>473796</v>
      </c>
      <c r="FM29" s="426">
        <f t="shared" si="40"/>
        <v>473.79599999999999</v>
      </c>
      <c r="FN29" s="426">
        <f t="shared" si="41"/>
        <v>473.79599999999999</v>
      </c>
      <c r="FO29" s="426">
        <f t="shared" si="42"/>
        <v>0</v>
      </c>
      <c r="FP29" s="426">
        <f t="shared" si="43"/>
        <v>473.79599999999999</v>
      </c>
      <c r="FT29" s="427" t="s">
        <v>554</v>
      </c>
      <c r="FU29" s="93" t="s">
        <v>366</v>
      </c>
      <c r="FV29" s="94">
        <v>-264827910</v>
      </c>
      <c r="FW29" s="94">
        <v>209554280</v>
      </c>
      <c r="FX29" s="94">
        <v>209554280</v>
      </c>
      <c r="FY29" s="426">
        <f t="shared" si="44"/>
        <v>-264827.90999999997</v>
      </c>
      <c r="FZ29" s="426">
        <f t="shared" si="45"/>
        <v>209554.28</v>
      </c>
      <c r="GA29" s="426">
        <f t="shared" si="46"/>
        <v>209554.28</v>
      </c>
      <c r="GG29" s="762" t="s">
        <v>554</v>
      </c>
      <c r="GH29" s="763" t="s">
        <v>481</v>
      </c>
      <c r="GI29" s="764">
        <v>473796</v>
      </c>
      <c r="GJ29" s="764">
        <v>473796</v>
      </c>
      <c r="GK29" s="764">
        <v>0</v>
      </c>
      <c r="GL29" s="764">
        <v>473796</v>
      </c>
      <c r="GM29" s="764">
        <v>0</v>
      </c>
      <c r="GN29" s="426">
        <f t="shared" si="47"/>
        <v>473.79599999999999</v>
      </c>
      <c r="GO29" s="426">
        <f t="shared" si="48"/>
        <v>473.79599999999999</v>
      </c>
      <c r="GP29" s="426">
        <f t="shared" si="49"/>
        <v>0</v>
      </c>
      <c r="GQ29" s="426">
        <f t="shared" si="50"/>
        <v>473.79599999999999</v>
      </c>
      <c r="GR29" s="426">
        <f t="shared" si="51"/>
        <v>0</v>
      </c>
      <c r="GV29" s="780" t="s">
        <v>363</v>
      </c>
      <c r="GW29" s="779">
        <v>1885000</v>
      </c>
      <c r="GX29" s="426">
        <f t="shared" si="52"/>
        <v>1885</v>
      </c>
      <c r="HB29" s="782" t="s">
        <v>361</v>
      </c>
      <c r="HC29" s="764">
        <v>3881237</v>
      </c>
      <c r="HD29" s="764">
        <v>3279068</v>
      </c>
      <c r="HE29" s="764">
        <v>602169</v>
      </c>
      <c r="HF29" s="764">
        <v>3279068</v>
      </c>
      <c r="HG29" s="426">
        <f t="shared" si="53"/>
        <v>3881.2370000000001</v>
      </c>
      <c r="HH29" s="426">
        <f t="shared" si="54"/>
        <v>602.16899999999998</v>
      </c>
      <c r="HI29" s="426">
        <f t="shared" si="55"/>
        <v>3279.0680000000002</v>
      </c>
      <c r="HJ29" s="426">
        <f t="shared" si="56"/>
        <v>602.16899999999998</v>
      </c>
      <c r="HK29" s="426">
        <f t="shared" si="57"/>
        <v>3279.0680000000002</v>
      </c>
    </row>
    <row r="30" spans="1:219" ht="15" customHeight="1" x14ac:dyDescent="0.3">
      <c r="A30" s="287" t="s">
        <v>355</v>
      </c>
      <c r="B30" s="288" t="s">
        <v>364</v>
      </c>
      <c r="C30" s="289">
        <v>13348357211</v>
      </c>
      <c r="D30" s="290">
        <f t="shared" si="3"/>
        <v>14189303.715292998</v>
      </c>
      <c r="E30" s="289">
        <v>916804273</v>
      </c>
      <c r="F30" s="289">
        <f t="shared" si="4"/>
        <v>974562.94219900004</v>
      </c>
      <c r="J30" s="291" t="s">
        <v>554</v>
      </c>
      <c r="K30" s="292" t="s">
        <v>574</v>
      </c>
      <c r="L30" s="293">
        <v>320776547</v>
      </c>
      <c r="M30" s="293">
        <f t="shared" si="5"/>
        <v>340985.469461</v>
      </c>
      <c r="Q30" s="291" t="s">
        <v>355</v>
      </c>
      <c r="R30" s="292" t="s">
        <v>364</v>
      </c>
      <c r="S30" s="293">
        <v>13348357211</v>
      </c>
      <c r="T30" s="293">
        <v>1813385153</v>
      </c>
      <c r="U30" s="293">
        <f t="shared" si="6"/>
        <v>14189303.715292998</v>
      </c>
      <c r="V30" s="293">
        <f t="shared" si="7"/>
        <v>1927628.4176389999</v>
      </c>
      <c r="Z30" s="288" t="s">
        <v>570</v>
      </c>
      <c r="AA30" s="289">
        <v>8769833</v>
      </c>
      <c r="AB30" s="289">
        <f t="shared" si="8"/>
        <v>9322.3324790000006</v>
      </c>
      <c r="AF30" s="288" t="s">
        <v>364</v>
      </c>
      <c r="AG30" s="289">
        <v>13350157211</v>
      </c>
      <c r="AH30" s="289">
        <f t="shared" si="0"/>
        <v>14191217.115292998</v>
      </c>
      <c r="AI30" s="289">
        <v>3386921541</v>
      </c>
      <c r="AL30" s="426"/>
      <c r="AN30" s="423" t="s">
        <v>554</v>
      </c>
      <c r="AO30" s="424" t="s">
        <v>570</v>
      </c>
      <c r="AP30" s="425">
        <v>8703197</v>
      </c>
      <c r="AQ30" s="425">
        <f t="shared" si="9"/>
        <v>9251.4984110000005</v>
      </c>
      <c r="AU30" s="423" t="s">
        <v>355</v>
      </c>
      <c r="AV30" s="424" t="s">
        <v>364</v>
      </c>
      <c r="AW30" s="425">
        <v>13343697211</v>
      </c>
      <c r="AX30" s="425">
        <v>4256435047</v>
      </c>
      <c r="AY30" s="425">
        <v>9087262164</v>
      </c>
      <c r="AZ30" s="426">
        <f t="shared" si="10"/>
        <v>14184350.135292998</v>
      </c>
      <c r="BA30" s="426">
        <f t="shared" si="11"/>
        <v>4524590.454961</v>
      </c>
      <c r="BB30" s="426">
        <f t="shared" si="12"/>
        <v>9659759.6803319994</v>
      </c>
      <c r="BF30" s="423" t="s">
        <v>554</v>
      </c>
      <c r="BG30" s="424" t="s">
        <v>575</v>
      </c>
      <c r="BH30" s="425">
        <v>1090074</v>
      </c>
      <c r="BI30" s="426">
        <f t="shared" si="13"/>
        <v>1158.748662</v>
      </c>
      <c r="BM30" s="427" t="s">
        <v>355</v>
      </c>
      <c r="BN30" s="93" t="s">
        <v>364</v>
      </c>
      <c r="BO30" s="94">
        <v>0</v>
      </c>
      <c r="BP30" s="94">
        <v>13342835211</v>
      </c>
      <c r="BQ30" s="94">
        <v>5190671739</v>
      </c>
      <c r="BR30" s="94">
        <v>8152163472</v>
      </c>
      <c r="BS30" s="94">
        <v>5190671739</v>
      </c>
      <c r="BT30" s="426">
        <f t="shared" si="14"/>
        <v>14183433.829292998</v>
      </c>
      <c r="BU30" s="426">
        <f t="shared" si="15"/>
        <v>5517684.058557</v>
      </c>
      <c r="BV30" s="426">
        <f t="shared" si="16"/>
        <v>8665749.7707359996</v>
      </c>
      <c r="BW30" s="426">
        <f t="shared" si="17"/>
        <v>5517684.058557</v>
      </c>
      <c r="CA30" s="93" t="s">
        <v>366</v>
      </c>
      <c r="CB30" s="426">
        <v>215359416</v>
      </c>
      <c r="CC30" s="426">
        <f t="shared" si="18"/>
        <v>228927.05920799999</v>
      </c>
      <c r="CG30" s="424" t="s">
        <v>363</v>
      </c>
      <c r="CH30" s="425">
        <v>0</v>
      </c>
      <c r="CI30" s="425">
        <v>709658</v>
      </c>
      <c r="CJ30" s="425">
        <v>-709658</v>
      </c>
      <c r="CK30" s="425">
        <v>300000</v>
      </c>
      <c r="CL30" s="425">
        <v>409658</v>
      </c>
      <c r="CM30" s="425">
        <v>300000</v>
      </c>
      <c r="CN30" s="425">
        <f t="shared" si="19"/>
        <v>754.36645399999998</v>
      </c>
      <c r="CO30" s="425">
        <f t="shared" si="20"/>
        <v>318.89999999999998</v>
      </c>
      <c r="CP30" s="425">
        <f t="shared" si="21"/>
        <v>435.466454</v>
      </c>
      <c r="CQ30" s="425">
        <f t="shared" si="22"/>
        <v>318.89999999999998</v>
      </c>
      <c r="CU30" s="424" t="s">
        <v>570</v>
      </c>
      <c r="CV30" s="425">
        <v>9094411</v>
      </c>
      <c r="CW30" s="425">
        <v>9094411</v>
      </c>
      <c r="CX30" s="426">
        <f t="shared" si="23"/>
        <v>9667.3588929999987</v>
      </c>
      <c r="CY30" s="426">
        <f t="shared" si="24"/>
        <v>9667.3588929999987</v>
      </c>
      <c r="DB30" s="568" t="s">
        <v>363</v>
      </c>
      <c r="DC30" s="569">
        <v>709658</v>
      </c>
      <c r="DD30" s="569">
        <v>300000</v>
      </c>
      <c r="DE30" s="569">
        <v>409658</v>
      </c>
      <c r="DF30" s="569">
        <v>300000</v>
      </c>
      <c r="DG30" s="570">
        <f t="shared" si="25"/>
        <v>754.36645399999998</v>
      </c>
      <c r="DH30" s="570">
        <f t="shared" si="26"/>
        <v>318.89999999999998</v>
      </c>
      <c r="DI30" s="570">
        <f t="shared" si="27"/>
        <v>435.466454</v>
      </c>
      <c r="DJ30" s="570">
        <f t="shared" si="28"/>
        <v>318.89999999999998</v>
      </c>
      <c r="DN30" s="93" t="s">
        <v>575</v>
      </c>
      <c r="DO30" s="93">
        <v>120502</v>
      </c>
      <c r="DP30" s="93">
        <v>120502</v>
      </c>
      <c r="DQ30" s="626">
        <f t="shared" si="29"/>
        <v>128.093626</v>
      </c>
      <c r="DR30" s="626">
        <f t="shared" si="30"/>
        <v>128.093626</v>
      </c>
      <c r="DV30" s="93" t="s">
        <v>363</v>
      </c>
      <c r="DW30" s="94">
        <v>709658</v>
      </c>
      <c r="DX30" s="94">
        <v>300000</v>
      </c>
      <c r="DY30" s="94">
        <v>409658</v>
      </c>
      <c r="DZ30" s="94">
        <v>300000</v>
      </c>
      <c r="EA30" s="94">
        <f t="shared" si="58"/>
        <v>754.36645399999998</v>
      </c>
      <c r="EB30" s="94">
        <f t="shared" si="31"/>
        <v>318.89999999999998</v>
      </c>
      <c r="EC30" s="94">
        <f t="shared" si="32"/>
        <v>435.466454</v>
      </c>
      <c r="ED30" s="94">
        <f t="shared" si="33"/>
        <v>318.89999999999998</v>
      </c>
      <c r="EH30" s="420" t="s">
        <v>367</v>
      </c>
      <c r="EI30" s="420">
        <v>145675904</v>
      </c>
      <c r="EJ30" s="426">
        <f t="shared" si="34"/>
        <v>154853.48595199999</v>
      </c>
      <c r="EN30" s="420" t="s">
        <v>363</v>
      </c>
      <c r="EO30" s="426">
        <v>709658</v>
      </c>
      <c r="EP30" s="426">
        <v>300000</v>
      </c>
      <c r="EQ30" s="426">
        <v>409658</v>
      </c>
      <c r="ER30" s="426">
        <v>300000</v>
      </c>
      <c r="ES30" s="700">
        <f t="shared" si="35"/>
        <v>754.36645399999998</v>
      </c>
      <c r="ET30" s="700">
        <f t="shared" si="36"/>
        <v>318.89999999999998</v>
      </c>
      <c r="EU30" s="700">
        <f t="shared" si="37"/>
        <v>435.466454</v>
      </c>
      <c r="EV30" s="700">
        <f t="shared" si="38"/>
        <v>318.89999999999998</v>
      </c>
      <c r="EZ30" s="730" t="s">
        <v>554</v>
      </c>
      <c r="FA30" s="731" t="s">
        <v>367</v>
      </c>
      <c r="FB30" s="420">
        <v>146439213</v>
      </c>
      <c r="FC30" s="426">
        <f t="shared" si="39"/>
        <v>146439.21299999999</v>
      </c>
      <c r="FG30" s="735" t="s">
        <v>554</v>
      </c>
      <c r="FH30" s="734" t="s">
        <v>363</v>
      </c>
      <c r="FI30" s="732">
        <v>709658</v>
      </c>
      <c r="FJ30" s="733">
        <v>300000</v>
      </c>
      <c r="FK30" s="733">
        <v>409658</v>
      </c>
      <c r="FL30" s="733">
        <v>300000</v>
      </c>
      <c r="FM30" s="426">
        <f t="shared" si="40"/>
        <v>709.65800000000002</v>
      </c>
      <c r="FN30" s="426">
        <f t="shared" si="41"/>
        <v>300</v>
      </c>
      <c r="FO30" s="426">
        <f t="shared" si="42"/>
        <v>409.65800000000002</v>
      </c>
      <c r="FP30" s="426">
        <f t="shared" si="43"/>
        <v>300</v>
      </c>
      <c r="FT30" s="427" t="s">
        <v>554</v>
      </c>
      <c r="FU30" s="93" t="s">
        <v>570</v>
      </c>
      <c r="FV30" s="94">
        <v>13983640</v>
      </c>
      <c r="FW30" s="94">
        <v>9247314</v>
      </c>
      <c r="FX30" s="94">
        <v>9247314</v>
      </c>
      <c r="FY30" s="426">
        <f t="shared" si="44"/>
        <v>13983.64</v>
      </c>
      <c r="FZ30" s="426">
        <f t="shared" si="45"/>
        <v>9247.3140000000003</v>
      </c>
      <c r="GA30" s="426">
        <f t="shared" si="46"/>
        <v>9247.3140000000003</v>
      </c>
      <c r="GG30" s="762" t="s">
        <v>554</v>
      </c>
      <c r="GH30" s="763" t="s">
        <v>363</v>
      </c>
      <c r="GI30" s="764">
        <v>709658</v>
      </c>
      <c r="GJ30" s="764">
        <v>300000</v>
      </c>
      <c r="GK30" s="764">
        <v>409658</v>
      </c>
      <c r="GL30" s="764">
        <v>300000</v>
      </c>
      <c r="GM30" s="764">
        <v>0</v>
      </c>
      <c r="GN30" s="426">
        <f t="shared" si="47"/>
        <v>709.65800000000002</v>
      </c>
      <c r="GO30" s="426">
        <f t="shared" si="48"/>
        <v>300</v>
      </c>
      <c r="GP30" s="426">
        <f t="shared" si="49"/>
        <v>409.65800000000002</v>
      </c>
      <c r="GQ30" s="426">
        <f t="shared" si="50"/>
        <v>300</v>
      </c>
      <c r="GR30" s="426">
        <f t="shared" si="51"/>
        <v>0</v>
      </c>
      <c r="GV30" s="780" t="s">
        <v>364</v>
      </c>
      <c r="GW30" s="779">
        <v>1873565451</v>
      </c>
      <c r="GX30" s="426">
        <f t="shared" si="52"/>
        <v>1873565.4509999999</v>
      </c>
      <c r="HB30" s="782" t="s">
        <v>362</v>
      </c>
      <c r="HC30" s="764">
        <v>697783</v>
      </c>
      <c r="HD30" s="764">
        <v>620272</v>
      </c>
      <c r="HE30" s="764">
        <v>77511</v>
      </c>
      <c r="HF30" s="764">
        <v>620272</v>
      </c>
      <c r="HG30" s="426">
        <f t="shared" si="53"/>
        <v>697.78300000000002</v>
      </c>
      <c r="HH30" s="426">
        <f t="shared" si="54"/>
        <v>77.510999999999996</v>
      </c>
      <c r="HI30" s="426">
        <f t="shared" si="55"/>
        <v>620.27200000000005</v>
      </c>
      <c r="HJ30" s="426">
        <f t="shared" si="56"/>
        <v>77.510999999999996</v>
      </c>
      <c r="HK30" s="426">
        <f t="shared" si="57"/>
        <v>620.27200000000005</v>
      </c>
    </row>
    <row r="31" spans="1:219" ht="15" customHeight="1" x14ac:dyDescent="0.3">
      <c r="A31" s="287" t="s">
        <v>553</v>
      </c>
      <c r="B31" s="288" t="s">
        <v>365</v>
      </c>
      <c r="C31" s="289">
        <v>11317846362</v>
      </c>
      <c r="D31" s="290">
        <f t="shared" si="3"/>
        <v>12030870.682805998</v>
      </c>
      <c r="E31" s="289">
        <v>841548675</v>
      </c>
      <c r="F31" s="289">
        <f t="shared" si="4"/>
        <v>894566.24152499996</v>
      </c>
      <c r="J31" s="291" t="s">
        <v>554</v>
      </c>
      <c r="K31" s="292" t="s">
        <v>575</v>
      </c>
      <c r="L31" s="293">
        <v>0</v>
      </c>
      <c r="M31" s="293">
        <f t="shared" si="5"/>
        <v>0</v>
      </c>
      <c r="Q31" s="291" t="s">
        <v>553</v>
      </c>
      <c r="R31" s="292" t="s">
        <v>365</v>
      </c>
      <c r="S31" s="293">
        <v>11317846362</v>
      </c>
      <c r="T31" s="293">
        <v>1681565870</v>
      </c>
      <c r="U31" s="293">
        <f t="shared" si="6"/>
        <v>12030870.682805998</v>
      </c>
      <c r="V31" s="293">
        <f t="shared" si="7"/>
        <v>1787504.51981</v>
      </c>
      <c r="Z31" s="288" t="s">
        <v>367</v>
      </c>
      <c r="AA31" s="289">
        <v>137227530</v>
      </c>
      <c r="AB31" s="289">
        <f t="shared" si="8"/>
        <v>145872.86439</v>
      </c>
      <c r="AF31" s="288" t="s">
        <v>365</v>
      </c>
      <c r="AG31" s="289">
        <v>11317846362</v>
      </c>
      <c r="AH31" s="289">
        <f t="shared" si="0"/>
        <v>12030870.682805998</v>
      </c>
      <c r="AI31" s="289">
        <v>2883091205</v>
      </c>
      <c r="AL31" s="426"/>
      <c r="AN31" s="423" t="s">
        <v>554</v>
      </c>
      <c r="AO31" s="424" t="s">
        <v>367</v>
      </c>
      <c r="AP31" s="425">
        <v>133526248</v>
      </c>
      <c r="AQ31" s="425">
        <f t="shared" si="9"/>
        <v>141938.40162399999</v>
      </c>
      <c r="AU31" s="423" t="s">
        <v>553</v>
      </c>
      <c r="AV31" s="424" t="s">
        <v>365</v>
      </c>
      <c r="AW31" s="425">
        <v>11313486362</v>
      </c>
      <c r="AX31" s="425">
        <v>3686286331</v>
      </c>
      <c r="AY31" s="425">
        <v>7627200031</v>
      </c>
      <c r="AZ31" s="426">
        <f t="shared" si="10"/>
        <v>12026236.002805999</v>
      </c>
      <c r="BA31" s="426">
        <f t="shared" si="11"/>
        <v>3918522.3698529997</v>
      </c>
      <c r="BB31" s="426">
        <f t="shared" si="12"/>
        <v>8107713.6329530003</v>
      </c>
      <c r="BF31" s="423" t="s">
        <v>553</v>
      </c>
      <c r="BG31" s="424" t="s">
        <v>369</v>
      </c>
      <c r="BH31" s="425">
        <v>38126444</v>
      </c>
      <c r="BI31" s="426">
        <f t="shared" si="13"/>
        <v>40528.409972000001</v>
      </c>
      <c r="BM31" s="427" t="s">
        <v>553</v>
      </c>
      <c r="BN31" s="93" t="s">
        <v>365</v>
      </c>
      <c r="BO31" s="94">
        <v>0</v>
      </c>
      <c r="BP31" s="94">
        <v>11313486362</v>
      </c>
      <c r="BQ31" s="94">
        <v>4550864327</v>
      </c>
      <c r="BR31" s="94">
        <v>6762622035</v>
      </c>
      <c r="BS31" s="94">
        <v>4550864327</v>
      </c>
      <c r="BT31" s="426">
        <f t="shared" si="14"/>
        <v>12026236.002805999</v>
      </c>
      <c r="BU31" s="426">
        <f t="shared" si="15"/>
        <v>4837568.7796009993</v>
      </c>
      <c r="BV31" s="426">
        <f t="shared" si="16"/>
        <v>7188667.2232050002</v>
      </c>
      <c r="BW31" s="426">
        <f t="shared" si="17"/>
        <v>4837568.7796009993</v>
      </c>
      <c r="CA31" s="93" t="s">
        <v>570</v>
      </c>
      <c r="CB31" s="426">
        <v>9217708</v>
      </c>
      <c r="CC31" s="426">
        <f t="shared" si="18"/>
        <v>9798.4236039999996</v>
      </c>
      <c r="CG31" s="424" t="s">
        <v>364</v>
      </c>
      <c r="CH31" s="425">
        <v>0</v>
      </c>
      <c r="CI31" s="425">
        <v>13342449848</v>
      </c>
      <c r="CJ31" s="425">
        <v>-13342449848</v>
      </c>
      <c r="CK31" s="425">
        <v>6846976049</v>
      </c>
      <c r="CL31" s="425">
        <v>6495473799</v>
      </c>
      <c r="CM31" s="425">
        <v>6846976049</v>
      </c>
      <c r="CN31" s="425">
        <f t="shared" si="19"/>
        <v>14183024.188423999</v>
      </c>
      <c r="CO31" s="425">
        <f t="shared" si="20"/>
        <v>7278335.5400869995</v>
      </c>
      <c r="CP31" s="425">
        <f t="shared" si="21"/>
        <v>6904688.6483369991</v>
      </c>
      <c r="CQ31" s="425">
        <f t="shared" si="22"/>
        <v>7278335.5400869995</v>
      </c>
      <c r="CU31" s="424" t="s">
        <v>367</v>
      </c>
      <c r="CV31" s="425">
        <v>143036341</v>
      </c>
      <c r="CW31" s="425">
        <v>143036341</v>
      </c>
      <c r="CX31" s="426">
        <f t="shared" si="23"/>
        <v>152047.63048299999</v>
      </c>
      <c r="CY31" s="426">
        <f t="shared" si="24"/>
        <v>152047.63048299999</v>
      </c>
      <c r="DB31" s="568" t="s">
        <v>364</v>
      </c>
      <c r="DC31" s="569">
        <v>13341999848</v>
      </c>
      <c r="DD31" s="569">
        <v>7774951125</v>
      </c>
      <c r="DE31" s="569">
        <v>5567048723</v>
      </c>
      <c r="DF31" s="569">
        <v>7774951125</v>
      </c>
      <c r="DG31" s="570">
        <f t="shared" si="25"/>
        <v>14182545.838423999</v>
      </c>
      <c r="DH31" s="570">
        <f t="shared" si="26"/>
        <v>8264773.0458749998</v>
      </c>
      <c r="DI31" s="570">
        <f t="shared" si="27"/>
        <v>5917772.7925490001</v>
      </c>
      <c r="DJ31" s="570">
        <f t="shared" si="28"/>
        <v>8264773.0458749998</v>
      </c>
      <c r="DN31" s="93" t="s">
        <v>576</v>
      </c>
      <c r="DO31" s="93">
        <v>0</v>
      </c>
      <c r="DP31" s="93">
        <v>0</v>
      </c>
      <c r="DQ31" s="626">
        <f t="shared" si="29"/>
        <v>0</v>
      </c>
      <c r="DR31" s="626">
        <f t="shared" si="30"/>
        <v>0</v>
      </c>
      <c r="DV31" s="93" t="s">
        <v>364</v>
      </c>
      <c r="DW31" s="94">
        <v>13339663848</v>
      </c>
      <c r="DX31" s="94">
        <v>8709951756</v>
      </c>
      <c r="DY31" s="94">
        <v>4629712092</v>
      </c>
      <c r="DZ31" s="94">
        <v>8709951756</v>
      </c>
      <c r="EA31" s="94">
        <f t="shared" si="58"/>
        <v>14180062.670423999</v>
      </c>
      <c r="EB31" s="94">
        <f t="shared" si="31"/>
        <v>9258678.7166279983</v>
      </c>
      <c r="EC31" s="94">
        <f t="shared" si="32"/>
        <v>4921383.9537960002</v>
      </c>
      <c r="ED31" s="94">
        <f t="shared" si="33"/>
        <v>9258678.7166279983</v>
      </c>
      <c r="EH31" s="420" t="s">
        <v>368</v>
      </c>
      <c r="EI31" s="420">
        <v>20418038</v>
      </c>
      <c r="EJ31" s="426">
        <f t="shared" si="34"/>
        <v>21704.374393999999</v>
      </c>
      <c r="EN31" s="420" t="s">
        <v>364</v>
      </c>
      <c r="EO31" s="426">
        <v>13339163848</v>
      </c>
      <c r="EP31" s="426">
        <v>10367023440</v>
      </c>
      <c r="EQ31" s="426">
        <v>2972140408</v>
      </c>
      <c r="ER31" s="426">
        <v>10367023440</v>
      </c>
      <c r="ES31" s="700">
        <f t="shared" si="35"/>
        <v>14179531.170423999</v>
      </c>
      <c r="ET31" s="700">
        <f t="shared" si="36"/>
        <v>11020145.916719999</v>
      </c>
      <c r="EU31" s="700">
        <f t="shared" si="37"/>
        <v>3159385.2537039998</v>
      </c>
      <c r="EV31" s="700">
        <f t="shared" si="38"/>
        <v>11020145.916719999</v>
      </c>
      <c r="EZ31" s="730" t="s">
        <v>554</v>
      </c>
      <c r="FA31" s="731" t="s">
        <v>368</v>
      </c>
      <c r="FB31" s="420">
        <v>20418038</v>
      </c>
      <c r="FC31" s="426">
        <f t="shared" si="39"/>
        <v>20418.038</v>
      </c>
      <c r="FG31" s="735" t="s">
        <v>355</v>
      </c>
      <c r="FH31" s="734" t="s">
        <v>364</v>
      </c>
      <c r="FI31" s="732">
        <v>14082063848</v>
      </c>
      <c r="FJ31" s="733">
        <v>11301372006</v>
      </c>
      <c r="FK31" s="733">
        <v>2780691842</v>
      </c>
      <c r="FL31" s="733">
        <v>11301372006</v>
      </c>
      <c r="FM31" s="426">
        <f t="shared" si="40"/>
        <v>14082063.847999999</v>
      </c>
      <c r="FN31" s="426">
        <f t="shared" si="41"/>
        <v>11301372.005999999</v>
      </c>
      <c r="FO31" s="426">
        <f t="shared" si="42"/>
        <v>2780691.8420000002</v>
      </c>
      <c r="FP31" s="426">
        <f t="shared" si="43"/>
        <v>11301372.005999999</v>
      </c>
      <c r="FT31" s="427" t="s">
        <v>554</v>
      </c>
      <c r="FU31" s="93" t="s">
        <v>367</v>
      </c>
      <c r="FV31" s="94">
        <v>155715200</v>
      </c>
      <c r="FW31" s="94">
        <v>146167248</v>
      </c>
      <c r="FX31" s="94">
        <v>146167248</v>
      </c>
      <c r="FY31" s="426">
        <f t="shared" si="44"/>
        <v>155715.20000000001</v>
      </c>
      <c r="FZ31" s="426">
        <f t="shared" si="45"/>
        <v>146167.24799999999</v>
      </c>
      <c r="GA31" s="426">
        <f t="shared" si="46"/>
        <v>146167.24799999999</v>
      </c>
      <c r="GG31" s="762" t="s">
        <v>355</v>
      </c>
      <c r="GH31" s="763" t="s">
        <v>364</v>
      </c>
      <c r="GI31" s="764">
        <v>14377361848</v>
      </c>
      <c r="GJ31" s="764">
        <v>12250714011</v>
      </c>
      <c r="GK31" s="764">
        <v>2126647837</v>
      </c>
      <c r="GL31" s="764">
        <v>12250714011</v>
      </c>
      <c r="GM31" s="764">
        <v>0</v>
      </c>
      <c r="GN31" s="426">
        <f t="shared" si="47"/>
        <v>14377361.847999999</v>
      </c>
      <c r="GO31" s="426">
        <f t="shared" si="48"/>
        <v>12250714.011</v>
      </c>
      <c r="GP31" s="426">
        <f t="shared" si="49"/>
        <v>2126647.8369999998</v>
      </c>
      <c r="GQ31" s="426">
        <f t="shared" si="50"/>
        <v>12250714.011</v>
      </c>
      <c r="GR31" s="426">
        <f t="shared" si="51"/>
        <v>0</v>
      </c>
      <c r="GV31" s="780" t="s">
        <v>365</v>
      </c>
      <c r="GW31" s="779">
        <v>1388275041</v>
      </c>
      <c r="GX31" s="426">
        <f t="shared" si="52"/>
        <v>1388275.041</v>
      </c>
      <c r="HB31" s="782" t="s">
        <v>481</v>
      </c>
      <c r="HC31" s="764">
        <v>473796</v>
      </c>
      <c r="HD31" s="764">
        <v>473796</v>
      </c>
      <c r="HE31" s="764">
        <v>0</v>
      </c>
      <c r="HF31" s="764">
        <v>473796</v>
      </c>
      <c r="HG31" s="426">
        <f t="shared" si="53"/>
        <v>473.79599999999999</v>
      </c>
      <c r="HH31" s="426">
        <f t="shared" si="54"/>
        <v>0</v>
      </c>
      <c r="HI31" s="426">
        <f t="shared" si="55"/>
        <v>473.79599999999999</v>
      </c>
      <c r="HJ31" s="426">
        <f t="shared" si="56"/>
        <v>0</v>
      </c>
      <c r="HK31" s="426">
        <f t="shared" si="57"/>
        <v>473.79599999999999</v>
      </c>
    </row>
    <row r="32" spans="1:219" ht="15" customHeight="1" x14ac:dyDescent="0.3">
      <c r="A32" s="287" t="s">
        <v>554</v>
      </c>
      <c r="B32" s="288" t="s">
        <v>366</v>
      </c>
      <c r="C32" s="289">
        <v>2731415521</v>
      </c>
      <c r="D32" s="290">
        <f t="shared" si="3"/>
        <v>2903494.6988229998</v>
      </c>
      <c r="E32" s="289">
        <v>203625674</v>
      </c>
      <c r="F32" s="289">
        <f t="shared" si="4"/>
        <v>216454.09146199998</v>
      </c>
      <c r="J32" s="291" t="s">
        <v>554</v>
      </c>
      <c r="K32" s="292" t="s">
        <v>577</v>
      </c>
      <c r="L32" s="293">
        <v>7034698</v>
      </c>
      <c r="M32" s="293">
        <f t="shared" si="5"/>
        <v>7477.8839740000003</v>
      </c>
      <c r="Q32" s="291" t="s">
        <v>554</v>
      </c>
      <c r="R32" s="292" t="s">
        <v>366</v>
      </c>
      <c r="S32" s="293">
        <v>2731415521</v>
      </c>
      <c r="T32" s="293">
        <v>406735009</v>
      </c>
      <c r="U32" s="293">
        <f t="shared" si="6"/>
        <v>2903494.6988229998</v>
      </c>
      <c r="V32" s="293">
        <f t="shared" si="7"/>
        <v>432359.31456700002</v>
      </c>
      <c r="Z32" s="288" t="s">
        <v>368</v>
      </c>
      <c r="AA32" s="289">
        <v>19458718</v>
      </c>
      <c r="AB32" s="289">
        <f t="shared" si="8"/>
        <v>20684.617234000001</v>
      </c>
      <c r="AF32" s="288" t="s">
        <v>366</v>
      </c>
      <c r="AG32" s="289">
        <v>2731415356</v>
      </c>
      <c r="AH32" s="289">
        <f t="shared" si="0"/>
        <v>2903494.523428</v>
      </c>
      <c r="AI32" s="289">
        <v>608314238</v>
      </c>
      <c r="AL32" s="426"/>
      <c r="AN32" s="423" t="s">
        <v>554</v>
      </c>
      <c r="AO32" s="424" t="s">
        <v>368</v>
      </c>
      <c r="AP32" s="425">
        <v>16984864</v>
      </c>
      <c r="AQ32" s="425">
        <f t="shared" si="9"/>
        <v>18054.910432000001</v>
      </c>
      <c r="AU32" s="423" t="s">
        <v>554</v>
      </c>
      <c r="AV32" s="424" t="s">
        <v>366</v>
      </c>
      <c r="AW32" s="425">
        <v>2727055356</v>
      </c>
      <c r="AX32" s="425">
        <v>804400864</v>
      </c>
      <c r="AY32" s="425">
        <v>1922654492</v>
      </c>
      <c r="AZ32" s="426">
        <f t="shared" si="10"/>
        <v>2898859.8434279999</v>
      </c>
      <c r="BA32" s="426">
        <f t="shared" si="11"/>
        <v>855078.11843199993</v>
      </c>
      <c r="BB32" s="426">
        <f t="shared" si="12"/>
        <v>2043781.7249960001</v>
      </c>
      <c r="BF32" s="423" t="s">
        <v>554</v>
      </c>
      <c r="BG32" s="424" t="s">
        <v>578</v>
      </c>
      <c r="BH32" s="425">
        <v>3404700</v>
      </c>
      <c r="BI32" s="426">
        <f t="shared" si="13"/>
        <v>3619.1960999999997</v>
      </c>
      <c r="BM32" s="427" t="s">
        <v>554</v>
      </c>
      <c r="BN32" s="93" t="s">
        <v>366</v>
      </c>
      <c r="BO32" s="94">
        <v>0</v>
      </c>
      <c r="BP32" s="94">
        <v>2727055356</v>
      </c>
      <c r="BQ32" s="94">
        <v>1013605812</v>
      </c>
      <c r="BR32" s="94">
        <v>1713449544</v>
      </c>
      <c r="BS32" s="94">
        <v>1013605812</v>
      </c>
      <c r="BT32" s="426">
        <f t="shared" si="14"/>
        <v>2898859.8434279999</v>
      </c>
      <c r="BU32" s="426">
        <f t="shared" si="15"/>
        <v>1077462.9781559999</v>
      </c>
      <c r="BV32" s="426">
        <f t="shared" si="16"/>
        <v>1821396.865272</v>
      </c>
      <c r="BW32" s="426">
        <f t="shared" si="17"/>
        <v>1077462.9781559999</v>
      </c>
      <c r="CA32" s="93" t="s">
        <v>367</v>
      </c>
      <c r="CB32" s="426">
        <v>150034577</v>
      </c>
      <c r="CC32" s="426">
        <f t="shared" si="18"/>
        <v>159486.75535099997</v>
      </c>
      <c r="CG32" s="424" t="s">
        <v>365</v>
      </c>
      <c r="CH32" s="425">
        <v>0</v>
      </c>
      <c r="CI32" s="425">
        <v>11312731987</v>
      </c>
      <c r="CJ32" s="425">
        <v>-11312731987</v>
      </c>
      <c r="CK32" s="425">
        <v>5825288174</v>
      </c>
      <c r="CL32" s="425">
        <v>5487443813</v>
      </c>
      <c r="CM32" s="425">
        <v>5825288174</v>
      </c>
      <c r="CN32" s="425">
        <f t="shared" si="19"/>
        <v>12025434.102180999</v>
      </c>
      <c r="CO32" s="425">
        <f t="shared" si="20"/>
        <v>6192281.3289619992</v>
      </c>
      <c r="CP32" s="425">
        <f t="shared" si="21"/>
        <v>5833152.7732189996</v>
      </c>
      <c r="CQ32" s="425">
        <f t="shared" si="22"/>
        <v>6192281.3289619992</v>
      </c>
      <c r="CU32" s="424" t="s">
        <v>368</v>
      </c>
      <c r="CV32" s="425">
        <v>20418038</v>
      </c>
      <c r="CW32" s="425">
        <v>20418038</v>
      </c>
      <c r="CX32" s="426">
        <f t="shared" si="23"/>
        <v>21704.374393999999</v>
      </c>
      <c r="CY32" s="426">
        <f t="shared" si="24"/>
        <v>21704.374393999999</v>
      </c>
      <c r="DB32" s="568" t="s">
        <v>365</v>
      </c>
      <c r="DC32" s="569">
        <v>11312731987</v>
      </c>
      <c r="DD32" s="569">
        <v>6679560529</v>
      </c>
      <c r="DE32" s="569">
        <v>4633171458</v>
      </c>
      <c r="DF32" s="569">
        <v>6679560529</v>
      </c>
      <c r="DG32" s="570">
        <f t="shared" si="25"/>
        <v>12025434.102180999</v>
      </c>
      <c r="DH32" s="570">
        <f t="shared" si="26"/>
        <v>7100372.8423269996</v>
      </c>
      <c r="DI32" s="570">
        <f t="shared" si="27"/>
        <v>4925061.2598539991</v>
      </c>
      <c r="DJ32" s="570">
        <f t="shared" si="28"/>
        <v>7100372.8423269996</v>
      </c>
      <c r="DN32" s="93" t="s">
        <v>577</v>
      </c>
      <c r="DO32" s="93">
        <v>0</v>
      </c>
      <c r="DP32" s="93">
        <v>0</v>
      </c>
      <c r="DQ32" s="626">
        <f t="shared" si="29"/>
        <v>0</v>
      </c>
      <c r="DR32" s="626">
        <f t="shared" si="30"/>
        <v>0</v>
      </c>
      <c r="DV32" s="93" t="s">
        <v>365</v>
      </c>
      <c r="DW32" s="94">
        <v>11272731987</v>
      </c>
      <c r="DX32" s="94">
        <v>7541577080</v>
      </c>
      <c r="DY32" s="94">
        <v>3731154907</v>
      </c>
      <c r="DZ32" s="94">
        <v>7541577080</v>
      </c>
      <c r="EA32" s="94">
        <f t="shared" si="58"/>
        <v>11982914.102180999</v>
      </c>
      <c r="EB32" s="94">
        <f t="shared" si="31"/>
        <v>8016696.4360400001</v>
      </c>
      <c r="EC32" s="94">
        <f t="shared" si="32"/>
        <v>3966217.6661410001</v>
      </c>
      <c r="ED32" s="94">
        <f t="shared" si="33"/>
        <v>8016696.4360400001</v>
      </c>
      <c r="EH32" s="420" t="s">
        <v>572</v>
      </c>
      <c r="EI32" s="420">
        <v>9333395</v>
      </c>
      <c r="EJ32" s="426">
        <f t="shared" si="34"/>
        <v>9921.3988850000005</v>
      </c>
      <c r="EN32" s="420" t="s">
        <v>365</v>
      </c>
      <c r="EO32" s="426">
        <v>11217361990</v>
      </c>
      <c r="EP32" s="426">
        <v>8809285753</v>
      </c>
      <c r="EQ32" s="426">
        <v>2408076237</v>
      </c>
      <c r="ER32" s="426">
        <v>8809285753</v>
      </c>
      <c r="ES32" s="700">
        <f t="shared" si="35"/>
        <v>11924055.795369999</v>
      </c>
      <c r="ET32" s="700">
        <f t="shared" si="36"/>
        <v>9364270.7554390002</v>
      </c>
      <c r="EU32" s="700">
        <f t="shared" si="37"/>
        <v>2559785.0399310002</v>
      </c>
      <c r="EV32" s="700">
        <f t="shared" si="38"/>
        <v>9364270.7554390002</v>
      </c>
      <c r="EZ32" s="730" t="s">
        <v>554</v>
      </c>
      <c r="FA32" s="731" t="s">
        <v>572</v>
      </c>
      <c r="FB32" s="420">
        <v>10001338</v>
      </c>
      <c r="FC32" s="426">
        <f t="shared" si="39"/>
        <v>10001.338</v>
      </c>
      <c r="FG32" s="735" t="s">
        <v>553</v>
      </c>
      <c r="FH32" s="734" t="s">
        <v>365</v>
      </c>
      <c r="FI32" s="732">
        <v>11962361990</v>
      </c>
      <c r="FJ32" s="733">
        <v>9679470661</v>
      </c>
      <c r="FK32" s="733">
        <v>2282891329</v>
      </c>
      <c r="FL32" s="733">
        <v>9679470661</v>
      </c>
      <c r="FM32" s="426">
        <f t="shared" si="40"/>
        <v>11962361.99</v>
      </c>
      <c r="FN32" s="426">
        <f t="shared" si="41"/>
        <v>9679470.6610000003</v>
      </c>
      <c r="FO32" s="426">
        <f t="shared" si="42"/>
        <v>2282891.3289999999</v>
      </c>
      <c r="FP32" s="426">
        <f t="shared" si="43"/>
        <v>9679470.6610000003</v>
      </c>
      <c r="FT32" s="427" t="s">
        <v>554</v>
      </c>
      <c r="FU32" s="93" t="s">
        <v>368</v>
      </c>
      <c r="FV32" s="94">
        <v>20641642</v>
      </c>
      <c r="FW32" s="94">
        <v>20418038</v>
      </c>
      <c r="FX32" s="94">
        <v>20418038</v>
      </c>
      <c r="FY32" s="426">
        <f t="shared" si="44"/>
        <v>20641.642</v>
      </c>
      <c r="FZ32" s="426">
        <f t="shared" si="45"/>
        <v>20418.038</v>
      </c>
      <c r="GA32" s="426">
        <f t="shared" si="46"/>
        <v>20418.038</v>
      </c>
      <c r="GG32" s="762" t="s">
        <v>553</v>
      </c>
      <c r="GH32" s="763" t="s">
        <v>365</v>
      </c>
      <c r="GI32" s="764">
        <v>12245006990</v>
      </c>
      <c r="GJ32" s="764">
        <v>10548068804</v>
      </c>
      <c r="GK32" s="764">
        <v>1696938186</v>
      </c>
      <c r="GL32" s="764">
        <v>10548068804</v>
      </c>
      <c r="GM32" s="764">
        <v>0</v>
      </c>
      <c r="GN32" s="426">
        <f t="shared" si="47"/>
        <v>12245006.99</v>
      </c>
      <c r="GO32" s="426">
        <f t="shared" si="48"/>
        <v>10548068.804</v>
      </c>
      <c r="GP32" s="426">
        <f t="shared" si="49"/>
        <v>1696938.186</v>
      </c>
      <c r="GQ32" s="426">
        <f t="shared" si="50"/>
        <v>10548068.804</v>
      </c>
      <c r="GR32" s="426">
        <f t="shared" si="51"/>
        <v>0</v>
      </c>
      <c r="GV32" s="780" t="s">
        <v>366</v>
      </c>
      <c r="GW32" s="779">
        <v>230627833</v>
      </c>
      <c r="GX32" s="426">
        <f t="shared" si="52"/>
        <v>230627.83300000001</v>
      </c>
      <c r="HB32" s="782" t="s">
        <v>363</v>
      </c>
      <c r="HC32" s="764">
        <v>2709658</v>
      </c>
      <c r="HD32" s="764">
        <v>2185000</v>
      </c>
      <c r="HE32" s="764">
        <v>524658</v>
      </c>
      <c r="HF32" s="764">
        <v>2185000</v>
      </c>
      <c r="HG32" s="426">
        <f t="shared" si="53"/>
        <v>2709.6579999999999</v>
      </c>
      <c r="HH32" s="426">
        <f t="shared" si="54"/>
        <v>524.65800000000002</v>
      </c>
      <c r="HI32" s="426">
        <f t="shared" si="55"/>
        <v>2185</v>
      </c>
      <c r="HJ32" s="426">
        <f t="shared" si="56"/>
        <v>524.65800000000002</v>
      </c>
      <c r="HK32" s="426">
        <f t="shared" si="57"/>
        <v>2185</v>
      </c>
    </row>
    <row r="33" spans="1:219" ht="15" customHeight="1" x14ac:dyDescent="0.3">
      <c r="A33" s="287" t="s">
        <v>554</v>
      </c>
      <c r="B33" s="288" t="s">
        <v>570</v>
      </c>
      <c r="C33" s="289">
        <v>94969046</v>
      </c>
      <c r="D33" s="290">
        <f t="shared" si="3"/>
        <v>100952.095898</v>
      </c>
      <c r="E33" s="289">
        <v>8688420</v>
      </c>
      <c r="F33" s="289">
        <f t="shared" si="4"/>
        <v>9235.7904600000002</v>
      </c>
      <c r="J33" s="291" t="s">
        <v>553</v>
      </c>
      <c r="K33" s="292" t="s">
        <v>369</v>
      </c>
      <c r="L33" s="293">
        <v>36461686</v>
      </c>
      <c r="M33" s="293">
        <f t="shared" si="5"/>
        <v>38758.772217999998</v>
      </c>
      <c r="Q33" s="291" t="s">
        <v>554</v>
      </c>
      <c r="R33" s="292" t="s">
        <v>570</v>
      </c>
      <c r="S33" s="293">
        <v>94969046</v>
      </c>
      <c r="T33" s="293">
        <v>17471623</v>
      </c>
      <c r="U33" s="293">
        <f t="shared" si="6"/>
        <v>100952.095898</v>
      </c>
      <c r="V33" s="293">
        <f t="shared" si="7"/>
        <v>18572.335249</v>
      </c>
      <c r="Z33" s="288" t="s">
        <v>571</v>
      </c>
      <c r="AA33" s="289">
        <v>7160</v>
      </c>
      <c r="AB33" s="289">
        <f t="shared" si="8"/>
        <v>7.6110799999999994</v>
      </c>
      <c r="AF33" s="288" t="s">
        <v>570</v>
      </c>
      <c r="AG33" s="289">
        <v>94969046</v>
      </c>
      <c r="AH33" s="289">
        <f t="shared" si="0"/>
        <v>100952.095898</v>
      </c>
      <c r="AI33" s="289">
        <v>26241456</v>
      </c>
      <c r="AL33" s="426"/>
      <c r="AN33" s="423" t="s">
        <v>554</v>
      </c>
      <c r="AO33" s="424" t="s">
        <v>571</v>
      </c>
      <c r="AP33" s="425">
        <v>0</v>
      </c>
      <c r="AQ33" s="425">
        <f t="shared" si="9"/>
        <v>0</v>
      </c>
      <c r="AU33" s="423" t="s">
        <v>554</v>
      </c>
      <c r="AV33" s="424" t="s">
        <v>570</v>
      </c>
      <c r="AW33" s="425">
        <v>94969046</v>
      </c>
      <c r="AX33" s="425">
        <v>34944653</v>
      </c>
      <c r="AY33" s="425">
        <v>60024393</v>
      </c>
      <c r="AZ33" s="426">
        <f t="shared" si="10"/>
        <v>100952.095898</v>
      </c>
      <c r="BA33" s="426">
        <f t="shared" si="11"/>
        <v>37146.166138999994</v>
      </c>
      <c r="BB33" s="426">
        <f t="shared" si="12"/>
        <v>63805.929758999991</v>
      </c>
      <c r="BF33" s="423" t="s">
        <v>554</v>
      </c>
      <c r="BG33" s="424" t="s">
        <v>579</v>
      </c>
      <c r="BH33" s="425">
        <v>34721744</v>
      </c>
      <c r="BI33" s="426">
        <f t="shared" si="13"/>
        <v>36909.213872</v>
      </c>
      <c r="BM33" s="427" t="s">
        <v>554</v>
      </c>
      <c r="BN33" s="93" t="s">
        <v>570</v>
      </c>
      <c r="BO33" s="94">
        <v>0</v>
      </c>
      <c r="BP33" s="94">
        <v>94969046</v>
      </c>
      <c r="BQ33" s="94">
        <v>43939986</v>
      </c>
      <c r="BR33" s="94">
        <v>51029060</v>
      </c>
      <c r="BS33" s="94">
        <v>43939986</v>
      </c>
      <c r="BT33" s="426">
        <f t="shared" si="14"/>
        <v>100952.095898</v>
      </c>
      <c r="BU33" s="426">
        <f t="shared" si="15"/>
        <v>46708.205117999998</v>
      </c>
      <c r="BV33" s="426">
        <f t="shared" si="16"/>
        <v>54243.890779999994</v>
      </c>
      <c r="BW33" s="426">
        <f t="shared" si="17"/>
        <v>46708.205117999998</v>
      </c>
      <c r="CA33" s="93" t="s">
        <v>368</v>
      </c>
      <c r="CB33" s="426">
        <v>20025715</v>
      </c>
      <c r="CC33" s="426">
        <f t="shared" si="18"/>
        <v>21287.335045</v>
      </c>
      <c r="CG33" s="424" t="s">
        <v>366</v>
      </c>
      <c r="CH33" s="425">
        <v>0</v>
      </c>
      <c r="CI33" s="425">
        <v>2726300981</v>
      </c>
      <c r="CJ33" s="425">
        <v>-2726300981</v>
      </c>
      <c r="CK33" s="425">
        <v>1228965228</v>
      </c>
      <c r="CL33" s="425">
        <v>1497335753</v>
      </c>
      <c r="CM33" s="425">
        <v>1228965228</v>
      </c>
      <c r="CN33" s="425">
        <f t="shared" si="19"/>
        <v>2898057.9428030001</v>
      </c>
      <c r="CO33" s="425">
        <f t="shared" si="20"/>
        <v>1306390.0373639998</v>
      </c>
      <c r="CP33" s="425">
        <f t="shared" si="21"/>
        <v>1591667.9054389999</v>
      </c>
      <c r="CQ33" s="425">
        <f t="shared" si="22"/>
        <v>1306390.0373639998</v>
      </c>
      <c r="CU33" s="424" t="s">
        <v>572</v>
      </c>
      <c r="CV33" s="425">
        <v>9022258</v>
      </c>
      <c r="CW33" s="425">
        <v>9022258</v>
      </c>
      <c r="CX33" s="426">
        <f t="shared" si="23"/>
        <v>9590.6602539999985</v>
      </c>
      <c r="CY33" s="426">
        <f t="shared" si="24"/>
        <v>9590.6602539999985</v>
      </c>
      <c r="DB33" s="568" t="s">
        <v>366</v>
      </c>
      <c r="DC33" s="569">
        <v>2726300981</v>
      </c>
      <c r="DD33" s="569">
        <v>1435480481</v>
      </c>
      <c r="DE33" s="569">
        <v>1290820500</v>
      </c>
      <c r="DF33" s="569">
        <v>1435480481</v>
      </c>
      <c r="DG33" s="570">
        <f t="shared" si="25"/>
        <v>2898057.9428030001</v>
      </c>
      <c r="DH33" s="570">
        <f t="shared" si="26"/>
        <v>1525915.7513029999</v>
      </c>
      <c r="DI33" s="570">
        <f t="shared" si="27"/>
        <v>1372142.1915</v>
      </c>
      <c r="DJ33" s="570">
        <f t="shared" si="28"/>
        <v>1525915.7513029999</v>
      </c>
      <c r="DN33" s="93" t="s">
        <v>369</v>
      </c>
      <c r="DO33" s="93">
        <v>38000626</v>
      </c>
      <c r="DP33" s="93">
        <v>38000626</v>
      </c>
      <c r="DQ33" s="626">
        <f t="shared" si="29"/>
        <v>40394.665437999996</v>
      </c>
      <c r="DR33" s="626">
        <f t="shared" si="30"/>
        <v>40394.665437999996</v>
      </c>
      <c r="DV33" s="93" t="s">
        <v>366</v>
      </c>
      <c r="DW33" s="94">
        <v>2686300981</v>
      </c>
      <c r="DX33" s="94">
        <v>1643853161</v>
      </c>
      <c r="DY33" s="94">
        <v>1042447820</v>
      </c>
      <c r="DZ33" s="94">
        <v>1643853161</v>
      </c>
      <c r="EA33" s="94">
        <f t="shared" si="58"/>
        <v>2855537.9428030001</v>
      </c>
      <c r="EB33" s="94">
        <f t="shared" si="31"/>
        <v>1747415.9101430001</v>
      </c>
      <c r="EC33" s="94">
        <f t="shared" si="32"/>
        <v>1108122.0326599998</v>
      </c>
      <c r="ED33" s="94">
        <f t="shared" si="33"/>
        <v>1747415.9101430001</v>
      </c>
      <c r="EH33" s="420" t="s">
        <v>573</v>
      </c>
      <c r="EI33" s="420">
        <v>218936527</v>
      </c>
      <c r="EJ33" s="426">
        <f t="shared" si="34"/>
        <v>232729.52820099998</v>
      </c>
      <c r="EN33" s="420" t="s">
        <v>366</v>
      </c>
      <c r="EO33" s="426">
        <v>2536796971</v>
      </c>
      <c r="EP33" s="426">
        <v>1853367824</v>
      </c>
      <c r="EQ33" s="426">
        <v>683429147</v>
      </c>
      <c r="ER33" s="426">
        <v>1853367824</v>
      </c>
      <c r="ES33" s="700">
        <f t="shared" si="35"/>
        <v>2696615.1801729999</v>
      </c>
      <c r="ET33" s="700">
        <f t="shared" si="36"/>
        <v>1970129.996912</v>
      </c>
      <c r="EU33" s="700">
        <f t="shared" si="37"/>
        <v>726485.18326099997</v>
      </c>
      <c r="EV33" s="700">
        <f t="shared" si="38"/>
        <v>1970129.996912</v>
      </c>
      <c r="EZ33" s="730" t="s">
        <v>554</v>
      </c>
      <c r="FA33" s="731" t="s">
        <v>573</v>
      </c>
      <c r="FB33" s="420">
        <v>141042652</v>
      </c>
      <c r="FC33" s="426">
        <f t="shared" si="39"/>
        <v>141042.652</v>
      </c>
      <c r="FG33" s="735" t="s">
        <v>554</v>
      </c>
      <c r="FH33" s="734" t="s">
        <v>366</v>
      </c>
      <c r="FI33" s="732">
        <v>3281796971</v>
      </c>
      <c r="FJ33" s="733">
        <v>2063320017</v>
      </c>
      <c r="FK33" s="733">
        <v>1218476954</v>
      </c>
      <c r="FL33" s="733">
        <v>2063320017</v>
      </c>
      <c r="FM33" s="426">
        <f t="shared" si="40"/>
        <v>3281796.9709999999</v>
      </c>
      <c r="FN33" s="426">
        <f t="shared" si="41"/>
        <v>2063320.017</v>
      </c>
      <c r="FO33" s="426">
        <f t="shared" si="42"/>
        <v>1218476.9539999999</v>
      </c>
      <c r="FP33" s="426">
        <f t="shared" si="43"/>
        <v>2063320.017</v>
      </c>
      <c r="FT33" s="427" t="s">
        <v>554</v>
      </c>
      <c r="FU33" s="93" t="s">
        <v>572</v>
      </c>
      <c r="FV33" s="94">
        <v>0</v>
      </c>
      <c r="FW33" s="94">
        <v>9391005</v>
      </c>
      <c r="FX33" s="94">
        <v>9391005</v>
      </c>
      <c r="FY33" s="426">
        <f t="shared" si="44"/>
        <v>0</v>
      </c>
      <c r="FZ33" s="426">
        <f t="shared" si="45"/>
        <v>9391.0049999999992</v>
      </c>
      <c r="GA33" s="426">
        <f t="shared" si="46"/>
        <v>9391.0049999999992</v>
      </c>
      <c r="GG33" s="762" t="s">
        <v>554</v>
      </c>
      <c r="GH33" s="763" t="s">
        <v>366</v>
      </c>
      <c r="GI33" s="764">
        <v>3016969061</v>
      </c>
      <c r="GJ33" s="764">
        <v>2272874297</v>
      </c>
      <c r="GK33" s="764">
        <v>744094764</v>
      </c>
      <c r="GL33" s="764">
        <v>2272874297</v>
      </c>
      <c r="GM33" s="764">
        <v>0</v>
      </c>
      <c r="GN33" s="426">
        <f t="shared" si="47"/>
        <v>3016969.0610000002</v>
      </c>
      <c r="GO33" s="426">
        <f t="shared" si="48"/>
        <v>2272874.2969999998</v>
      </c>
      <c r="GP33" s="426">
        <f t="shared" si="49"/>
        <v>744094.76399999997</v>
      </c>
      <c r="GQ33" s="426">
        <f t="shared" si="50"/>
        <v>2272874.2969999998</v>
      </c>
      <c r="GR33" s="426">
        <f t="shared" si="51"/>
        <v>0</v>
      </c>
      <c r="GV33" s="780" t="s">
        <v>570</v>
      </c>
      <c r="GW33" s="779">
        <v>10238335</v>
      </c>
      <c r="GX33" s="426">
        <f t="shared" si="52"/>
        <v>10238.334999999999</v>
      </c>
      <c r="HB33" s="782" t="s">
        <v>364</v>
      </c>
      <c r="HC33" s="764">
        <v>14263358633</v>
      </c>
      <c r="HD33" s="764">
        <v>14124279462</v>
      </c>
      <c r="HE33" s="764">
        <v>139079171</v>
      </c>
      <c r="HF33" s="764">
        <v>14124279462</v>
      </c>
      <c r="HG33" s="426">
        <f t="shared" si="53"/>
        <v>14263358.632999999</v>
      </c>
      <c r="HH33" s="426">
        <f t="shared" si="54"/>
        <v>139079.171</v>
      </c>
      <c r="HI33" s="426">
        <f t="shared" si="55"/>
        <v>14124279.461999999</v>
      </c>
      <c r="HJ33" s="426">
        <f t="shared" si="56"/>
        <v>139079.171</v>
      </c>
      <c r="HK33" s="426">
        <f t="shared" si="57"/>
        <v>14124279.461999999</v>
      </c>
    </row>
    <row r="34" spans="1:219" ht="15" customHeight="1" x14ac:dyDescent="0.3">
      <c r="A34" s="287" t="s">
        <v>554</v>
      </c>
      <c r="B34" s="288" t="s">
        <v>367</v>
      </c>
      <c r="C34" s="289">
        <v>1558780587</v>
      </c>
      <c r="D34" s="290">
        <f t="shared" si="3"/>
        <v>1656983.7639810001</v>
      </c>
      <c r="E34" s="289">
        <v>138396457</v>
      </c>
      <c r="F34" s="289">
        <f t="shared" si="4"/>
        <v>147115.43379099999</v>
      </c>
      <c r="J34" s="291" t="s">
        <v>554</v>
      </c>
      <c r="K34" s="292" t="s">
        <v>578</v>
      </c>
      <c r="L34" s="293">
        <v>3354260</v>
      </c>
      <c r="M34" s="293">
        <f t="shared" si="5"/>
        <v>3565.5783799999999</v>
      </c>
      <c r="Q34" s="291" t="s">
        <v>554</v>
      </c>
      <c r="R34" s="292" t="s">
        <v>367</v>
      </c>
      <c r="S34" s="293">
        <v>1558780587</v>
      </c>
      <c r="T34" s="293">
        <v>276712703</v>
      </c>
      <c r="U34" s="293">
        <f t="shared" si="6"/>
        <v>1656983.7639810001</v>
      </c>
      <c r="V34" s="293">
        <f t="shared" si="7"/>
        <v>294145.60328899999</v>
      </c>
      <c r="Z34" s="288" t="s">
        <v>572</v>
      </c>
      <c r="AA34" s="289">
        <v>7328427</v>
      </c>
      <c r="AB34" s="289">
        <f t="shared" si="8"/>
        <v>7790.1179009999996</v>
      </c>
      <c r="AF34" s="288" t="s">
        <v>367</v>
      </c>
      <c r="AG34" s="289">
        <v>1558780587</v>
      </c>
      <c r="AH34" s="289">
        <f t="shared" si="0"/>
        <v>1656983.7639810001</v>
      </c>
      <c r="AI34" s="289">
        <v>413940233</v>
      </c>
      <c r="AL34" s="426"/>
      <c r="AN34" s="423" t="s">
        <v>554</v>
      </c>
      <c r="AO34" s="424" t="s">
        <v>572</v>
      </c>
      <c r="AP34" s="425">
        <v>7298374</v>
      </c>
      <c r="AQ34" s="425">
        <f t="shared" si="9"/>
        <v>7758.1715619999995</v>
      </c>
      <c r="AU34" s="423" t="s">
        <v>554</v>
      </c>
      <c r="AV34" s="424" t="s">
        <v>367</v>
      </c>
      <c r="AW34" s="425">
        <v>1558780587</v>
      </c>
      <c r="AX34" s="425">
        <v>547466481</v>
      </c>
      <c r="AY34" s="425">
        <v>1011314106</v>
      </c>
      <c r="AZ34" s="426">
        <f t="shared" si="10"/>
        <v>1656983.7639810001</v>
      </c>
      <c r="BA34" s="426">
        <f t="shared" si="11"/>
        <v>581956.86930300004</v>
      </c>
      <c r="BB34" s="426">
        <f t="shared" si="12"/>
        <v>1075026.8946779999</v>
      </c>
      <c r="BF34" s="423" t="s">
        <v>553</v>
      </c>
      <c r="BG34" s="424" t="s">
        <v>580</v>
      </c>
      <c r="BH34" s="425">
        <v>1133675</v>
      </c>
      <c r="BI34" s="426">
        <f t="shared" si="13"/>
        <v>1205.0965249999999</v>
      </c>
      <c r="BM34" s="427" t="s">
        <v>554</v>
      </c>
      <c r="BN34" s="93" t="s">
        <v>367</v>
      </c>
      <c r="BO34" s="94">
        <v>0</v>
      </c>
      <c r="BP34" s="94">
        <v>1558780587</v>
      </c>
      <c r="BQ34" s="94">
        <v>692205333</v>
      </c>
      <c r="BR34" s="94">
        <v>866575254</v>
      </c>
      <c r="BS34" s="94">
        <v>692205333</v>
      </c>
      <c r="BT34" s="426">
        <f t="shared" si="14"/>
        <v>1656983.7639810001</v>
      </c>
      <c r="BU34" s="426">
        <f t="shared" si="15"/>
        <v>735814.26897899993</v>
      </c>
      <c r="BV34" s="426">
        <f t="shared" si="16"/>
        <v>921169.49500199989</v>
      </c>
      <c r="BW34" s="426">
        <f t="shared" si="17"/>
        <v>735814.26897899993</v>
      </c>
      <c r="CA34" s="93" t="s">
        <v>571</v>
      </c>
      <c r="CB34" s="426">
        <v>0</v>
      </c>
      <c r="CC34" s="426">
        <f t="shared" si="18"/>
        <v>0</v>
      </c>
      <c r="CG34" s="424" t="s">
        <v>570</v>
      </c>
      <c r="CH34" s="425">
        <v>0</v>
      </c>
      <c r="CI34" s="425">
        <v>94969046</v>
      </c>
      <c r="CJ34" s="425">
        <v>-94969046</v>
      </c>
      <c r="CK34" s="425">
        <v>53157694</v>
      </c>
      <c r="CL34" s="425">
        <v>41811352</v>
      </c>
      <c r="CM34" s="425">
        <v>53157694</v>
      </c>
      <c r="CN34" s="425">
        <f t="shared" si="19"/>
        <v>100952.095898</v>
      </c>
      <c r="CO34" s="425">
        <f t="shared" si="20"/>
        <v>56506.628722000001</v>
      </c>
      <c r="CP34" s="425">
        <f t="shared" si="21"/>
        <v>44445.467175999998</v>
      </c>
      <c r="CQ34" s="425">
        <f t="shared" si="22"/>
        <v>56506.628722000001</v>
      </c>
      <c r="CU34" s="424" t="s">
        <v>573</v>
      </c>
      <c r="CV34" s="425">
        <v>138236196</v>
      </c>
      <c r="CW34" s="425">
        <v>138236196</v>
      </c>
      <c r="CX34" s="426">
        <f t="shared" si="23"/>
        <v>146945.076348</v>
      </c>
      <c r="CY34" s="426">
        <f t="shared" si="24"/>
        <v>146945.076348</v>
      </c>
      <c r="DB34" s="568" t="s">
        <v>570</v>
      </c>
      <c r="DC34" s="569">
        <v>94969046</v>
      </c>
      <c r="DD34" s="569">
        <v>62252105</v>
      </c>
      <c r="DE34" s="569">
        <v>32716941</v>
      </c>
      <c r="DF34" s="569">
        <v>62252105</v>
      </c>
      <c r="DG34" s="570">
        <f t="shared" si="25"/>
        <v>100952.095898</v>
      </c>
      <c r="DH34" s="570">
        <f t="shared" si="26"/>
        <v>66173.987615000005</v>
      </c>
      <c r="DI34" s="570">
        <f t="shared" si="27"/>
        <v>34778.108282999994</v>
      </c>
      <c r="DJ34" s="570">
        <f t="shared" si="28"/>
        <v>66173.987615000005</v>
      </c>
      <c r="DN34" s="93" t="s">
        <v>578</v>
      </c>
      <c r="DO34" s="93">
        <v>3379480</v>
      </c>
      <c r="DP34" s="93">
        <v>3379480</v>
      </c>
      <c r="DQ34" s="626">
        <f t="shared" si="29"/>
        <v>3592.38724</v>
      </c>
      <c r="DR34" s="626">
        <f t="shared" si="30"/>
        <v>3592.38724</v>
      </c>
      <c r="DV34" s="93" t="s">
        <v>570</v>
      </c>
      <c r="DW34" s="94">
        <v>94969046</v>
      </c>
      <c r="DX34" s="94">
        <v>71002963</v>
      </c>
      <c r="DY34" s="94">
        <v>23966083</v>
      </c>
      <c r="DZ34" s="94">
        <v>71002963</v>
      </c>
      <c r="EA34" s="94">
        <f t="shared" si="58"/>
        <v>100952.095898</v>
      </c>
      <c r="EB34" s="94">
        <f t="shared" si="31"/>
        <v>75476.149669000006</v>
      </c>
      <c r="EC34" s="94">
        <f t="shared" si="32"/>
        <v>25475.946228999997</v>
      </c>
      <c r="ED34" s="94">
        <f t="shared" si="33"/>
        <v>75476.149669000006</v>
      </c>
      <c r="EH34" s="420" t="s">
        <v>574</v>
      </c>
      <c r="EI34" s="420">
        <v>332358442</v>
      </c>
      <c r="EJ34" s="426">
        <f t="shared" si="34"/>
        <v>353297.02384599997</v>
      </c>
      <c r="EN34" s="420" t="s">
        <v>570</v>
      </c>
      <c r="EO34" s="426">
        <v>94969046</v>
      </c>
      <c r="EP34" s="426">
        <v>81305823</v>
      </c>
      <c r="EQ34" s="426">
        <v>13663223</v>
      </c>
      <c r="ER34" s="426">
        <v>81305823</v>
      </c>
      <c r="ES34" s="700">
        <f t="shared" si="35"/>
        <v>100952.095898</v>
      </c>
      <c r="ET34" s="700">
        <f t="shared" si="36"/>
        <v>86428.089848999996</v>
      </c>
      <c r="EU34" s="700">
        <f t="shared" si="37"/>
        <v>14524.006049</v>
      </c>
      <c r="EV34" s="700">
        <f t="shared" si="38"/>
        <v>86428.089848999996</v>
      </c>
      <c r="EZ34" s="730" t="s">
        <v>554</v>
      </c>
      <c r="FA34" s="731" t="s">
        <v>574</v>
      </c>
      <c r="FB34" s="420">
        <v>333046926</v>
      </c>
      <c r="FC34" s="426">
        <f t="shared" si="39"/>
        <v>333046.92599999998</v>
      </c>
      <c r="FG34" s="735" t="s">
        <v>554</v>
      </c>
      <c r="FH34" s="734" t="s">
        <v>570</v>
      </c>
      <c r="FI34" s="732">
        <v>94969046</v>
      </c>
      <c r="FJ34" s="733">
        <v>90458058</v>
      </c>
      <c r="FK34" s="733">
        <v>4510988</v>
      </c>
      <c r="FL34" s="733">
        <v>90458058</v>
      </c>
      <c r="FM34" s="426">
        <f t="shared" si="40"/>
        <v>94969.046000000002</v>
      </c>
      <c r="FN34" s="426">
        <f t="shared" si="41"/>
        <v>90458.058000000005</v>
      </c>
      <c r="FO34" s="426">
        <f t="shared" si="42"/>
        <v>4510.9880000000003</v>
      </c>
      <c r="FP34" s="426">
        <f t="shared" si="43"/>
        <v>90458.058000000005</v>
      </c>
      <c r="FT34" s="427" t="s">
        <v>554</v>
      </c>
      <c r="FU34" s="93" t="s">
        <v>573</v>
      </c>
      <c r="FV34" s="94">
        <v>0</v>
      </c>
      <c r="FW34" s="94">
        <v>140754366</v>
      </c>
      <c r="FX34" s="94">
        <v>140754366</v>
      </c>
      <c r="FY34" s="426">
        <f t="shared" si="44"/>
        <v>0</v>
      </c>
      <c r="FZ34" s="426">
        <f t="shared" si="45"/>
        <v>140754.36600000001</v>
      </c>
      <c r="GA34" s="426">
        <f t="shared" si="46"/>
        <v>140754.36600000001</v>
      </c>
      <c r="GG34" s="762" t="s">
        <v>554</v>
      </c>
      <c r="GH34" s="763" t="s">
        <v>570</v>
      </c>
      <c r="GI34" s="764">
        <v>108952686</v>
      </c>
      <c r="GJ34" s="764">
        <v>99705372</v>
      </c>
      <c r="GK34" s="764">
        <v>9247314</v>
      </c>
      <c r="GL34" s="764">
        <v>99705372</v>
      </c>
      <c r="GM34" s="764">
        <v>0</v>
      </c>
      <c r="GN34" s="426">
        <f t="shared" si="47"/>
        <v>108952.686</v>
      </c>
      <c r="GO34" s="426">
        <f t="shared" si="48"/>
        <v>99705.372000000003</v>
      </c>
      <c r="GP34" s="426">
        <f t="shared" si="49"/>
        <v>9247.3140000000003</v>
      </c>
      <c r="GQ34" s="426">
        <f t="shared" si="50"/>
        <v>99705.372000000003</v>
      </c>
      <c r="GR34" s="426">
        <f t="shared" si="51"/>
        <v>0</v>
      </c>
      <c r="GV34" s="780" t="s">
        <v>367</v>
      </c>
      <c r="GW34" s="779">
        <v>160491509</v>
      </c>
      <c r="GX34" s="426">
        <f t="shared" si="52"/>
        <v>160491.50899999999</v>
      </c>
      <c r="HB34" s="782" t="s">
        <v>365</v>
      </c>
      <c r="HC34" s="764">
        <v>12047937596</v>
      </c>
      <c r="HD34" s="764">
        <v>11936343845</v>
      </c>
      <c r="HE34" s="764">
        <v>111593751</v>
      </c>
      <c r="HF34" s="764">
        <v>11936343845</v>
      </c>
      <c r="HG34" s="426">
        <f t="shared" si="53"/>
        <v>12047937.596000001</v>
      </c>
      <c r="HH34" s="426">
        <f t="shared" si="54"/>
        <v>111593.751</v>
      </c>
      <c r="HI34" s="426">
        <f t="shared" si="55"/>
        <v>11936343.845000001</v>
      </c>
      <c r="HJ34" s="426">
        <f t="shared" si="56"/>
        <v>111593.751</v>
      </c>
      <c r="HK34" s="426">
        <f t="shared" si="57"/>
        <v>11936343.845000001</v>
      </c>
    </row>
    <row r="35" spans="1:219" ht="15" customHeight="1" x14ac:dyDescent="0.3">
      <c r="A35" s="287" t="s">
        <v>554</v>
      </c>
      <c r="B35" s="288" t="s">
        <v>368</v>
      </c>
      <c r="C35" s="289">
        <v>217979625</v>
      </c>
      <c r="D35" s="290">
        <f t="shared" si="3"/>
        <v>231712.34137499999</v>
      </c>
      <c r="E35" s="289">
        <v>19740700</v>
      </c>
      <c r="F35" s="289">
        <f t="shared" si="4"/>
        <v>20984.364099999999</v>
      </c>
      <c r="J35" s="291" t="s">
        <v>554</v>
      </c>
      <c r="K35" s="292" t="s">
        <v>579</v>
      </c>
      <c r="L35" s="293">
        <v>33107426</v>
      </c>
      <c r="M35" s="293">
        <f t="shared" si="5"/>
        <v>35193.193837999999</v>
      </c>
      <c r="Q35" s="291" t="s">
        <v>554</v>
      </c>
      <c r="R35" s="292" t="s">
        <v>368</v>
      </c>
      <c r="S35" s="293">
        <v>217979625</v>
      </c>
      <c r="T35" s="293">
        <v>39416575</v>
      </c>
      <c r="U35" s="293">
        <f t="shared" si="6"/>
        <v>231712.34137499999</v>
      </c>
      <c r="V35" s="293">
        <f t="shared" si="7"/>
        <v>41899.819224999992</v>
      </c>
      <c r="Z35" s="288" t="s">
        <v>573</v>
      </c>
      <c r="AA35" s="289">
        <v>196577919</v>
      </c>
      <c r="AB35" s="289">
        <f t="shared" si="8"/>
        <v>208962.32789699998</v>
      </c>
      <c r="AF35" s="288" t="s">
        <v>368</v>
      </c>
      <c r="AG35" s="289">
        <v>217979625</v>
      </c>
      <c r="AH35" s="289">
        <f t="shared" ref="AH35:AH66" si="59">+AG35/$AJ$2*$AK$2</f>
        <v>231712.34137499999</v>
      </c>
      <c r="AI35" s="289">
        <v>58875293</v>
      </c>
      <c r="AL35" s="426"/>
      <c r="AN35" s="423" t="s">
        <v>554</v>
      </c>
      <c r="AO35" s="424" t="s">
        <v>573</v>
      </c>
      <c r="AP35" s="425">
        <v>130824437</v>
      </c>
      <c r="AQ35" s="425">
        <f t="shared" si="9"/>
        <v>139066.37653099999</v>
      </c>
      <c r="AU35" s="423" t="s">
        <v>554</v>
      </c>
      <c r="AV35" s="424" t="s">
        <v>368</v>
      </c>
      <c r="AW35" s="425">
        <v>217979625</v>
      </c>
      <c r="AX35" s="425">
        <v>75860157</v>
      </c>
      <c r="AY35" s="425">
        <v>142119468</v>
      </c>
      <c r="AZ35" s="426">
        <f t="shared" si="10"/>
        <v>231712.34137499999</v>
      </c>
      <c r="BA35" s="426">
        <f t="shared" si="11"/>
        <v>80639.346891000008</v>
      </c>
      <c r="BB35" s="426">
        <f t="shared" si="12"/>
        <v>151072.994484</v>
      </c>
      <c r="BF35" s="423" t="s">
        <v>554</v>
      </c>
      <c r="BG35" s="424" t="s">
        <v>581</v>
      </c>
      <c r="BH35" s="425">
        <v>552303</v>
      </c>
      <c r="BI35" s="426">
        <f t="shared" si="13"/>
        <v>587.09808899999996</v>
      </c>
      <c r="BM35" s="427" t="s">
        <v>554</v>
      </c>
      <c r="BN35" s="93" t="s">
        <v>368</v>
      </c>
      <c r="BO35" s="94">
        <v>0</v>
      </c>
      <c r="BP35" s="94">
        <v>217979625</v>
      </c>
      <c r="BQ35" s="94">
        <v>95962676</v>
      </c>
      <c r="BR35" s="94">
        <v>122016949</v>
      </c>
      <c r="BS35" s="94">
        <v>95962676</v>
      </c>
      <c r="BT35" s="426">
        <f t="shared" si="14"/>
        <v>231712.34137499999</v>
      </c>
      <c r="BU35" s="426">
        <f t="shared" si="15"/>
        <v>102008.324588</v>
      </c>
      <c r="BV35" s="426">
        <f t="shared" si="16"/>
        <v>129704.01678699999</v>
      </c>
      <c r="BW35" s="426">
        <f t="shared" si="17"/>
        <v>102008.324588</v>
      </c>
      <c r="CA35" s="93" t="s">
        <v>572</v>
      </c>
      <c r="CB35" s="426">
        <v>9232671</v>
      </c>
      <c r="CC35" s="426">
        <f t="shared" si="18"/>
        <v>9814.3292729999994</v>
      </c>
      <c r="CG35" s="424" t="s">
        <v>367</v>
      </c>
      <c r="CH35" s="425">
        <v>0</v>
      </c>
      <c r="CI35" s="425">
        <v>1558780587</v>
      </c>
      <c r="CJ35" s="425">
        <v>-1558780587</v>
      </c>
      <c r="CK35" s="425">
        <v>842239910</v>
      </c>
      <c r="CL35" s="425">
        <v>716540677</v>
      </c>
      <c r="CM35" s="425">
        <v>842239910</v>
      </c>
      <c r="CN35" s="425">
        <f t="shared" si="19"/>
        <v>1656983.7639810001</v>
      </c>
      <c r="CO35" s="425">
        <f t="shared" si="20"/>
        <v>895301.02433000004</v>
      </c>
      <c r="CP35" s="425">
        <f t="shared" si="21"/>
        <v>761682.73965100001</v>
      </c>
      <c r="CQ35" s="425">
        <f t="shared" si="22"/>
        <v>895301.02433000004</v>
      </c>
      <c r="CU35" s="424" t="s">
        <v>574</v>
      </c>
      <c r="CV35" s="425">
        <v>327280581</v>
      </c>
      <c r="CW35" s="425">
        <v>327280581</v>
      </c>
      <c r="CX35" s="426">
        <f t="shared" si="23"/>
        <v>347899.25760299998</v>
      </c>
      <c r="CY35" s="426">
        <f t="shared" si="24"/>
        <v>347899.25760299998</v>
      </c>
      <c r="DB35" s="568" t="s">
        <v>367</v>
      </c>
      <c r="DC35" s="569">
        <v>1558780587</v>
      </c>
      <c r="DD35" s="569">
        <v>985276251</v>
      </c>
      <c r="DE35" s="569">
        <v>573504336</v>
      </c>
      <c r="DF35" s="569">
        <v>985276251</v>
      </c>
      <c r="DG35" s="570">
        <f t="shared" si="25"/>
        <v>1656983.7639810001</v>
      </c>
      <c r="DH35" s="570">
        <f t="shared" si="26"/>
        <v>1047348.654813</v>
      </c>
      <c r="DI35" s="570">
        <f t="shared" si="27"/>
        <v>609635.10916799994</v>
      </c>
      <c r="DJ35" s="570">
        <f t="shared" si="28"/>
        <v>1047348.654813</v>
      </c>
      <c r="DN35" s="93" t="s">
        <v>579</v>
      </c>
      <c r="DO35" s="93">
        <v>34621146</v>
      </c>
      <c r="DP35" s="93">
        <v>34621146</v>
      </c>
      <c r="DQ35" s="626">
        <f t="shared" si="29"/>
        <v>36802.278198</v>
      </c>
      <c r="DR35" s="626">
        <f t="shared" si="30"/>
        <v>36802.278198</v>
      </c>
      <c r="DV35" s="93" t="s">
        <v>367</v>
      </c>
      <c r="DW35" s="94">
        <v>1558780587</v>
      </c>
      <c r="DX35" s="94">
        <v>1130046174</v>
      </c>
      <c r="DY35" s="94">
        <v>428734413</v>
      </c>
      <c r="DZ35" s="94">
        <v>1130046174</v>
      </c>
      <c r="EA35" s="94">
        <f t="shared" si="58"/>
        <v>1656983.7639810001</v>
      </c>
      <c r="EB35" s="94">
        <f t="shared" si="31"/>
        <v>1201239.082962</v>
      </c>
      <c r="EC35" s="94">
        <f t="shared" si="32"/>
        <v>455744.68101899995</v>
      </c>
      <c r="ED35" s="94">
        <f t="shared" si="33"/>
        <v>1201239.082962</v>
      </c>
      <c r="EH35" s="420" t="s">
        <v>575</v>
      </c>
      <c r="EI35" s="420">
        <v>309878453</v>
      </c>
      <c r="EJ35" s="426">
        <f t="shared" si="34"/>
        <v>329400.79553899996</v>
      </c>
      <c r="EN35" s="420" t="s">
        <v>367</v>
      </c>
      <c r="EO35" s="426">
        <v>1558780587</v>
      </c>
      <c r="EP35" s="426">
        <v>1275722078</v>
      </c>
      <c r="EQ35" s="426">
        <v>283058509</v>
      </c>
      <c r="ER35" s="426">
        <v>1275722078</v>
      </c>
      <c r="ES35" s="700">
        <f t="shared" si="35"/>
        <v>1656983.7639810001</v>
      </c>
      <c r="ET35" s="700">
        <f t="shared" si="36"/>
        <v>1356092.5689139999</v>
      </c>
      <c r="EU35" s="700">
        <f t="shared" si="37"/>
        <v>300891.19506699999</v>
      </c>
      <c r="EV35" s="700">
        <f t="shared" si="38"/>
        <v>1356092.5689139999</v>
      </c>
      <c r="EZ35" s="730" t="s">
        <v>554</v>
      </c>
      <c r="FA35" s="731" t="s">
        <v>575</v>
      </c>
      <c r="FB35" s="420">
        <v>132313</v>
      </c>
      <c r="FC35" s="426">
        <f t="shared" si="39"/>
        <v>132.31299999999999</v>
      </c>
      <c r="FG35" s="735" t="s">
        <v>554</v>
      </c>
      <c r="FH35" s="734" t="s">
        <v>367</v>
      </c>
      <c r="FI35" s="732">
        <v>1558780587</v>
      </c>
      <c r="FJ35" s="733">
        <v>1422161291</v>
      </c>
      <c r="FK35" s="733">
        <v>136619296</v>
      </c>
      <c r="FL35" s="733">
        <v>1422161291</v>
      </c>
      <c r="FM35" s="426">
        <f t="shared" si="40"/>
        <v>1558780.5870000001</v>
      </c>
      <c r="FN35" s="426">
        <f t="shared" si="41"/>
        <v>1422161.291</v>
      </c>
      <c r="FO35" s="426">
        <f t="shared" si="42"/>
        <v>136619.296</v>
      </c>
      <c r="FP35" s="426">
        <f t="shared" si="43"/>
        <v>1422161.291</v>
      </c>
      <c r="FT35" s="427" t="s">
        <v>554</v>
      </c>
      <c r="FU35" s="93" t="s">
        <v>574</v>
      </c>
      <c r="FV35" s="94">
        <v>357132428</v>
      </c>
      <c r="FW35" s="94">
        <v>333065892</v>
      </c>
      <c r="FX35" s="94">
        <v>333065892</v>
      </c>
      <c r="FY35" s="426">
        <f t="shared" si="44"/>
        <v>357132.42800000001</v>
      </c>
      <c r="FZ35" s="426">
        <f t="shared" si="45"/>
        <v>333065.89199999999</v>
      </c>
      <c r="GA35" s="426">
        <f t="shared" si="46"/>
        <v>333065.89199999999</v>
      </c>
      <c r="GG35" s="762" t="s">
        <v>554</v>
      </c>
      <c r="GH35" s="763" t="s">
        <v>367</v>
      </c>
      <c r="GI35" s="764">
        <v>1714495787</v>
      </c>
      <c r="GJ35" s="764">
        <v>1568328539</v>
      </c>
      <c r="GK35" s="764">
        <v>146167248</v>
      </c>
      <c r="GL35" s="764">
        <v>1568328539</v>
      </c>
      <c r="GM35" s="764">
        <v>0</v>
      </c>
      <c r="GN35" s="426">
        <f t="shared" si="47"/>
        <v>1714495.787</v>
      </c>
      <c r="GO35" s="426">
        <f t="shared" si="48"/>
        <v>1568328.5390000001</v>
      </c>
      <c r="GP35" s="426">
        <f t="shared" si="49"/>
        <v>146167.24799999999</v>
      </c>
      <c r="GQ35" s="426">
        <f t="shared" si="50"/>
        <v>1568328.5390000001</v>
      </c>
      <c r="GR35" s="426">
        <f t="shared" si="51"/>
        <v>0</v>
      </c>
      <c r="GV35" s="780" t="s">
        <v>368</v>
      </c>
      <c r="GW35" s="779">
        <v>22776024</v>
      </c>
      <c r="GX35" s="426">
        <f t="shared" si="52"/>
        <v>22776.024000000001</v>
      </c>
      <c r="HB35" s="782" t="s">
        <v>366</v>
      </c>
      <c r="HC35" s="764">
        <v>2554398667</v>
      </c>
      <c r="HD35" s="764">
        <v>2503502130</v>
      </c>
      <c r="HE35" s="764">
        <v>50896537</v>
      </c>
      <c r="HF35" s="764">
        <v>2503502130</v>
      </c>
      <c r="HG35" s="426">
        <f t="shared" si="53"/>
        <v>2554398.6669999999</v>
      </c>
      <c r="HH35" s="426">
        <f t="shared" si="54"/>
        <v>50896.536999999997</v>
      </c>
      <c r="HI35" s="426">
        <f t="shared" si="55"/>
        <v>2503502.13</v>
      </c>
      <c r="HJ35" s="426">
        <f t="shared" si="56"/>
        <v>50896.536999999997</v>
      </c>
      <c r="HK35" s="426">
        <f t="shared" si="57"/>
        <v>2503502.13</v>
      </c>
    </row>
    <row r="36" spans="1:219" ht="15" customHeight="1" x14ac:dyDescent="0.3">
      <c r="A36" s="287" t="s">
        <v>554</v>
      </c>
      <c r="B36" s="288" t="s">
        <v>571</v>
      </c>
      <c r="C36" s="289">
        <v>14155</v>
      </c>
      <c r="D36" s="290">
        <f t="shared" si="3"/>
        <v>15.046764999999999</v>
      </c>
      <c r="E36" s="289">
        <v>7160</v>
      </c>
      <c r="F36" s="289">
        <f t="shared" si="4"/>
        <v>7.6110799999999994</v>
      </c>
      <c r="J36" s="291" t="s">
        <v>553</v>
      </c>
      <c r="K36" s="292" t="s">
        <v>580</v>
      </c>
      <c r="L36" s="293">
        <v>0</v>
      </c>
      <c r="M36" s="293">
        <f t="shared" si="5"/>
        <v>0</v>
      </c>
      <c r="Q36" s="291" t="s">
        <v>554</v>
      </c>
      <c r="R36" s="292" t="s">
        <v>571</v>
      </c>
      <c r="S36" s="293">
        <v>21315</v>
      </c>
      <c r="T36" s="293">
        <v>14320</v>
      </c>
      <c r="U36" s="293">
        <f t="shared" si="6"/>
        <v>22.657845000000002</v>
      </c>
      <c r="V36" s="293">
        <f t="shared" si="7"/>
        <v>15.222159999999999</v>
      </c>
      <c r="Z36" s="288" t="s">
        <v>574</v>
      </c>
      <c r="AA36" s="289">
        <v>317934373</v>
      </c>
      <c r="AB36" s="289">
        <f t="shared" si="8"/>
        <v>337964.23849900003</v>
      </c>
      <c r="AF36" s="288" t="s">
        <v>571</v>
      </c>
      <c r="AG36" s="289">
        <v>21480</v>
      </c>
      <c r="AH36" s="289">
        <f t="shared" si="59"/>
        <v>22.83324</v>
      </c>
      <c r="AI36" s="289">
        <v>21480</v>
      </c>
      <c r="AL36" s="426"/>
      <c r="AN36" s="423" t="s">
        <v>554</v>
      </c>
      <c r="AO36" s="424" t="s">
        <v>574</v>
      </c>
      <c r="AP36" s="425">
        <v>309042106</v>
      </c>
      <c r="AQ36" s="425">
        <f t="shared" si="9"/>
        <v>328511.75867800001</v>
      </c>
      <c r="AU36" s="423" t="s">
        <v>554</v>
      </c>
      <c r="AV36" s="424" t="s">
        <v>571</v>
      </c>
      <c r="AW36" s="425">
        <v>21480</v>
      </c>
      <c r="AX36" s="425">
        <v>21480</v>
      </c>
      <c r="AY36" s="425">
        <v>0</v>
      </c>
      <c r="AZ36" s="426">
        <f t="shared" si="10"/>
        <v>22.83324</v>
      </c>
      <c r="BA36" s="426">
        <f t="shared" si="11"/>
        <v>22.83324</v>
      </c>
      <c r="BB36" s="426">
        <f t="shared" si="12"/>
        <v>0</v>
      </c>
      <c r="BF36" s="423" t="s">
        <v>554</v>
      </c>
      <c r="BG36" s="424" t="s">
        <v>370</v>
      </c>
      <c r="BH36" s="425">
        <v>581372</v>
      </c>
      <c r="BI36" s="426">
        <f t="shared" si="13"/>
        <v>617.99843599999997</v>
      </c>
      <c r="BM36" s="427" t="s">
        <v>554</v>
      </c>
      <c r="BN36" s="93" t="s">
        <v>571</v>
      </c>
      <c r="BO36" s="94">
        <v>0</v>
      </c>
      <c r="BP36" s="94">
        <v>21480</v>
      </c>
      <c r="BQ36" s="94">
        <v>21480</v>
      </c>
      <c r="BR36" s="94">
        <v>0</v>
      </c>
      <c r="BS36" s="94">
        <v>21480</v>
      </c>
      <c r="BT36" s="426">
        <f t="shared" si="14"/>
        <v>22.83324</v>
      </c>
      <c r="BU36" s="426">
        <f t="shared" si="15"/>
        <v>22.83324</v>
      </c>
      <c r="BV36" s="426">
        <f t="shared" si="16"/>
        <v>0</v>
      </c>
      <c r="BW36" s="426">
        <f t="shared" si="17"/>
        <v>22.83324</v>
      </c>
      <c r="CA36" s="93" t="s">
        <v>573</v>
      </c>
      <c r="CB36" s="426">
        <v>212418143</v>
      </c>
      <c r="CC36" s="426">
        <f t="shared" si="18"/>
        <v>225800.48600899999</v>
      </c>
      <c r="CG36" s="424" t="s">
        <v>368</v>
      </c>
      <c r="CH36" s="425">
        <v>0</v>
      </c>
      <c r="CI36" s="425">
        <v>217979625</v>
      </c>
      <c r="CJ36" s="425">
        <v>-217979625</v>
      </c>
      <c r="CK36" s="425">
        <v>115988391</v>
      </c>
      <c r="CL36" s="425">
        <v>101991234</v>
      </c>
      <c r="CM36" s="425">
        <v>115988391</v>
      </c>
      <c r="CN36" s="425">
        <f t="shared" si="19"/>
        <v>231712.34137499999</v>
      </c>
      <c r="CO36" s="425">
        <f t="shared" si="20"/>
        <v>123295.659633</v>
      </c>
      <c r="CP36" s="425">
        <f t="shared" si="21"/>
        <v>108416.68174199999</v>
      </c>
      <c r="CQ36" s="425">
        <f t="shared" si="22"/>
        <v>123295.659633</v>
      </c>
      <c r="CU36" s="424" t="s">
        <v>575</v>
      </c>
      <c r="CV36" s="425">
        <v>465616</v>
      </c>
      <c r="CW36" s="425">
        <v>465616</v>
      </c>
      <c r="CX36" s="426">
        <f t="shared" si="23"/>
        <v>494.94980799999996</v>
      </c>
      <c r="CY36" s="426">
        <f t="shared" si="24"/>
        <v>494.94980799999996</v>
      </c>
      <c r="DB36" s="568" t="s">
        <v>368</v>
      </c>
      <c r="DC36" s="569">
        <v>217979625</v>
      </c>
      <c r="DD36" s="569">
        <v>136406429</v>
      </c>
      <c r="DE36" s="569">
        <v>81573196</v>
      </c>
      <c r="DF36" s="569">
        <v>136406429</v>
      </c>
      <c r="DG36" s="570">
        <f t="shared" si="25"/>
        <v>231712.34137499999</v>
      </c>
      <c r="DH36" s="570">
        <f t="shared" si="26"/>
        <v>145000.03402699999</v>
      </c>
      <c r="DI36" s="570">
        <f t="shared" si="27"/>
        <v>86712.307347999988</v>
      </c>
      <c r="DJ36" s="570">
        <f t="shared" si="28"/>
        <v>145000.03402699999</v>
      </c>
      <c r="DN36" s="93" t="s">
        <v>580</v>
      </c>
      <c r="DO36" s="93">
        <v>94374</v>
      </c>
      <c r="DP36" s="93">
        <v>94374</v>
      </c>
      <c r="DQ36" s="626">
        <f t="shared" si="29"/>
        <v>100.31956199999999</v>
      </c>
      <c r="DR36" s="626">
        <f t="shared" si="30"/>
        <v>100.31956199999999</v>
      </c>
      <c r="DV36" s="93" t="s">
        <v>368</v>
      </c>
      <c r="DW36" s="94">
        <v>217979625</v>
      </c>
      <c r="DX36" s="94">
        <v>156949115</v>
      </c>
      <c r="DY36" s="94">
        <v>61030510</v>
      </c>
      <c r="DZ36" s="94">
        <v>156949115</v>
      </c>
      <c r="EA36" s="94">
        <f t="shared" si="58"/>
        <v>231712.34137499999</v>
      </c>
      <c r="EB36" s="94">
        <f t="shared" si="31"/>
        <v>166836.90924499999</v>
      </c>
      <c r="EC36" s="94">
        <f t="shared" si="32"/>
        <v>64875.432130000001</v>
      </c>
      <c r="ED36" s="94">
        <f t="shared" si="33"/>
        <v>166836.90924499999</v>
      </c>
      <c r="EH36" s="420" t="s">
        <v>576</v>
      </c>
      <c r="EI36" s="420">
        <v>11290391</v>
      </c>
      <c r="EJ36" s="426">
        <f t="shared" si="34"/>
        <v>12001.685632999999</v>
      </c>
      <c r="EN36" s="420" t="s">
        <v>368</v>
      </c>
      <c r="EO36" s="426">
        <v>217979625</v>
      </c>
      <c r="EP36" s="426">
        <v>177367153</v>
      </c>
      <c r="EQ36" s="426">
        <v>40612472</v>
      </c>
      <c r="ER36" s="426">
        <v>177367153</v>
      </c>
      <c r="ES36" s="700">
        <f t="shared" si="35"/>
        <v>231712.34137499999</v>
      </c>
      <c r="ET36" s="700">
        <f t="shared" si="36"/>
        <v>188541.28363899997</v>
      </c>
      <c r="EU36" s="700">
        <f t="shared" si="37"/>
        <v>43171.057736000002</v>
      </c>
      <c r="EV36" s="700">
        <f t="shared" si="38"/>
        <v>188541.28363899997</v>
      </c>
      <c r="EZ36" s="730" t="s">
        <v>554</v>
      </c>
      <c r="FA36" s="731" t="s">
        <v>576</v>
      </c>
      <c r="FB36" s="420">
        <v>0</v>
      </c>
      <c r="FC36" s="426">
        <f t="shared" si="39"/>
        <v>0</v>
      </c>
      <c r="FG36" s="735" t="s">
        <v>554</v>
      </c>
      <c r="FH36" s="734" t="s">
        <v>368</v>
      </c>
      <c r="FI36" s="732">
        <v>217979625</v>
      </c>
      <c r="FJ36" s="733">
        <v>197785191</v>
      </c>
      <c r="FK36" s="733">
        <v>20194434</v>
      </c>
      <c r="FL36" s="733">
        <v>197785191</v>
      </c>
      <c r="FM36" s="426">
        <f t="shared" si="40"/>
        <v>217979.625</v>
      </c>
      <c r="FN36" s="426">
        <f t="shared" si="41"/>
        <v>197785.19099999999</v>
      </c>
      <c r="FO36" s="426">
        <f t="shared" si="42"/>
        <v>20194.434000000001</v>
      </c>
      <c r="FP36" s="426">
        <f t="shared" si="43"/>
        <v>197785.19099999999</v>
      </c>
      <c r="FT36" s="427" t="s">
        <v>554</v>
      </c>
      <c r="FU36" s="93" t="s">
        <v>575</v>
      </c>
      <c r="FV36" s="94">
        <v>0</v>
      </c>
      <c r="FW36" s="94">
        <v>0</v>
      </c>
      <c r="FX36" s="94">
        <v>0</v>
      </c>
      <c r="FY36" s="426">
        <f t="shared" si="44"/>
        <v>0</v>
      </c>
      <c r="FZ36" s="426">
        <f t="shared" si="45"/>
        <v>0</v>
      </c>
      <c r="GA36" s="426">
        <f t="shared" si="46"/>
        <v>0</v>
      </c>
      <c r="GG36" s="762" t="s">
        <v>554</v>
      </c>
      <c r="GH36" s="763" t="s">
        <v>368</v>
      </c>
      <c r="GI36" s="764">
        <v>238621267</v>
      </c>
      <c r="GJ36" s="764">
        <v>218203229</v>
      </c>
      <c r="GK36" s="764">
        <v>20418038</v>
      </c>
      <c r="GL36" s="764">
        <v>218203229</v>
      </c>
      <c r="GM36" s="764">
        <v>0</v>
      </c>
      <c r="GN36" s="426">
        <f t="shared" si="47"/>
        <v>238621.26699999999</v>
      </c>
      <c r="GO36" s="426">
        <f t="shared" si="48"/>
        <v>218203.22899999999</v>
      </c>
      <c r="GP36" s="426">
        <f t="shared" si="49"/>
        <v>20418.038</v>
      </c>
      <c r="GQ36" s="426">
        <f t="shared" si="50"/>
        <v>218203.22899999999</v>
      </c>
      <c r="GR36" s="426">
        <f t="shared" si="51"/>
        <v>0</v>
      </c>
      <c r="GV36" s="780" t="s">
        <v>572</v>
      </c>
      <c r="GW36" s="779">
        <v>10059639</v>
      </c>
      <c r="GX36" s="426">
        <f t="shared" si="52"/>
        <v>10059.638999999999</v>
      </c>
      <c r="HB36" s="782" t="s">
        <v>570</v>
      </c>
      <c r="HC36" s="764">
        <v>109952686</v>
      </c>
      <c r="HD36" s="764">
        <v>109943707</v>
      </c>
      <c r="HE36" s="764">
        <v>8979</v>
      </c>
      <c r="HF36" s="764">
        <v>109943707</v>
      </c>
      <c r="HG36" s="426">
        <f t="shared" si="53"/>
        <v>109952.686</v>
      </c>
      <c r="HH36" s="426">
        <f t="shared" si="54"/>
        <v>8.9789999999999992</v>
      </c>
      <c r="HI36" s="426">
        <f t="shared" si="55"/>
        <v>109943.70699999999</v>
      </c>
      <c r="HJ36" s="426">
        <f t="shared" si="56"/>
        <v>8.9789999999999992</v>
      </c>
      <c r="HK36" s="426">
        <f t="shared" si="57"/>
        <v>109943.70699999999</v>
      </c>
    </row>
    <row r="37" spans="1:219" ht="15" customHeight="1" x14ac:dyDescent="0.3">
      <c r="A37" s="287" t="s">
        <v>554</v>
      </c>
      <c r="B37" s="288" t="s">
        <v>572</v>
      </c>
      <c r="C37" s="289">
        <v>125826456</v>
      </c>
      <c r="D37" s="290">
        <f t="shared" si="3"/>
        <v>133753.52272800001</v>
      </c>
      <c r="E37" s="289">
        <v>7217613</v>
      </c>
      <c r="F37" s="289">
        <f t="shared" si="4"/>
        <v>7672.3226189999996</v>
      </c>
      <c r="J37" s="291" t="s">
        <v>554</v>
      </c>
      <c r="K37" s="292" t="s">
        <v>581</v>
      </c>
      <c r="L37" s="293">
        <v>0</v>
      </c>
      <c r="M37" s="293">
        <f t="shared" si="5"/>
        <v>0</v>
      </c>
      <c r="Q37" s="291" t="s">
        <v>554</v>
      </c>
      <c r="R37" s="292" t="s">
        <v>572</v>
      </c>
      <c r="S37" s="293">
        <v>125819296</v>
      </c>
      <c r="T37" s="293">
        <v>14435226</v>
      </c>
      <c r="U37" s="293">
        <f t="shared" si="6"/>
        <v>133745.91164800001</v>
      </c>
      <c r="V37" s="293">
        <f t="shared" si="7"/>
        <v>15344.645237999999</v>
      </c>
      <c r="Z37" s="288" t="s">
        <v>575</v>
      </c>
      <c r="AA37" s="289">
        <v>301424543</v>
      </c>
      <c r="AB37" s="289">
        <f t="shared" si="8"/>
        <v>320414.28920900001</v>
      </c>
      <c r="AF37" s="288" t="s">
        <v>572</v>
      </c>
      <c r="AG37" s="289">
        <v>125819296</v>
      </c>
      <c r="AH37" s="289">
        <f t="shared" si="59"/>
        <v>133745.91164800001</v>
      </c>
      <c r="AI37" s="289">
        <v>21763653</v>
      </c>
      <c r="AL37" s="426"/>
      <c r="AN37" s="423" t="s">
        <v>554</v>
      </c>
      <c r="AO37" s="424" t="s">
        <v>575</v>
      </c>
      <c r="AP37" s="425">
        <v>729274</v>
      </c>
      <c r="AQ37" s="425">
        <f t="shared" si="9"/>
        <v>775.21826199999998</v>
      </c>
      <c r="AU37" s="423" t="s">
        <v>554</v>
      </c>
      <c r="AV37" s="424" t="s">
        <v>572</v>
      </c>
      <c r="AW37" s="425">
        <v>125819296</v>
      </c>
      <c r="AX37" s="425">
        <v>29062027</v>
      </c>
      <c r="AY37" s="425">
        <v>96757269</v>
      </c>
      <c r="AZ37" s="426">
        <f t="shared" si="10"/>
        <v>133745.91164800001</v>
      </c>
      <c r="BA37" s="426">
        <f t="shared" si="11"/>
        <v>30892.934700999998</v>
      </c>
      <c r="BB37" s="426">
        <f t="shared" si="12"/>
        <v>102852.97694699999</v>
      </c>
      <c r="BF37" s="423" t="s">
        <v>553</v>
      </c>
      <c r="BG37" s="424" t="s">
        <v>371</v>
      </c>
      <c r="BH37" s="425">
        <v>30398577</v>
      </c>
      <c r="BI37" s="426">
        <f t="shared" si="13"/>
        <v>32313.687351</v>
      </c>
      <c r="BM37" s="427" t="s">
        <v>554</v>
      </c>
      <c r="BN37" s="93" t="s">
        <v>572</v>
      </c>
      <c r="BO37" s="94">
        <v>0</v>
      </c>
      <c r="BP37" s="94">
        <v>125819296</v>
      </c>
      <c r="BQ37" s="94">
        <v>37425136</v>
      </c>
      <c r="BR37" s="94">
        <v>88394160</v>
      </c>
      <c r="BS37" s="94">
        <v>37425136</v>
      </c>
      <c r="BT37" s="426">
        <f t="shared" si="14"/>
        <v>133745.91164800001</v>
      </c>
      <c r="BU37" s="426">
        <f t="shared" si="15"/>
        <v>39782.919567999998</v>
      </c>
      <c r="BV37" s="426">
        <f t="shared" si="16"/>
        <v>93962.992079999996</v>
      </c>
      <c r="BW37" s="426">
        <f t="shared" si="17"/>
        <v>39782.919567999998</v>
      </c>
      <c r="CA37" s="93" t="s">
        <v>574</v>
      </c>
      <c r="CB37" s="426">
        <v>342753581</v>
      </c>
      <c r="CC37" s="426">
        <f t="shared" si="18"/>
        <v>364347.05660299998</v>
      </c>
      <c r="CG37" s="424" t="s">
        <v>571</v>
      </c>
      <c r="CH37" s="425">
        <v>0</v>
      </c>
      <c r="CI37" s="425">
        <v>21480</v>
      </c>
      <c r="CJ37" s="425">
        <v>-21480</v>
      </c>
      <c r="CK37" s="425">
        <v>21480</v>
      </c>
      <c r="CL37" s="425">
        <v>0</v>
      </c>
      <c r="CM37" s="425">
        <v>21480</v>
      </c>
      <c r="CN37" s="425">
        <f t="shared" si="19"/>
        <v>22.83324</v>
      </c>
      <c r="CO37" s="425">
        <f t="shared" si="20"/>
        <v>22.83324</v>
      </c>
      <c r="CP37" s="425">
        <f t="shared" si="21"/>
        <v>0</v>
      </c>
      <c r="CQ37" s="425">
        <f t="shared" si="22"/>
        <v>22.83324</v>
      </c>
      <c r="CU37" s="424" t="s">
        <v>576</v>
      </c>
      <c r="CV37" s="425">
        <v>70745</v>
      </c>
      <c r="CW37" s="425">
        <v>70745</v>
      </c>
      <c r="CX37" s="426">
        <f t="shared" si="23"/>
        <v>75.201935000000006</v>
      </c>
      <c r="CY37" s="426">
        <f t="shared" si="24"/>
        <v>75.201935000000006</v>
      </c>
      <c r="DB37" s="568" t="s">
        <v>571</v>
      </c>
      <c r="DC37" s="569">
        <v>21480</v>
      </c>
      <c r="DD37" s="569">
        <v>21480</v>
      </c>
      <c r="DE37" s="569">
        <v>0</v>
      </c>
      <c r="DF37" s="569">
        <v>21480</v>
      </c>
      <c r="DG37" s="570">
        <f t="shared" si="25"/>
        <v>22.83324</v>
      </c>
      <c r="DH37" s="570">
        <f t="shared" si="26"/>
        <v>22.83324</v>
      </c>
      <c r="DI37" s="570">
        <f t="shared" si="27"/>
        <v>0</v>
      </c>
      <c r="DJ37" s="570">
        <f t="shared" si="28"/>
        <v>22.83324</v>
      </c>
      <c r="DN37" s="93" t="s">
        <v>581</v>
      </c>
      <c r="DO37" s="93">
        <v>61053</v>
      </c>
      <c r="DP37" s="93">
        <v>61053</v>
      </c>
      <c r="DQ37" s="626">
        <f t="shared" si="29"/>
        <v>64.899338999999998</v>
      </c>
      <c r="DR37" s="626">
        <f t="shared" si="30"/>
        <v>64.899338999999998</v>
      </c>
      <c r="DV37" s="93" t="s">
        <v>571</v>
      </c>
      <c r="DW37" s="94">
        <v>21480</v>
      </c>
      <c r="DX37" s="94">
        <v>21480</v>
      </c>
      <c r="DY37" s="94">
        <v>0</v>
      </c>
      <c r="DZ37" s="94">
        <v>21480</v>
      </c>
      <c r="EA37" s="94">
        <f t="shared" si="58"/>
        <v>22.83324</v>
      </c>
      <c r="EB37" s="94">
        <f t="shared" si="31"/>
        <v>22.83324</v>
      </c>
      <c r="EC37" s="94">
        <f t="shared" si="32"/>
        <v>0</v>
      </c>
      <c r="ED37" s="94">
        <f t="shared" si="33"/>
        <v>22.83324</v>
      </c>
      <c r="EH37" s="420" t="s">
        <v>577</v>
      </c>
      <c r="EI37" s="420">
        <v>0</v>
      </c>
      <c r="EJ37" s="426">
        <f t="shared" si="34"/>
        <v>0</v>
      </c>
      <c r="EN37" s="420" t="s">
        <v>571</v>
      </c>
      <c r="EO37" s="426">
        <v>21480</v>
      </c>
      <c r="EP37" s="426">
        <v>21480</v>
      </c>
      <c r="EQ37" s="426">
        <v>0</v>
      </c>
      <c r="ER37" s="426">
        <v>21480</v>
      </c>
      <c r="ES37" s="700">
        <f t="shared" si="35"/>
        <v>22.83324</v>
      </c>
      <c r="ET37" s="700">
        <f t="shared" si="36"/>
        <v>22.83324</v>
      </c>
      <c r="EU37" s="700">
        <f t="shared" si="37"/>
        <v>0</v>
      </c>
      <c r="EV37" s="700">
        <f t="shared" si="38"/>
        <v>22.83324</v>
      </c>
      <c r="EZ37" s="730" t="s">
        <v>553</v>
      </c>
      <c r="FA37" s="731" t="s">
        <v>369</v>
      </c>
      <c r="FB37" s="420">
        <v>32707144</v>
      </c>
      <c r="FC37" s="426">
        <f t="shared" si="39"/>
        <v>32707.144</v>
      </c>
      <c r="FG37" s="735" t="s">
        <v>554</v>
      </c>
      <c r="FH37" s="734" t="s">
        <v>571</v>
      </c>
      <c r="FI37" s="732">
        <v>21480</v>
      </c>
      <c r="FJ37" s="733">
        <v>21480</v>
      </c>
      <c r="FK37" s="733">
        <v>0</v>
      </c>
      <c r="FL37" s="733">
        <v>21480</v>
      </c>
      <c r="FM37" s="426">
        <f t="shared" si="40"/>
        <v>21.48</v>
      </c>
      <c r="FN37" s="426">
        <f t="shared" si="41"/>
        <v>21.48</v>
      </c>
      <c r="FO37" s="426">
        <f t="shared" si="42"/>
        <v>0</v>
      </c>
      <c r="FP37" s="426">
        <f t="shared" si="43"/>
        <v>21.48</v>
      </c>
      <c r="FT37" s="427" t="s">
        <v>554</v>
      </c>
      <c r="FU37" s="93" t="s">
        <v>576</v>
      </c>
      <c r="FV37" s="94">
        <v>0</v>
      </c>
      <c r="FW37" s="94">
        <v>0</v>
      </c>
      <c r="FX37" s="94">
        <v>0</v>
      </c>
      <c r="FY37" s="426">
        <f t="shared" si="44"/>
        <v>0</v>
      </c>
      <c r="FZ37" s="426">
        <f t="shared" si="45"/>
        <v>0</v>
      </c>
      <c r="GA37" s="426">
        <f t="shared" si="46"/>
        <v>0</v>
      </c>
      <c r="GG37" s="762" t="s">
        <v>554</v>
      </c>
      <c r="GH37" s="763" t="s">
        <v>571</v>
      </c>
      <c r="GI37" s="764">
        <v>21480</v>
      </c>
      <c r="GJ37" s="764">
        <v>21480</v>
      </c>
      <c r="GK37" s="764">
        <v>0</v>
      </c>
      <c r="GL37" s="764">
        <v>21480</v>
      </c>
      <c r="GM37" s="764">
        <v>0</v>
      </c>
      <c r="GN37" s="426">
        <f t="shared" si="47"/>
        <v>21.48</v>
      </c>
      <c r="GO37" s="426">
        <f t="shared" si="48"/>
        <v>21.48</v>
      </c>
      <c r="GP37" s="426">
        <f t="shared" si="49"/>
        <v>0</v>
      </c>
      <c r="GQ37" s="426">
        <f t="shared" si="50"/>
        <v>21.48</v>
      </c>
      <c r="GR37" s="426">
        <f t="shared" si="51"/>
        <v>0</v>
      </c>
      <c r="GV37" s="780" t="s">
        <v>573</v>
      </c>
      <c r="GW37" s="779">
        <v>240157541</v>
      </c>
      <c r="GX37" s="426">
        <f t="shared" si="52"/>
        <v>240157.541</v>
      </c>
      <c r="HB37" s="782" t="s">
        <v>367</v>
      </c>
      <c r="HC37" s="764">
        <v>1729495787</v>
      </c>
      <c r="HD37" s="764">
        <v>1728820048</v>
      </c>
      <c r="HE37" s="764">
        <v>675739</v>
      </c>
      <c r="HF37" s="764">
        <v>1728820048</v>
      </c>
      <c r="HG37" s="426">
        <f t="shared" si="53"/>
        <v>1729495.787</v>
      </c>
      <c r="HH37" s="426">
        <f t="shared" si="54"/>
        <v>675.73900000000003</v>
      </c>
      <c r="HI37" s="426">
        <f t="shared" si="55"/>
        <v>1728820.048</v>
      </c>
      <c r="HJ37" s="426">
        <f t="shared" si="56"/>
        <v>675.73900000000003</v>
      </c>
      <c r="HK37" s="426">
        <f t="shared" si="57"/>
        <v>1728820.048</v>
      </c>
    </row>
    <row r="38" spans="1:219" ht="15" customHeight="1" x14ac:dyDescent="0.3">
      <c r="A38" s="287" t="s">
        <v>554</v>
      </c>
      <c r="B38" s="288" t="s">
        <v>573</v>
      </c>
      <c r="C38" s="289">
        <v>1749378898</v>
      </c>
      <c r="D38" s="290">
        <f t="shared" si="3"/>
        <v>1859589.7685739999</v>
      </c>
      <c r="E38" s="289">
        <v>135325125</v>
      </c>
      <c r="F38" s="289">
        <f t="shared" si="4"/>
        <v>143850.60787499999</v>
      </c>
      <c r="J38" s="291" t="s">
        <v>553</v>
      </c>
      <c r="K38" s="292" t="s">
        <v>371</v>
      </c>
      <c r="L38" s="293">
        <v>20101999</v>
      </c>
      <c r="M38" s="293">
        <f t="shared" si="5"/>
        <v>21368.424937</v>
      </c>
      <c r="Q38" s="291" t="s">
        <v>554</v>
      </c>
      <c r="R38" s="292" t="s">
        <v>573</v>
      </c>
      <c r="S38" s="293">
        <v>1749378898</v>
      </c>
      <c r="T38" s="293">
        <v>270421643</v>
      </c>
      <c r="U38" s="293">
        <f t="shared" si="6"/>
        <v>1859589.7685739999</v>
      </c>
      <c r="V38" s="293">
        <f t="shared" si="7"/>
        <v>287458.20650899998</v>
      </c>
      <c r="Z38" s="288" t="s">
        <v>576</v>
      </c>
      <c r="AA38" s="289">
        <v>10932783</v>
      </c>
      <c r="AB38" s="289">
        <f t="shared" si="8"/>
        <v>11621.548328999999</v>
      </c>
      <c r="AF38" s="288" t="s">
        <v>573</v>
      </c>
      <c r="AG38" s="289">
        <v>1749378898</v>
      </c>
      <c r="AH38" s="289">
        <f t="shared" si="59"/>
        <v>1859589.7685739999</v>
      </c>
      <c r="AI38" s="289">
        <v>466999562</v>
      </c>
      <c r="AL38" s="426"/>
      <c r="AN38" s="423" t="s">
        <v>554</v>
      </c>
      <c r="AO38" s="424" t="s">
        <v>576</v>
      </c>
      <c r="AP38" s="425">
        <v>0</v>
      </c>
      <c r="AQ38" s="425">
        <f t="shared" si="9"/>
        <v>0</v>
      </c>
      <c r="AU38" s="423" t="s">
        <v>554</v>
      </c>
      <c r="AV38" s="424" t="s">
        <v>573</v>
      </c>
      <c r="AW38" s="425">
        <v>1749378898</v>
      </c>
      <c r="AX38" s="425">
        <v>597823999</v>
      </c>
      <c r="AY38" s="425">
        <v>1151554899</v>
      </c>
      <c r="AZ38" s="426">
        <f t="shared" si="10"/>
        <v>1859589.7685739999</v>
      </c>
      <c r="BA38" s="426">
        <f t="shared" si="11"/>
        <v>635486.91093699995</v>
      </c>
      <c r="BB38" s="426">
        <f t="shared" si="12"/>
        <v>1224102.8576369998</v>
      </c>
      <c r="BF38" s="423" t="s">
        <v>554</v>
      </c>
      <c r="BG38" s="424" t="s">
        <v>582</v>
      </c>
      <c r="BH38" s="425">
        <v>19906420</v>
      </c>
      <c r="BI38" s="426">
        <f t="shared" si="13"/>
        <v>21160.524459999997</v>
      </c>
      <c r="BM38" s="427" t="s">
        <v>554</v>
      </c>
      <c r="BN38" s="93" t="s">
        <v>573</v>
      </c>
      <c r="BO38" s="94">
        <v>0</v>
      </c>
      <c r="BP38" s="94">
        <v>1749378898</v>
      </c>
      <c r="BQ38" s="94">
        <v>737759992</v>
      </c>
      <c r="BR38" s="94">
        <v>1011618906</v>
      </c>
      <c r="BS38" s="94">
        <v>737759992</v>
      </c>
      <c r="BT38" s="426">
        <f t="shared" si="14"/>
        <v>1859589.7685739999</v>
      </c>
      <c r="BU38" s="426">
        <f t="shared" si="15"/>
        <v>784238.87149599998</v>
      </c>
      <c r="BV38" s="426">
        <f t="shared" si="16"/>
        <v>1075350.897078</v>
      </c>
      <c r="BW38" s="426">
        <f t="shared" si="17"/>
        <v>784238.87149599998</v>
      </c>
      <c r="CA38" s="93" t="s">
        <v>575</v>
      </c>
      <c r="CB38" s="426">
        <v>304938289</v>
      </c>
      <c r="CC38" s="426">
        <f t="shared" si="18"/>
        <v>324149.40120699996</v>
      </c>
      <c r="CG38" s="424" t="s">
        <v>572</v>
      </c>
      <c r="CH38" s="425">
        <v>0</v>
      </c>
      <c r="CI38" s="425">
        <v>125819296</v>
      </c>
      <c r="CJ38" s="425">
        <v>-125819296</v>
      </c>
      <c r="CK38" s="425">
        <v>46657807</v>
      </c>
      <c r="CL38" s="425">
        <v>79161489</v>
      </c>
      <c r="CM38" s="425">
        <v>46657807</v>
      </c>
      <c r="CN38" s="425">
        <f t="shared" si="19"/>
        <v>133745.91164800001</v>
      </c>
      <c r="CO38" s="425">
        <f t="shared" si="20"/>
        <v>49597.248841000001</v>
      </c>
      <c r="CP38" s="425">
        <f t="shared" si="21"/>
        <v>84148.662807000001</v>
      </c>
      <c r="CQ38" s="425">
        <f t="shared" si="22"/>
        <v>49597.248841000001</v>
      </c>
      <c r="CU38" s="424" t="s">
        <v>577</v>
      </c>
      <c r="CV38" s="425">
        <v>132916</v>
      </c>
      <c r="CW38" s="425">
        <v>132916</v>
      </c>
      <c r="CX38" s="426">
        <f t="shared" si="23"/>
        <v>141.28970799999999</v>
      </c>
      <c r="CY38" s="426">
        <f t="shared" si="24"/>
        <v>141.28970799999999</v>
      </c>
      <c r="DB38" s="568" t="s">
        <v>572</v>
      </c>
      <c r="DC38" s="569">
        <v>125819296</v>
      </c>
      <c r="DD38" s="569">
        <v>55680065</v>
      </c>
      <c r="DE38" s="569">
        <v>70139231</v>
      </c>
      <c r="DF38" s="569">
        <v>55680065</v>
      </c>
      <c r="DG38" s="570">
        <f t="shared" si="25"/>
        <v>133745.91164800001</v>
      </c>
      <c r="DH38" s="570">
        <f t="shared" si="26"/>
        <v>59187.909095000003</v>
      </c>
      <c r="DI38" s="570">
        <f t="shared" si="27"/>
        <v>74558.002552999998</v>
      </c>
      <c r="DJ38" s="570">
        <f t="shared" si="28"/>
        <v>59187.909095000003</v>
      </c>
      <c r="DN38" s="93" t="s">
        <v>370</v>
      </c>
      <c r="DO38" s="93">
        <v>33321</v>
      </c>
      <c r="DP38" s="93">
        <v>33321</v>
      </c>
      <c r="DQ38" s="626">
        <f t="shared" si="29"/>
        <v>35.420222999999993</v>
      </c>
      <c r="DR38" s="626">
        <f t="shared" si="30"/>
        <v>35.420222999999993</v>
      </c>
      <c r="DV38" s="93" t="s">
        <v>572</v>
      </c>
      <c r="DW38" s="94">
        <v>125819296</v>
      </c>
      <c r="DX38" s="94">
        <v>64888720</v>
      </c>
      <c r="DY38" s="94">
        <v>60930576</v>
      </c>
      <c r="DZ38" s="94">
        <v>64888720</v>
      </c>
      <c r="EA38" s="94">
        <f t="shared" si="58"/>
        <v>133745.91164800001</v>
      </c>
      <c r="EB38" s="94">
        <f t="shared" si="31"/>
        <v>68976.709359999993</v>
      </c>
      <c r="EC38" s="94">
        <f t="shared" si="32"/>
        <v>64769.202288</v>
      </c>
      <c r="ED38" s="94">
        <f t="shared" si="33"/>
        <v>68976.709359999993</v>
      </c>
      <c r="EH38" s="420" t="s">
        <v>369</v>
      </c>
      <c r="EI38" s="420">
        <v>51078912</v>
      </c>
      <c r="EJ38" s="426">
        <f t="shared" si="34"/>
        <v>54296.883455999996</v>
      </c>
      <c r="EN38" s="420" t="s">
        <v>572</v>
      </c>
      <c r="EO38" s="426">
        <v>125819296</v>
      </c>
      <c r="EP38" s="426">
        <v>74222115</v>
      </c>
      <c r="EQ38" s="426">
        <v>51597181</v>
      </c>
      <c r="ER38" s="426">
        <v>74222115</v>
      </c>
      <c r="ES38" s="700">
        <f t="shared" si="35"/>
        <v>133745.91164800001</v>
      </c>
      <c r="ET38" s="700">
        <f t="shared" si="36"/>
        <v>78898.108244999996</v>
      </c>
      <c r="EU38" s="700">
        <f t="shared" si="37"/>
        <v>54847.803402999991</v>
      </c>
      <c r="EV38" s="700">
        <f t="shared" si="38"/>
        <v>78898.108244999996</v>
      </c>
      <c r="EZ38" s="730" t="s">
        <v>554</v>
      </c>
      <c r="FA38" s="731" t="s">
        <v>579</v>
      </c>
      <c r="FB38" s="420">
        <v>32707144</v>
      </c>
      <c r="FC38" s="426">
        <f t="shared" si="39"/>
        <v>32707.144</v>
      </c>
      <c r="FG38" s="735" t="s">
        <v>554</v>
      </c>
      <c r="FH38" s="734" t="s">
        <v>572</v>
      </c>
      <c r="FI38" s="732">
        <v>125819296</v>
      </c>
      <c r="FJ38" s="733">
        <v>84223453</v>
      </c>
      <c r="FK38" s="733">
        <v>41595843</v>
      </c>
      <c r="FL38" s="733">
        <v>84223453</v>
      </c>
      <c r="FM38" s="426">
        <f t="shared" si="40"/>
        <v>125819.296</v>
      </c>
      <c r="FN38" s="426">
        <f t="shared" si="41"/>
        <v>84223.452999999994</v>
      </c>
      <c r="FO38" s="426">
        <f t="shared" si="42"/>
        <v>41595.843000000001</v>
      </c>
      <c r="FP38" s="426">
        <f t="shared" si="43"/>
        <v>84223.452999999994</v>
      </c>
      <c r="FT38" s="427" t="s">
        <v>553</v>
      </c>
      <c r="FU38" s="93" t="s">
        <v>369</v>
      </c>
      <c r="FV38" s="94">
        <v>0</v>
      </c>
      <c r="FW38" s="94">
        <v>42778239</v>
      </c>
      <c r="FX38" s="94">
        <v>42778239</v>
      </c>
      <c r="FY38" s="426">
        <f t="shared" si="44"/>
        <v>0</v>
      </c>
      <c r="FZ38" s="426">
        <f t="shared" si="45"/>
        <v>42778.239000000001</v>
      </c>
      <c r="GA38" s="426">
        <f t="shared" si="46"/>
        <v>42778.239000000001</v>
      </c>
      <c r="GG38" s="762" t="s">
        <v>554</v>
      </c>
      <c r="GH38" s="763" t="s">
        <v>572</v>
      </c>
      <c r="GI38" s="764">
        <v>125819296</v>
      </c>
      <c r="GJ38" s="764">
        <v>93614458</v>
      </c>
      <c r="GK38" s="764">
        <v>32204838</v>
      </c>
      <c r="GL38" s="764">
        <v>93614458</v>
      </c>
      <c r="GM38" s="764">
        <v>0</v>
      </c>
      <c r="GN38" s="426">
        <f t="shared" si="47"/>
        <v>125819.296</v>
      </c>
      <c r="GO38" s="426">
        <f t="shared" si="48"/>
        <v>93614.457999999999</v>
      </c>
      <c r="GP38" s="426">
        <f t="shared" si="49"/>
        <v>32204.838</v>
      </c>
      <c r="GQ38" s="426">
        <f t="shared" si="50"/>
        <v>93614.457999999999</v>
      </c>
      <c r="GR38" s="426">
        <f t="shared" si="51"/>
        <v>0</v>
      </c>
      <c r="GV38" s="780" t="s">
        <v>574</v>
      </c>
      <c r="GW38" s="779">
        <v>366425881</v>
      </c>
      <c r="GX38" s="426">
        <f t="shared" si="52"/>
        <v>366425.88099999999</v>
      </c>
      <c r="HB38" s="782" t="s">
        <v>368</v>
      </c>
      <c r="HC38" s="764">
        <v>241621267</v>
      </c>
      <c r="HD38" s="764">
        <v>240979253</v>
      </c>
      <c r="HE38" s="764">
        <v>642014</v>
      </c>
      <c r="HF38" s="764">
        <v>240979253</v>
      </c>
      <c r="HG38" s="426">
        <f t="shared" si="53"/>
        <v>241621.26699999999</v>
      </c>
      <c r="HH38" s="426">
        <f t="shared" si="54"/>
        <v>642.01400000000001</v>
      </c>
      <c r="HI38" s="426">
        <f t="shared" si="55"/>
        <v>240979.253</v>
      </c>
      <c r="HJ38" s="426">
        <f t="shared" si="56"/>
        <v>642.01400000000001</v>
      </c>
      <c r="HK38" s="426">
        <f t="shared" si="57"/>
        <v>240979.253</v>
      </c>
    </row>
    <row r="39" spans="1:219" ht="15" customHeight="1" x14ac:dyDescent="0.3">
      <c r="A39" s="287" t="s">
        <v>554</v>
      </c>
      <c r="B39" s="288" t="s">
        <v>574</v>
      </c>
      <c r="C39" s="289">
        <v>3576445195</v>
      </c>
      <c r="D39" s="290">
        <f t="shared" si="3"/>
        <v>3801761.2422849997</v>
      </c>
      <c r="E39" s="289">
        <v>321421249</v>
      </c>
      <c r="F39" s="289">
        <f t="shared" si="4"/>
        <v>341670.787687</v>
      </c>
      <c r="J39" s="291" t="s">
        <v>554</v>
      </c>
      <c r="K39" s="292" t="s">
        <v>582</v>
      </c>
      <c r="L39" s="293">
        <v>13339399</v>
      </c>
      <c r="M39" s="293">
        <f t="shared" si="5"/>
        <v>14179.781136999998</v>
      </c>
      <c r="Q39" s="291" t="s">
        <v>554</v>
      </c>
      <c r="R39" s="292" t="s">
        <v>574</v>
      </c>
      <c r="S39" s="293">
        <v>3576445195</v>
      </c>
      <c r="T39" s="293">
        <v>642197796</v>
      </c>
      <c r="U39" s="293">
        <f t="shared" si="6"/>
        <v>3801761.2422849997</v>
      </c>
      <c r="V39" s="293">
        <f t="shared" si="7"/>
        <v>682656.25714799995</v>
      </c>
      <c r="Z39" s="288" t="s">
        <v>577</v>
      </c>
      <c r="AA39" s="289">
        <v>284820</v>
      </c>
      <c r="AB39" s="289">
        <f t="shared" si="8"/>
        <v>302.76365999999996</v>
      </c>
      <c r="AF39" s="288" t="s">
        <v>574</v>
      </c>
      <c r="AG39" s="289">
        <v>3576445195</v>
      </c>
      <c r="AH39" s="289">
        <f t="shared" si="59"/>
        <v>3801761.2422849997</v>
      </c>
      <c r="AI39" s="289">
        <v>960132169</v>
      </c>
      <c r="AL39" s="426"/>
      <c r="AN39" s="423" t="s">
        <v>554</v>
      </c>
      <c r="AO39" s="424" t="s">
        <v>577</v>
      </c>
      <c r="AP39" s="425">
        <v>0</v>
      </c>
      <c r="AQ39" s="425">
        <f t="shared" si="9"/>
        <v>0</v>
      </c>
      <c r="AU39" s="423" t="s">
        <v>554</v>
      </c>
      <c r="AV39" s="424" t="s">
        <v>574</v>
      </c>
      <c r="AW39" s="425">
        <v>3576445195</v>
      </c>
      <c r="AX39" s="425">
        <v>1269174275</v>
      </c>
      <c r="AY39" s="425">
        <v>2307270920</v>
      </c>
      <c r="AZ39" s="426">
        <f t="shared" si="10"/>
        <v>3801761.2422849997</v>
      </c>
      <c r="BA39" s="426">
        <f t="shared" si="11"/>
        <v>1349132.2543249999</v>
      </c>
      <c r="BB39" s="426">
        <f t="shared" si="12"/>
        <v>2452628.9879599996</v>
      </c>
      <c r="BF39" s="423" t="s">
        <v>554</v>
      </c>
      <c r="BG39" s="424" t="s">
        <v>583</v>
      </c>
      <c r="BH39" s="425">
        <v>1633601</v>
      </c>
      <c r="BI39" s="426">
        <f t="shared" si="13"/>
        <v>1736.517863</v>
      </c>
      <c r="BM39" s="427" t="s">
        <v>554</v>
      </c>
      <c r="BN39" s="93" t="s">
        <v>574</v>
      </c>
      <c r="BO39" s="94">
        <v>0</v>
      </c>
      <c r="BP39" s="94">
        <v>3576445195</v>
      </c>
      <c r="BQ39" s="94">
        <v>1601321443</v>
      </c>
      <c r="BR39" s="94">
        <v>1975123752</v>
      </c>
      <c r="BS39" s="94">
        <v>1601321443</v>
      </c>
      <c r="BT39" s="426">
        <f t="shared" si="14"/>
        <v>3801761.2422849997</v>
      </c>
      <c r="BU39" s="426">
        <f t="shared" si="15"/>
        <v>1702204.6939089999</v>
      </c>
      <c r="BV39" s="426">
        <f t="shared" si="16"/>
        <v>2099556.548376</v>
      </c>
      <c r="BW39" s="426">
        <f t="shared" si="17"/>
        <v>1702204.6939089999</v>
      </c>
      <c r="CA39" s="93" t="s">
        <v>576</v>
      </c>
      <c r="CB39" s="426">
        <v>10443747</v>
      </c>
      <c r="CC39" s="426">
        <f t="shared" si="18"/>
        <v>11101.703060999998</v>
      </c>
      <c r="CG39" s="424" t="s">
        <v>573</v>
      </c>
      <c r="CH39" s="425">
        <v>0</v>
      </c>
      <c r="CI39" s="425">
        <v>1749378898</v>
      </c>
      <c r="CJ39" s="425">
        <v>-1749378898</v>
      </c>
      <c r="CK39" s="425">
        <v>950178135</v>
      </c>
      <c r="CL39" s="425">
        <v>799200763</v>
      </c>
      <c r="CM39" s="425">
        <v>950178135</v>
      </c>
      <c r="CN39" s="425">
        <f t="shared" si="19"/>
        <v>1859589.7685739999</v>
      </c>
      <c r="CO39" s="425">
        <f t="shared" si="20"/>
        <v>1010039.357505</v>
      </c>
      <c r="CP39" s="425">
        <f t="shared" si="21"/>
        <v>849550.41106900002</v>
      </c>
      <c r="CQ39" s="425">
        <f t="shared" si="22"/>
        <v>1010039.357505</v>
      </c>
      <c r="CU39" s="424" t="s">
        <v>369</v>
      </c>
      <c r="CV39" s="425">
        <v>37651099</v>
      </c>
      <c r="CW39" s="425">
        <v>37651099</v>
      </c>
      <c r="CX39" s="426">
        <f t="shared" si="23"/>
        <v>40023.118237000002</v>
      </c>
      <c r="CY39" s="426">
        <f t="shared" si="24"/>
        <v>40023.118237000002</v>
      </c>
      <c r="DB39" s="568" t="s">
        <v>573</v>
      </c>
      <c r="DC39" s="569">
        <v>1749378898</v>
      </c>
      <c r="DD39" s="569">
        <v>1088414331</v>
      </c>
      <c r="DE39" s="569">
        <v>660964567</v>
      </c>
      <c r="DF39" s="569">
        <v>1088414331</v>
      </c>
      <c r="DG39" s="570">
        <f t="shared" si="25"/>
        <v>1859589.7685739999</v>
      </c>
      <c r="DH39" s="570">
        <f t="shared" si="26"/>
        <v>1156984.4338529999</v>
      </c>
      <c r="DI39" s="570">
        <f t="shared" si="27"/>
        <v>702605.33472100005</v>
      </c>
      <c r="DJ39" s="570">
        <f t="shared" si="28"/>
        <v>1156984.4338529999</v>
      </c>
      <c r="DN39" s="93" t="s">
        <v>371</v>
      </c>
      <c r="DO39" s="93">
        <v>34889080</v>
      </c>
      <c r="DP39" s="93">
        <v>34889080</v>
      </c>
      <c r="DQ39" s="626">
        <f t="shared" si="29"/>
        <v>37087.092040000003</v>
      </c>
      <c r="DR39" s="626">
        <f t="shared" si="30"/>
        <v>37087.092040000003</v>
      </c>
      <c r="DV39" s="93" t="s">
        <v>573</v>
      </c>
      <c r="DW39" s="94">
        <v>1749378898</v>
      </c>
      <c r="DX39" s="94">
        <v>1227931430</v>
      </c>
      <c r="DY39" s="94">
        <v>521447468</v>
      </c>
      <c r="DZ39" s="94">
        <v>1227931430</v>
      </c>
      <c r="EA39" s="94">
        <f t="shared" si="58"/>
        <v>1859589.7685739999</v>
      </c>
      <c r="EB39" s="94">
        <f t="shared" si="31"/>
        <v>1305291.1100899999</v>
      </c>
      <c r="EC39" s="94">
        <f t="shared" si="32"/>
        <v>554298.65848400001</v>
      </c>
      <c r="ED39" s="94">
        <f t="shared" si="33"/>
        <v>1305291.1100899999</v>
      </c>
      <c r="EH39" s="420" t="s">
        <v>579</v>
      </c>
      <c r="EI39" s="420">
        <v>51078912</v>
      </c>
      <c r="EJ39" s="426">
        <f t="shared" si="34"/>
        <v>54296.883455999996</v>
      </c>
      <c r="EN39" s="420" t="s">
        <v>573</v>
      </c>
      <c r="EO39" s="426">
        <v>1749378898</v>
      </c>
      <c r="EP39" s="426">
        <v>1446867957</v>
      </c>
      <c r="EQ39" s="426">
        <v>302510941</v>
      </c>
      <c r="ER39" s="426">
        <v>1446867957</v>
      </c>
      <c r="ES39" s="700">
        <f t="shared" si="35"/>
        <v>1859589.7685739999</v>
      </c>
      <c r="ET39" s="700">
        <f t="shared" si="36"/>
        <v>1538020.6382909999</v>
      </c>
      <c r="EU39" s="700">
        <f t="shared" si="37"/>
        <v>321569.13028299995</v>
      </c>
      <c r="EV39" s="700">
        <f t="shared" si="38"/>
        <v>1538020.6382909999</v>
      </c>
      <c r="EZ39" s="730" t="s">
        <v>553</v>
      </c>
      <c r="FA39" s="731" t="s">
        <v>580</v>
      </c>
      <c r="FB39" s="420">
        <v>67038</v>
      </c>
      <c r="FC39" s="426">
        <f t="shared" si="39"/>
        <v>67.037999999999997</v>
      </c>
      <c r="FG39" s="735" t="s">
        <v>554</v>
      </c>
      <c r="FH39" s="734" t="s">
        <v>573</v>
      </c>
      <c r="FI39" s="732">
        <v>1749378898</v>
      </c>
      <c r="FJ39" s="733">
        <v>1587910609</v>
      </c>
      <c r="FK39" s="733">
        <v>161468289</v>
      </c>
      <c r="FL39" s="733">
        <v>1587910609</v>
      </c>
      <c r="FM39" s="426">
        <f t="shared" si="40"/>
        <v>1749378.898</v>
      </c>
      <c r="FN39" s="426">
        <f t="shared" si="41"/>
        <v>1587910.6089999999</v>
      </c>
      <c r="FO39" s="426">
        <f t="shared" si="42"/>
        <v>161468.28899999999</v>
      </c>
      <c r="FP39" s="426">
        <f t="shared" si="43"/>
        <v>1587910.6089999999</v>
      </c>
      <c r="FT39" s="427" t="s">
        <v>554</v>
      </c>
      <c r="FU39" s="93" t="s">
        <v>578</v>
      </c>
      <c r="FV39" s="94">
        <v>0</v>
      </c>
      <c r="FW39" s="94">
        <v>10125830</v>
      </c>
      <c r="FX39" s="94">
        <v>10125830</v>
      </c>
      <c r="FY39" s="426">
        <f t="shared" si="44"/>
        <v>0</v>
      </c>
      <c r="FZ39" s="426">
        <f t="shared" si="45"/>
        <v>10125.83</v>
      </c>
      <c r="GA39" s="426">
        <f t="shared" si="46"/>
        <v>10125.83</v>
      </c>
      <c r="GG39" s="762" t="s">
        <v>554</v>
      </c>
      <c r="GH39" s="763" t="s">
        <v>573</v>
      </c>
      <c r="GI39" s="764">
        <v>1749378898</v>
      </c>
      <c r="GJ39" s="764">
        <v>1728664975</v>
      </c>
      <c r="GK39" s="764">
        <v>20713923</v>
      </c>
      <c r="GL39" s="764">
        <v>1728664975</v>
      </c>
      <c r="GM39" s="764">
        <v>0</v>
      </c>
      <c r="GN39" s="426">
        <f t="shared" si="47"/>
        <v>1749378.898</v>
      </c>
      <c r="GO39" s="426">
        <f t="shared" si="48"/>
        <v>1728664.9750000001</v>
      </c>
      <c r="GP39" s="426">
        <f t="shared" si="49"/>
        <v>20713.922999999999</v>
      </c>
      <c r="GQ39" s="426">
        <f t="shared" si="50"/>
        <v>1728664.9750000001</v>
      </c>
      <c r="GR39" s="426">
        <f t="shared" si="51"/>
        <v>0</v>
      </c>
      <c r="GV39" s="780" t="s">
        <v>575</v>
      </c>
      <c r="GW39" s="779">
        <v>323576971</v>
      </c>
      <c r="GX39" s="426">
        <f t="shared" si="52"/>
        <v>323576.97100000002</v>
      </c>
      <c r="HB39" s="782" t="s">
        <v>571</v>
      </c>
      <c r="HC39" s="764">
        <v>21480</v>
      </c>
      <c r="HD39" s="764">
        <v>21480</v>
      </c>
      <c r="HE39" s="764">
        <v>0</v>
      </c>
      <c r="HF39" s="764">
        <v>21480</v>
      </c>
      <c r="HG39" s="426">
        <f t="shared" si="53"/>
        <v>21.48</v>
      </c>
      <c r="HH39" s="426">
        <f t="shared" si="54"/>
        <v>0</v>
      </c>
      <c r="HI39" s="426">
        <f t="shared" si="55"/>
        <v>21.48</v>
      </c>
      <c r="HJ39" s="426">
        <f t="shared" si="56"/>
        <v>0</v>
      </c>
      <c r="HK39" s="426">
        <f t="shared" si="57"/>
        <v>21.48</v>
      </c>
    </row>
    <row r="40" spans="1:219" ht="15" customHeight="1" x14ac:dyDescent="0.3">
      <c r="A40" s="287" t="s">
        <v>554</v>
      </c>
      <c r="B40" s="288" t="s">
        <v>575</v>
      </c>
      <c r="C40" s="289">
        <v>1139191344</v>
      </c>
      <c r="D40" s="290">
        <f t="shared" si="3"/>
        <v>1210960.398672</v>
      </c>
      <c r="E40" s="289">
        <v>91579</v>
      </c>
      <c r="F40" s="289">
        <f t="shared" si="4"/>
        <v>97.348476999999988</v>
      </c>
      <c r="J40" s="291" t="s">
        <v>554</v>
      </c>
      <c r="K40" s="292" t="s">
        <v>583</v>
      </c>
      <c r="L40" s="293">
        <v>3094726</v>
      </c>
      <c r="M40" s="293">
        <f t="shared" si="5"/>
        <v>3289.6937379999999</v>
      </c>
      <c r="Q40" s="291" t="s">
        <v>554</v>
      </c>
      <c r="R40" s="292" t="s">
        <v>575</v>
      </c>
      <c r="S40" s="293">
        <v>1139191344</v>
      </c>
      <c r="T40" s="293">
        <v>91579</v>
      </c>
      <c r="U40" s="293">
        <f t="shared" si="6"/>
        <v>1210960.398672</v>
      </c>
      <c r="V40" s="293">
        <f t="shared" si="7"/>
        <v>97.348476999999988</v>
      </c>
      <c r="Z40" s="288" t="s">
        <v>369</v>
      </c>
      <c r="AA40" s="289">
        <v>53450758</v>
      </c>
      <c r="AB40" s="289">
        <f t="shared" si="8"/>
        <v>56818.155753999999</v>
      </c>
      <c r="AF40" s="288" t="s">
        <v>575</v>
      </c>
      <c r="AG40" s="289">
        <v>1139191344</v>
      </c>
      <c r="AH40" s="289">
        <f t="shared" si="59"/>
        <v>1210960.398672</v>
      </c>
      <c r="AI40" s="289">
        <v>301516122</v>
      </c>
      <c r="AL40" s="426"/>
      <c r="AN40" s="423" t="s">
        <v>553</v>
      </c>
      <c r="AO40" s="424" t="s">
        <v>369</v>
      </c>
      <c r="AP40" s="425">
        <v>32387383</v>
      </c>
      <c r="AQ40" s="425">
        <f t="shared" si="9"/>
        <v>34427.788129</v>
      </c>
      <c r="AU40" s="423" t="s">
        <v>554</v>
      </c>
      <c r="AV40" s="424" t="s">
        <v>575</v>
      </c>
      <c r="AW40" s="425">
        <v>1139191344</v>
      </c>
      <c r="AX40" s="425">
        <v>302245396</v>
      </c>
      <c r="AY40" s="425">
        <v>836945948</v>
      </c>
      <c r="AZ40" s="426">
        <f t="shared" si="10"/>
        <v>1210960.398672</v>
      </c>
      <c r="BA40" s="426">
        <f t="shared" si="11"/>
        <v>321286.85594799998</v>
      </c>
      <c r="BB40" s="426">
        <f t="shared" si="12"/>
        <v>889673.54272399994</v>
      </c>
      <c r="BF40" s="423" t="s">
        <v>554</v>
      </c>
      <c r="BG40" s="424" t="s">
        <v>624</v>
      </c>
      <c r="BH40" s="425">
        <v>8858556</v>
      </c>
      <c r="BI40" s="426">
        <f t="shared" si="13"/>
        <v>9416.6450280000008</v>
      </c>
      <c r="BM40" s="427" t="s">
        <v>554</v>
      </c>
      <c r="BN40" s="93" t="s">
        <v>575</v>
      </c>
      <c r="BO40" s="94">
        <v>0</v>
      </c>
      <c r="BP40" s="94">
        <v>1139191344</v>
      </c>
      <c r="BQ40" s="94">
        <v>303335470</v>
      </c>
      <c r="BR40" s="94">
        <v>835855874</v>
      </c>
      <c r="BS40" s="94">
        <v>303335470</v>
      </c>
      <c r="BT40" s="426">
        <f t="shared" si="14"/>
        <v>1210960.398672</v>
      </c>
      <c r="BU40" s="426">
        <f t="shared" si="15"/>
        <v>322445.60460999998</v>
      </c>
      <c r="BV40" s="426">
        <f t="shared" si="16"/>
        <v>888514.79406199988</v>
      </c>
      <c r="BW40" s="426">
        <f t="shared" si="17"/>
        <v>322445.60460999998</v>
      </c>
      <c r="CA40" s="93" t="s">
        <v>577</v>
      </c>
      <c r="CB40" s="426">
        <v>0</v>
      </c>
      <c r="CC40" s="426">
        <f t="shared" si="18"/>
        <v>0</v>
      </c>
      <c r="CG40" s="424" t="s">
        <v>574</v>
      </c>
      <c r="CH40" s="425">
        <v>0</v>
      </c>
      <c r="CI40" s="425">
        <v>3576445195</v>
      </c>
      <c r="CJ40" s="425">
        <v>-3576445195</v>
      </c>
      <c r="CK40" s="425">
        <v>1944075024</v>
      </c>
      <c r="CL40" s="425">
        <v>1632370171</v>
      </c>
      <c r="CM40" s="425">
        <v>1944075024</v>
      </c>
      <c r="CN40" s="425">
        <f t="shared" si="19"/>
        <v>3801761.2422849997</v>
      </c>
      <c r="CO40" s="425">
        <f t="shared" si="20"/>
        <v>2066551.7505119999</v>
      </c>
      <c r="CP40" s="425">
        <f t="shared" si="21"/>
        <v>1735209.491773</v>
      </c>
      <c r="CQ40" s="425">
        <f t="shared" si="22"/>
        <v>2066551.7505119999</v>
      </c>
      <c r="CU40" s="424" t="s">
        <v>578</v>
      </c>
      <c r="CV40" s="425">
        <v>3404700</v>
      </c>
      <c r="CW40" s="425">
        <v>3404700</v>
      </c>
      <c r="CX40" s="426">
        <f t="shared" si="23"/>
        <v>3619.1960999999997</v>
      </c>
      <c r="CY40" s="426">
        <f t="shared" si="24"/>
        <v>3619.1960999999997</v>
      </c>
      <c r="DB40" s="568" t="s">
        <v>574</v>
      </c>
      <c r="DC40" s="569">
        <v>3576445195</v>
      </c>
      <c r="DD40" s="569">
        <v>2271355605</v>
      </c>
      <c r="DE40" s="569">
        <v>1305089590</v>
      </c>
      <c r="DF40" s="569">
        <v>2271355605</v>
      </c>
      <c r="DG40" s="570">
        <f t="shared" si="25"/>
        <v>3801761.2422849997</v>
      </c>
      <c r="DH40" s="570">
        <f t="shared" si="26"/>
        <v>2414451.0081149996</v>
      </c>
      <c r="DI40" s="570">
        <f t="shared" si="27"/>
        <v>1387310.2341700001</v>
      </c>
      <c r="DJ40" s="570">
        <f t="shared" si="28"/>
        <v>2414451.0081149996</v>
      </c>
      <c r="DN40" s="93" t="s">
        <v>582</v>
      </c>
      <c r="DO40" s="93">
        <v>19656568</v>
      </c>
      <c r="DP40" s="93">
        <v>19656568</v>
      </c>
      <c r="DQ40" s="626">
        <f t="shared" si="29"/>
        <v>20894.931783999997</v>
      </c>
      <c r="DR40" s="626">
        <f t="shared" si="30"/>
        <v>20894.931783999997</v>
      </c>
      <c r="DV40" s="93" t="s">
        <v>574</v>
      </c>
      <c r="DW40" s="94">
        <v>3576445195</v>
      </c>
      <c r="DX40" s="94">
        <v>2602089753</v>
      </c>
      <c r="DY40" s="94">
        <v>974355442</v>
      </c>
      <c r="DZ40" s="94">
        <v>2602089753</v>
      </c>
      <c r="EA40" s="94">
        <f t="shared" si="58"/>
        <v>3801761.2422849997</v>
      </c>
      <c r="EB40" s="94">
        <f t="shared" si="31"/>
        <v>2766021.407439</v>
      </c>
      <c r="EC40" s="94">
        <f t="shared" si="32"/>
        <v>1035739.834846</v>
      </c>
      <c r="ED40" s="94">
        <f t="shared" si="33"/>
        <v>2766021.407439</v>
      </c>
      <c r="EH40" s="420" t="s">
        <v>580</v>
      </c>
      <c r="EI40" s="420">
        <v>286488700</v>
      </c>
      <c r="EJ40" s="426">
        <f t="shared" si="34"/>
        <v>304537.48810000002</v>
      </c>
      <c r="EN40" s="420" t="s">
        <v>574</v>
      </c>
      <c r="EO40" s="426">
        <v>3576445195</v>
      </c>
      <c r="EP40" s="426">
        <v>2934448195</v>
      </c>
      <c r="EQ40" s="426">
        <v>641997000</v>
      </c>
      <c r="ER40" s="426">
        <v>2934448195</v>
      </c>
      <c r="ES40" s="700">
        <f t="shared" si="35"/>
        <v>3801761.2422849997</v>
      </c>
      <c r="ET40" s="700">
        <f t="shared" si="36"/>
        <v>3119318.4312849995</v>
      </c>
      <c r="EU40" s="700">
        <f t="shared" si="37"/>
        <v>682442.81099999999</v>
      </c>
      <c r="EV40" s="700">
        <f t="shared" si="38"/>
        <v>3119318.4312849995</v>
      </c>
      <c r="EZ40" s="730" t="s">
        <v>554</v>
      </c>
      <c r="FA40" s="731" t="s">
        <v>581</v>
      </c>
      <c r="FB40" s="420">
        <v>67038</v>
      </c>
      <c r="FC40" s="426">
        <f t="shared" si="39"/>
        <v>67.037999999999997</v>
      </c>
      <c r="FG40" s="735" t="s">
        <v>554</v>
      </c>
      <c r="FH40" s="734" t="s">
        <v>574</v>
      </c>
      <c r="FI40" s="732">
        <v>3576445195</v>
      </c>
      <c r="FJ40" s="733">
        <v>3267495121</v>
      </c>
      <c r="FK40" s="733">
        <v>308950074</v>
      </c>
      <c r="FL40" s="733">
        <v>3267495121</v>
      </c>
      <c r="FM40" s="426">
        <f t="shared" si="40"/>
        <v>3576445.1949999998</v>
      </c>
      <c r="FN40" s="426">
        <f t="shared" si="41"/>
        <v>3267495.1209999998</v>
      </c>
      <c r="FO40" s="426">
        <f t="shared" si="42"/>
        <v>308950.07400000002</v>
      </c>
      <c r="FP40" s="426">
        <f t="shared" si="43"/>
        <v>3267495.1209999998</v>
      </c>
      <c r="FT40" s="427" t="s">
        <v>554</v>
      </c>
      <c r="FU40" s="93" t="s">
        <v>579</v>
      </c>
      <c r="FV40" s="94">
        <v>0</v>
      </c>
      <c r="FW40" s="94">
        <v>32652409</v>
      </c>
      <c r="FX40" s="94">
        <v>32652409</v>
      </c>
      <c r="FY40" s="426">
        <f t="shared" si="44"/>
        <v>0</v>
      </c>
      <c r="FZ40" s="426">
        <f t="shared" si="45"/>
        <v>32652.409</v>
      </c>
      <c r="GA40" s="426">
        <f t="shared" si="46"/>
        <v>32652.409</v>
      </c>
      <c r="GG40" s="762" t="s">
        <v>554</v>
      </c>
      <c r="GH40" s="763" t="s">
        <v>574</v>
      </c>
      <c r="GI40" s="764">
        <v>3933577623</v>
      </c>
      <c r="GJ40" s="764">
        <v>3600561013</v>
      </c>
      <c r="GK40" s="764">
        <v>333016610</v>
      </c>
      <c r="GL40" s="764">
        <v>3600561013</v>
      </c>
      <c r="GM40" s="764">
        <v>0</v>
      </c>
      <c r="GN40" s="426">
        <f t="shared" si="47"/>
        <v>3933577.6230000001</v>
      </c>
      <c r="GO40" s="426">
        <f t="shared" si="48"/>
        <v>3600561.0129999998</v>
      </c>
      <c r="GP40" s="426">
        <f t="shared" si="49"/>
        <v>333016.61</v>
      </c>
      <c r="GQ40" s="426">
        <f t="shared" si="50"/>
        <v>3600561.0129999998</v>
      </c>
      <c r="GR40" s="426">
        <f t="shared" si="51"/>
        <v>0</v>
      </c>
      <c r="GV40" s="780" t="s">
        <v>576</v>
      </c>
      <c r="GW40" s="779">
        <v>11249308</v>
      </c>
      <c r="GX40" s="426">
        <f t="shared" si="52"/>
        <v>11249.308000000001</v>
      </c>
      <c r="HB40" s="782" t="s">
        <v>572</v>
      </c>
      <c r="HC40" s="764">
        <v>125819296</v>
      </c>
      <c r="HD40" s="764">
        <v>103674097</v>
      </c>
      <c r="HE40" s="764">
        <v>22145199</v>
      </c>
      <c r="HF40" s="764">
        <v>103674097</v>
      </c>
      <c r="HG40" s="426">
        <f t="shared" si="53"/>
        <v>125819.296</v>
      </c>
      <c r="HH40" s="426">
        <f t="shared" si="54"/>
        <v>22145.199000000001</v>
      </c>
      <c r="HI40" s="426">
        <f t="shared" si="55"/>
        <v>103674.09699999999</v>
      </c>
      <c r="HJ40" s="426">
        <f t="shared" si="56"/>
        <v>22145.199000000001</v>
      </c>
      <c r="HK40" s="426">
        <f t="shared" si="57"/>
        <v>103674.09699999999</v>
      </c>
    </row>
    <row r="41" spans="1:219" ht="15" customHeight="1" x14ac:dyDescent="0.3">
      <c r="A41" s="287" t="s">
        <v>554</v>
      </c>
      <c r="B41" s="288" t="s">
        <v>576</v>
      </c>
      <c r="C41" s="289">
        <v>38891851</v>
      </c>
      <c r="D41" s="290">
        <f t="shared" si="3"/>
        <v>41342.037613</v>
      </c>
      <c r="E41" s="289">
        <v>0</v>
      </c>
      <c r="F41" s="289">
        <f t="shared" si="4"/>
        <v>0</v>
      </c>
      <c r="J41" s="291" t="s">
        <v>554</v>
      </c>
      <c r="K41" s="292" t="s">
        <v>624</v>
      </c>
      <c r="L41" s="293">
        <v>3667874</v>
      </c>
      <c r="M41" s="293">
        <f t="shared" si="5"/>
        <v>3898.9500619999994</v>
      </c>
      <c r="Q41" s="291" t="s">
        <v>554</v>
      </c>
      <c r="R41" s="292" t="s">
        <v>576</v>
      </c>
      <c r="S41" s="293">
        <v>38891851</v>
      </c>
      <c r="T41" s="293">
        <v>0</v>
      </c>
      <c r="U41" s="293">
        <f t="shared" si="6"/>
        <v>41342.037613</v>
      </c>
      <c r="V41" s="293">
        <f t="shared" si="7"/>
        <v>0</v>
      </c>
      <c r="Z41" s="288" t="s">
        <v>578</v>
      </c>
      <c r="AA41" s="289">
        <v>6885060</v>
      </c>
      <c r="AB41" s="289">
        <f t="shared" si="8"/>
        <v>7318.8187799999996</v>
      </c>
      <c r="AF41" s="288" t="s">
        <v>576</v>
      </c>
      <c r="AG41" s="289">
        <v>38891851</v>
      </c>
      <c r="AH41" s="289">
        <f t="shared" si="59"/>
        <v>41342.037613</v>
      </c>
      <c r="AI41" s="289">
        <v>10932783</v>
      </c>
      <c r="AL41" s="426"/>
      <c r="AN41" s="423" t="s">
        <v>554</v>
      </c>
      <c r="AO41" s="424" t="s">
        <v>578</v>
      </c>
      <c r="AP41" s="425">
        <v>0</v>
      </c>
      <c r="AQ41" s="425">
        <f t="shared" si="9"/>
        <v>0</v>
      </c>
      <c r="AU41" s="423" t="s">
        <v>554</v>
      </c>
      <c r="AV41" s="424" t="s">
        <v>576</v>
      </c>
      <c r="AW41" s="425">
        <v>38891851</v>
      </c>
      <c r="AX41" s="425">
        <v>10932783</v>
      </c>
      <c r="AY41" s="425">
        <v>27959068</v>
      </c>
      <c r="AZ41" s="426">
        <f t="shared" si="10"/>
        <v>41342.037613</v>
      </c>
      <c r="BA41" s="426">
        <f t="shared" si="11"/>
        <v>11621.548328999999</v>
      </c>
      <c r="BB41" s="426">
        <f t="shared" si="12"/>
        <v>29720.489283999999</v>
      </c>
      <c r="BF41" s="423" t="s">
        <v>355</v>
      </c>
      <c r="BG41" s="424" t="s">
        <v>375</v>
      </c>
      <c r="BH41" s="425">
        <v>102492003</v>
      </c>
      <c r="BI41" s="426">
        <f t="shared" si="13"/>
        <v>108948.99918899999</v>
      </c>
      <c r="BM41" s="427" t="s">
        <v>554</v>
      </c>
      <c r="BN41" s="93" t="s">
        <v>576</v>
      </c>
      <c r="BO41" s="94">
        <v>0</v>
      </c>
      <c r="BP41" s="94">
        <v>38891851</v>
      </c>
      <c r="BQ41" s="94">
        <v>10932783</v>
      </c>
      <c r="BR41" s="94">
        <v>27959068</v>
      </c>
      <c r="BS41" s="94">
        <v>10932783</v>
      </c>
      <c r="BT41" s="426">
        <f t="shared" si="14"/>
        <v>41342.037613</v>
      </c>
      <c r="BU41" s="426">
        <f t="shared" si="15"/>
        <v>11621.548328999999</v>
      </c>
      <c r="BV41" s="426">
        <f t="shared" si="16"/>
        <v>29720.489283999999</v>
      </c>
      <c r="BW41" s="426">
        <f t="shared" si="17"/>
        <v>11621.548328999999</v>
      </c>
      <c r="CA41" s="93" t="s">
        <v>369</v>
      </c>
      <c r="CB41" s="426">
        <v>54053942</v>
      </c>
      <c r="CC41" s="426">
        <f t="shared" si="18"/>
        <v>57459.340345999997</v>
      </c>
      <c r="CG41" s="424" t="s">
        <v>575</v>
      </c>
      <c r="CH41" s="425">
        <v>0</v>
      </c>
      <c r="CI41" s="425">
        <v>1139191344</v>
      </c>
      <c r="CJ41" s="425">
        <v>-1139191344</v>
      </c>
      <c r="CK41" s="425">
        <v>608273759</v>
      </c>
      <c r="CL41" s="425">
        <v>530917585</v>
      </c>
      <c r="CM41" s="425">
        <v>608273759</v>
      </c>
      <c r="CN41" s="425">
        <f t="shared" si="19"/>
        <v>1210960.398672</v>
      </c>
      <c r="CO41" s="425">
        <f t="shared" si="20"/>
        <v>646595.00581699994</v>
      </c>
      <c r="CP41" s="425">
        <f t="shared" si="21"/>
        <v>564365.39285499998</v>
      </c>
      <c r="CQ41" s="425">
        <f t="shared" si="22"/>
        <v>646595.00581699994</v>
      </c>
      <c r="CU41" s="424" t="s">
        <v>579</v>
      </c>
      <c r="CV41" s="425">
        <v>34246399</v>
      </c>
      <c r="CW41" s="425">
        <v>34246399</v>
      </c>
      <c r="CX41" s="426">
        <f t="shared" si="23"/>
        <v>36403.922136999994</v>
      </c>
      <c r="CY41" s="426">
        <f t="shared" si="24"/>
        <v>36403.922136999994</v>
      </c>
      <c r="DB41" s="568" t="s">
        <v>575</v>
      </c>
      <c r="DC41" s="569">
        <v>1139191344</v>
      </c>
      <c r="DD41" s="569">
        <v>608739375</v>
      </c>
      <c r="DE41" s="569">
        <v>530451969</v>
      </c>
      <c r="DF41" s="569">
        <v>608739375</v>
      </c>
      <c r="DG41" s="570">
        <f t="shared" si="25"/>
        <v>1210960.398672</v>
      </c>
      <c r="DH41" s="570">
        <f t="shared" si="26"/>
        <v>647089.95562499994</v>
      </c>
      <c r="DI41" s="570">
        <f t="shared" si="27"/>
        <v>563870.44304699998</v>
      </c>
      <c r="DJ41" s="570">
        <f t="shared" si="28"/>
        <v>647089.95562499994</v>
      </c>
      <c r="DN41" s="93" t="s">
        <v>583</v>
      </c>
      <c r="DO41" s="93">
        <v>5811770</v>
      </c>
      <c r="DP41" s="93">
        <v>5811770</v>
      </c>
      <c r="DQ41" s="626">
        <f t="shared" si="29"/>
        <v>6177.9115099999999</v>
      </c>
      <c r="DR41" s="626">
        <f t="shared" si="30"/>
        <v>6177.9115099999999</v>
      </c>
      <c r="DV41" s="93" t="s">
        <v>575</v>
      </c>
      <c r="DW41" s="94">
        <v>1139191344</v>
      </c>
      <c r="DX41" s="94">
        <v>608859877</v>
      </c>
      <c r="DY41" s="94">
        <v>530331467</v>
      </c>
      <c r="DZ41" s="94">
        <v>608859877</v>
      </c>
      <c r="EA41" s="94">
        <f t="shared" si="58"/>
        <v>1210960.398672</v>
      </c>
      <c r="EB41" s="94">
        <f t="shared" si="31"/>
        <v>647218.04925099993</v>
      </c>
      <c r="EC41" s="94">
        <f t="shared" si="32"/>
        <v>563742.34942099988</v>
      </c>
      <c r="ED41" s="94">
        <f t="shared" si="33"/>
        <v>647218.04925099993</v>
      </c>
      <c r="EH41" s="420" t="s">
        <v>581</v>
      </c>
      <c r="EI41" s="420">
        <v>157005137</v>
      </c>
      <c r="EJ41" s="426">
        <f t="shared" si="34"/>
        <v>166896.46063099997</v>
      </c>
      <c r="EN41" s="420" t="s">
        <v>575</v>
      </c>
      <c r="EO41" s="426">
        <v>1228330641</v>
      </c>
      <c r="EP41" s="426">
        <v>918738330</v>
      </c>
      <c r="EQ41" s="426">
        <v>309592311</v>
      </c>
      <c r="ER41" s="426">
        <v>918738330</v>
      </c>
      <c r="ES41" s="700">
        <f t="shared" si="35"/>
        <v>1305715.471383</v>
      </c>
      <c r="ET41" s="700">
        <f t="shared" si="36"/>
        <v>976618.84478999989</v>
      </c>
      <c r="EU41" s="700">
        <f t="shared" si="37"/>
        <v>329096.62659299996</v>
      </c>
      <c r="EV41" s="700">
        <f t="shared" si="38"/>
        <v>976618.84478999989</v>
      </c>
      <c r="EZ41" s="730" t="s">
        <v>554</v>
      </c>
      <c r="FA41" s="731" t="s">
        <v>370</v>
      </c>
      <c r="FB41" s="420">
        <v>0</v>
      </c>
      <c r="FC41" s="426">
        <f t="shared" si="39"/>
        <v>0</v>
      </c>
      <c r="FG41" s="735" t="s">
        <v>554</v>
      </c>
      <c r="FH41" s="734" t="s">
        <v>575</v>
      </c>
      <c r="FI41" s="732">
        <v>1228330641</v>
      </c>
      <c r="FJ41" s="733">
        <v>918870643</v>
      </c>
      <c r="FK41" s="733">
        <v>309459998</v>
      </c>
      <c r="FL41" s="733">
        <v>918870643</v>
      </c>
      <c r="FM41" s="426">
        <f t="shared" si="40"/>
        <v>1228330.6410000001</v>
      </c>
      <c r="FN41" s="426">
        <f t="shared" si="41"/>
        <v>918870.64300000004</v>
      </c>
      <c r="FO41" s="426">
        <f t="shared" si="42"/>
        <v>309459.99800000002</v>
      </c>
      <c r="FP41" s="426">
        <f t="shared" si="43"/>
        <v>918870.64300000004</v>
      </c>
      <c r="FT41" s="427" t="s">
        <v>553</v>
      </c>
      <c r="FU41" s="93" t="s">
        <v>580</v>
      </c>
      <c r="FV41" s="94">
        <v>0</v>
      </c>
      <c r="FW41" s="94">
        <v>0</v>
      </c>
      <c r="FX41" s="94">
        <v>0</v>
      </c>
      <c r="FY41" s="426">
        <f t="shared" si="44"/>
        <v>0</v>
      </c>
      <c r="FZ41" s="426">
        <f t="shared" si="45"/>
        <v>0</v>
      </c>
      <c r="GA41" s="426">
        <f t="shared" si="46"/>
        <v>0</v>
      </c>
      <c r="GG41" s="762" t="s">
        <v>554</v>
      </c>
      <c r="GH41" s="763" t="s">
        <v>575</v>
      </c>
      <c r="GI41" s="764">
        <v>1228330641</v>
      </c>
      <c r="GJ41" s="764">
        <v>918870643</v>
      </c>
      <c r="GK41" s="764">
        <v>309459998</v>
      </c>
      <c r="GL41" s="764">
        <v>918870643</v>
      </c>
      <c r="GM41" s="764">
        <v>0</v>
      </c>
      <c r="GN41" s="426">
        <f t="shared" si="47"/>
        <v>1228330.6410000001</v>
      </c>
      <c r="GO41" s="426">
        <f t="shared" si="48"/>
        <v>918870.64300000004</v>
      </c>
      <c r="GP41" s="426">
        <f t="shared" si="49"/>
        <v>309459.99800000002</v>
      </c>
      <c r="GQ41" s="426">
        <f t="shared" si="50"/>
        <v>918870.64300000004</v>
      </c>
      <c r="GR41" s="426">
        <f t="shared" si="51"/>
        <v>0</v>
      </c>
      <c r="GV41" s="780" t="s">
        <v>925</v>
      </c>
      <c r="GW41" s="779">
        <v>12672000</v>
      </c>
      <c r="GX41" s="426">
        <f t="shared" si="52"/>
        <v>12672</v>
      </c>
      <c r="HB41" s="782" t="s">
        <v>573</v>
      </c>
      <c r="HC41" s="764">
        <v>1970378898</v>
      </c>
      <c r="HD41" s="764">
        <v>1968822516</v>
      </c>
      <c r="HE41" s="764">
        <v>1556382</v>
      </c>
      <c r="HF41" s="764">
        <v>1968822516</v>
      </c>
      <c r="HG41" s="426">
        <f t="shared" si="53"/>
        <v>1970378.898</v>
      </c>
      <c r="HH41" s="426">
        <f t="shared" si="54"/>
        <v>1556.3820000000001</v>
      </c>
      <c r="HI41" s="426">
        <f t="shared" si="55"/>
        <v>1968822.5160000001</v>
      </c>
      <c r="HJ41" s="426">
        <f t="shared" si="56"/>
        <v>1556.3820000000001</v>
      </c>
      <c r="HK41" s="426">
        <f t="shared" si="57"/>
        <v>1968822.5160000001</v>
      </c>
    </row>
    <row r="42" spans="1:219" ht="15" customHeight="1" x14ac:dyDescent="0.3">
      <c r="A42" s="287" t="s">
        <v>554</v>
      </c>
      <c r="B42" s="288" t="s">
        <v>577</v>
      </c>
      <c r="C42" s="289">
        <v>84953684</v>
      </c>
      <c r="D42" s="290">
        <f t="shared" si="3"/>
        <v>90305.766091999991</v>
      </c>
      <c r="E42" s="289">
        <v>7034698</v>
      </c>
      <c r="F42" s="289">
        <f t="shared" si="4"/>
        <v>7477.8839740000003</v>
      </c>
      <c r="J42" s="291" t="s">
        <v>355</v>
      </c>
      <c r="K42" s="292" t="s">
        <v>375</v>
      </c>
      <c r="L42" s="293">
        <v>103998113</v>
      </c>
      <c r="M42" s="293">
        <f t="shared" si="5"/>
        <v>110549.994119</v>
      </c>
      <c r="Q42" s="291" t="s">
        <v>554</v>
      </c>
      <c r="R42" s="292" t="s">
        <v>577</v>
      </c>
      <c r="S42" s="293">
        <v>84953684</v>
      </c>
      <c r="T42" s="293">
        <v>14069396</v>
      </c>
      <c r="U42" s="293">
        <f t="shared" si="6"/>
        <v>90305.766091999991</v>
      </c>
      <c r="V42" s="293">
        <f t="shared" si="7"/>
        <v>14955.767948000001</v>
      </c>
      <c r="Z42" s="288" t="s">
        <v>579</v>
      </c>
      <c r="AA42" s="289">
        <v>46565698</v>
      </c>
      <c r="AB42" s="289">
        <f t="shared" si="8"/>
        <v>49499.336973999991</v>
      </c>
      <c r="AF42" s="288" t="s">
        <v>577</v>
      </c>
      <c r="AG42" s="289">
        <v>84953684</v>
      </c>
      <c r="AH42" s="289">
        <f t="shared" si="59"/>
        <v>90305.766091999991</v>
      </c>
      <c r="AI42" s="289">
        <v>14354216</v>
      </c>
      <c r="AL42" s="426"/>
      <c r="AN42" s="423" t="s">
        <v>554</v>
      </c>
      <c r="AO42" s="424" t="s">
        <v>579</v>
      </c>
      <c r="AP42" s="425">
        <v>32387383</v>
      </c>
      <c r="AQ42" s="425">
        <f t="shared" si="9"/>
        <v>34427.788129</v>
      </c>
      <c r="AU42" s="423" t="s">
        <v>554</v>
      </c>
      <c r="AV42" s="424" t="s">
        <v>577</v>
      </c>
      <c r="AW42" s="425">
        <v>84953684</v>
      </c>
      <c r="AX42" s="425">
        <v>14354216</v>
      </c>
      <c r="AY42" s="425">
        <v>70599468</v>
      </c>
      <c r="AZ42" s="426">
        <f t="shared" si="10"/>
        <v>90305.766091999991</v>
      </c>
      <c r="BA42" s="426">
        <f t="shared" si="11"/>
        <v>15258.531607999999</v>
      </c>
      <c r="BB42" s="426">
        <f t="shared" si="12"/>
        <v>75047.234483999986</v>
      </c>
      <c r="BF42" s="423" t="s">
        <v>553</v>
      </c>
      <c r="BG42" s="424" t="s">
        <v>584</v>
      </c>
      <c r="BH42" s="425">
        <v>102492003</v>
      </c>
      <c r="BI42" s="426">
        <f t="shared" si="13"/>
        <v>108948.99918899999</v>
      </c>
      <c r="BM42" s="427" t="s">
        <v>554</v>
      </c>
      <c r="BN42" s="93" t="s">
        <v>577</v>
      </c>
      <c r="BO42" s="94">
        <v>0</v>
      </c>
      <c r="BP42" s="94">
        <v>84953684</v>
      </c>
      <c r="BQ42" s="94">
        <v>14354216</v>
      </c>
      <c r="BR42" s="94">
        <v>70599468</v>
      </c>
      <c r="BS42" s="94">
        <v>14354216</v>
      </c>
      <c r="BT42" s="426">
        <f t="shared" si="14"/>
        <v>90305.766091999991</v>
      </c>
      <c r="BU42" s="426">
        <f t="shared" si="15"/>
        <v>15258.531607999999</v>
      </c>
      <c r="BV42" s="426">
        <f t="shared" si="16"/>
        <v>75047.234483999986</v>
      </c>
      <c r="BW42" s="426">
        <f t="shared" si="17"/>
        <v>15258.531607999999</v>
      </c>
      <c r="CA42" s="93" t="s">
        <v>578</v>
      </c>
      <c r="CB42" s="426">
        <v>3354260</v>
      </c>
      <c r="CC42" s="426">
        <f t="shared" si="18"/>
        <v>3565.5783799999999</v>
      </c>
      <c r="CG42" s="424" t="s">
        <v>576</v>
      </c>
      <c r="CH42" s="425">
        <v>0</v>
      </c>
      <c r="CI42" s="425">
        <v>38891851</v>
      </c>
      <c r="CJ42" s="425">
        <v>-38891851</v>
      </c>
      <c r="CK42" s="425">
        <v>21376530</v>
      </c>
      <c r="CL42" s="425">
        <v>17515321</v>
      </c>
      <c r="CM42" s="425">
        <v>21376530</v>
      </c>
      <c r="CN42" s="425">
        <f t="shared" si="19"/>
        <v>41342.037613</v>
      </c>
      <c r="CO42" s="425">
        <f t="shared" si="20"/>
        <v>22723.251389999998</v>
      </c>
      <c r="CP42" s="425">
        <f t="shared" si="21"/>
        <v>18618.786222999999</v>
      </c>
      <c r="CQ42" s="425">
        <f t="shared" si="22"/>
        <v>22723.251389999998</v>
      </c>
      <c r="CU42" s="424" t="s">
        <v>580</v>
      </c>
      <c r="CV42" s="425">
        <v>439720</v>
      </c>
      <c r="CW42" s="425">
        <v>439720</v>
      </c>
      <c r="CX42" s="426">
        <f t="shared" si="23"/>
        <v>467.42236000000003</v>
      </c>
      <c r="CY42" s="426">
        <f t="shared" si="24"/>
        <v>467.42236000000003</v>
      </c>
      <c r="DB42" s="568" t="s">
        <v>576</v>
      </c>
      <c r="DC42" s="569">
        <v>38891851</v>
      </c>
      <c r="DD42" s="569">
        <v>21447275</v>
      </c>
      <c r="DE42" s="569">
        <v>17444576</v>
      </c>
      <c r="DF42" s="569">
        <v>21447275</v>
      </c>
      <c r="DG42" s="570">
        <f t="shared" si="25"/>
        <v>41342.037613</v>
      </c>
      <c r="DH42" s="570">
        <f t="shared" si="26"/>
        <v>22798.453324999999</v>
      </c>
      <c r="DI42" s="570">
        <f t="shared" si="27"/>
        <v>18543.584288000002</v>
      </c>
      <c r="DJ42" s="570">
        <f t="shared" si="28"/>
        <v>22798.453324999999</v>
      </c>
      <c r="DN42" s="93" t="s">
        <v>624</v>
      </c>
      <c r="DO42" s="93">
        <v>9420742</v>
      </c>
      <c r="DP42" s="93">
        <v>9420742</v>
      </c>
      <c r="DQ42" s="626">
        <f t="shared" si="29"/>
        <v>10014.248745999999</v>
      </c>
      <c r="DR42" s="626">
        <f t="shared" si="30"/>
        <v>10014.248745999999</v>
      </c>
      <c r="DV42" s="93" t="s">
        <v>576</v>
      </c>
      <c r="DW42" s="94">
        <v>38891851</v>
      </c>
      <c r="DX42" s="94">
        <v>21447275</v>
      </c>
      <c r="DY42" s="94">
        <v>17444576</v>
      </c>
      <c r="DZ42" s="94">
        <v>21447275</v>
      </c>
      <c r="EA42" s="94">
        <f t="shared" si="58"/>
        <v>41342.037613</v>
      </c>
      <c r="EB42" s="94">
        <f t="shared" si="31"/>
        <v>22798.453324999999</v>
      </c>
      <c r="EC42" s="94">
        <f t="shared" si="32"/>
        <v>18543.584288000002</v>
      </c>
      <c r="ED42" s="94">
        <f t="shared" si="33"/>
        <v>22798.453324999999</v>
      </c>
      <c r="EH42" s="420" t="s">
        <v>370</v>
      </c>
      <c r="EI42" s="420">
        <v>129483563</v>
      </c>
      <c r="EJ42" s="426">
        <f t="shared" si="34"/>
        <v>137641.02746899999</v>
      </c>
      <c r="EN42" s="420" t="s">
        <v>576</v>
      </c>
      <c r="EO42" s="426">
        <v>43886567</v>
      </c>
      <c r="EP42" s="426">
        <v>32737666</v>
      </c>
      <c r="EQ42" s="426">
        <v>11148901</v>
      </c>
      <c r="ER42" s="426">
        <v>32737666</v>
      </c>
      <c r="ES42" s="700">
        <f t="shared" si="35"/>
        <v>46651.420721000002</v>
      </c>
      <c r="ET42" s="700">
        <f t="shared" si="36"/>
        <v>34800.138957999996</v>
      </c>
      <c r="EU42" s="700">
        <f t="shared" si="37"/>
        <v>11851.281762999999</v>
      </c>
      <c r="EV42" s="700">
        <f t="shared" si="38"/>
        <v>34800.138957999996</v>
      </c>
      <c r="EZ42" s="730" t="s">
        <v>553</v>
      </c>
      <c r="FA42" s="731" t="s">
        <v>371</v>
      </c>
      <c r="FB42" s="420">
        <v>31389476</v>
      </c>
      <c r="FC42" s="426">
        <f t="shared" si="39"/>
        <v>31389.475999999999</v>
      </c>
      <c r="FG42" s="735" t="s">
        <v>554</v>
      </c>
      <c r="FH42" s="734" t="s">
        <v>576</v>
      </c>
      <c r="FI42" s="732">
        <v>43886567</v>
      </c>
      <c r="FJ42" s="733">
        <v>32737666</v>
      </c>
      <c r="FK42" s="733">
        <v>11148901</v>
      </c>
      <c r="FL42" s="733">
        <v>32737666</v>
      </c>
      <c r="FM42" s="426">
        <f t="shared" si="40"/>
        <v>43886.567000000003</v>
      </c>
      <c r="FN42" s="426">
        <f t="shared" si="41"/>
        <v>32737.666000000001</v>
      </c>
      <c r="FO42" s="426">
        <f t="shared" si="42"/>
        <v>11148.901</v>
      </c>
      <c r="FP42" s="426">
        <f t="shared" si="43"/>
        <v>32737.666000000001</v>
      </c>
      <c r="FT42" s="427" t="s">
        <v>554</v>
      </c>
      <c r="FU42" s="93" t="s">
        <v>581</v>
      </c>
      <c r="FV42" s="94">
        <v>0</v>
      </c>
      <c r="FW42" s="94">
        <v>0</v>
      </c>
      <c r="FX42" s="94">
        <v>0</v>
      </c>
      <c r="FY42" s="426">
        <f t="shared" si="44"/>
        <v>0</v>
      </c>
      <c r="FZ42" s="426">
        <f t="shared" si="45"/>
        <v>0</v>
      </c>
      <c r="GA42" s="426">
        <f t="shared" si="46"/>
        <v>0</v>
      </c>
      <c r="GG42" s="762" t="s">
        <v>554</v>
      </c>
      <c r="GH42" s="763" t="s">
        <v>576</v>
      </c>
      <c r="GI42" s="764">
        <v>43886567</v>
      </c>
      <c r="GJ42" s="764">
        <v>32737666</v>
      </c>
      <c r="GK42" s="764">
        <v>11148901</v>
      </c>
      <c r="GL42" s="764">
        <v>32737666</v>
      </c>
      <c r="GM42" s="764">
        <v>0</v>
      </c>
      <c r="GN42" s="426">
        <f t="shared" si="47"/>
        <v>43886.567000000003</v>
      </c>
      <c r="GO42" s="426">
        <f t="shared" si="48"/>
        <v>32737.666000000001</v>
      </c>
      <c r="GP42" s="426">
        <f t="shared" si="49"/>
        <v>11148.901</v>
      </c>
      <c r="GQ42" s="426">
        <f t="shared" si="50"/>
        <v>32737.666000000001</v>
      </c>
      <c r="GR42" s="426">
        <f t="shared" si="51"/>
        <v>0</v>
      </c>
      <c r="GV42" s="780" t="s">
        <v>369</v>
      </c>
      <c r="GW42" s="779">
        <v>57546283</v>
      </c>
      <c r="GX42" s="426">
        <f t="shared" si="52"/>
        <v>57546.283000000003</v>
      </c>
      <c r="HB42" s="782" t="s">
        <v>574</v>
      </c>
      <c r="HC42" s="764">
        <v>3968577623</v>
      </c>
      <c r="HD42" s="764">
        <v>3966986894</v>
      </c>
      <c r="HE42" s="764">
        <v>1590729</v>
      </c>
      <c r="HF42" s="764">
        <v>3966986894</v>
      </c>
      <c r="HG42" s="426">
        <f t="shared" si="53"/>
        <v>3968577.6230000001</v>
      </c>
      <c r="HH42" s="426">
        <f t="shared" si="54"/>
        <v>1590.729</v>
      </c>
      <c r="HI42" s="426">
        <f t="shared" si="55"/>
        <v>3966986.8939999999</v>
      </c>
      <c r="HJ42" s="426">
        <f t="shared" si="56"/>
        <v>1590.729</v>
      </c>
      <c r="HK42" s="426">
        <f t="shared" si="57"/>
        <v>3966986.8939999999</v>
      </c>
    </row>
    <row r="43" spans="1:219" ht="15" customHeight="1" x14ac:dyDescent="0.3">
      <c r="A43" s="287" t="s">
        <v>553</v>
      </c>
      <c r="B43" s="288" t="s">
        <v>369</v>
      </c>
      <c r="C43" s="289">
        <v>486623343</v>
      </c>
      <c r="D43" s="290">
        <f t="shared" si="3"/>
        <v>517280.61360899999</v>
      </c>
      <c r="E43" s="289">
        <v>33076248</v>
      </c>
      <c r="F43" s="289">
        <f t="shared" si="4"/>
        <v>35160.051624</v>
      </c>
      <c r="J43" s="291" t="s">
        <v>553</v>
      </c>
      <c r="K43" s="292" t="s">
        <v>584</v>
      </c>
      <c r="L43" s="293">
        <v>100797976</v>
      </c>
      <c r="M43" s="293">
        <f t="shared" si="5"/>
        <v>107148.24848799998</v>
      </c>
      <c r="Q43" s="291" t="s">
        <v>553</v>
      </c>
      <c r="R43" s="292" t="s">
        <v>369</v>
      </c>
      <c r="S43" s="293">
        <v>486623343</v>
      </c>
      <c r="T43" s="293">
        <v>69537934</v>
      </c>
      <c r="U43" s="293">
        <f t="shared" si="6"/>
        <v>517280.61360899999</v>
      </c>
      <c r="V43" s="293">
        <f t="shared" si="7"/>
        <v>73918.823841999983</v>
      </c>
      <c r="Z43" s="288" t="s">
        <v>580</v>
      </c>
      <c r="AA43" s="289">
        <v>298394360</v>
      </c>
      <c r="AB43" s="289">
        <f t="shared" si="8"/>
        <v>317193.20467999997</v>
      </c>
      <c r="AF43" s="288" t="s">
        <v>369</v>
      </c>
      <c r="AG43" s="289">
        <v>486623343</v>
      </c>
      <c r="AH43" s="289">
        <f t="shared" si="59"/>
        <v>517280.61360899999</v>
      </c>
      <c r="AI43" s="289">
        <v>122988692</v>
      </c>
      <c r="AL43" s="426"/>
      <c r="AN43" s="423" t="s">
        <v>553</v>
      </c>
      <c r="AO43" s="424" t="s">
        <v>580</v>
      </c>
      <c r="AP43" s="425">
        <v>369498</v>
      </c>
      <c r="AQ43" s="425">
        <f t="shared" si="9"/>
        <v>392.77637399999998</v>
      </c>
      <c r="AU43" s="423" t="s">
        <v>553</v>
      </c>
      <c r="AV43" s="424" t="s">
        <v>369</v>
      </c>
      <c r="AW43" s="425">
        <v>486623343</v>
      </c>
      <c r="AX43" s="425">
        <v>155376075</v>
      </c>
      <c r="AY43" s="425">
        <v>331247268</v>
      </c>
      <c r="AZ43" s="426">
        <f t="shared" si="10"/>
        <v>517280.61360899999</v>
      </c>
      <c r="BA43" s="426">
        <f t="shared" si="11"/>
        <v>165164.76772500001</v>
      </c>
      <c r="BB43" s="426">
        <f t="shared" si="12"/>
        <v>352115.84588399995</v>
      </c>
      <c r="BF43" s="423" t="s">
        <v>554</v>
      </c>
      <c r="BG43" s="424" t="s">
        <v>585</v>
      </c>
      <c r="BH43" s="425">
        <v>100960182</v>
      </c>
      <c r="BI43" s="426">
        <f t="shared" si="13"/>
        <v>107320.67346599999</v>
      </c>
      <c r="BM43" s="427" t="s">
        <v>553</v>
      </c>
      <c r="BN43" s="93" t="s">
        <v>369</v>
      </c>
      <c r="BO43" s="94">
        <v>0</v>
      </c>
      <c r="BP43" s="94">
        <v>486623343</v>
      </c>
      <c r="BQ43" s="94">
        <v>193502519</v>
      </c>
      <c r="BR43" s="94">
        <v>293120824</v>
      </c>
      <c r="BS43" s="94">
        <v>193502519</v>
      </c>
      <c r="BT43" s="426">
        <f t="shared" si="14"/>
        <v>517280.61360899999</v>
      </c>
      <c r="BU43" s="426">
        <f t="shared" si="15"/>
        <v>205693.17769699998</v>
      </c>
      <c r="BV43" s="426">
        <f t="shared" si="16"/>
        <v>311587.43591200002</v>
      </c>
      <c r="BW43" s="426">
        <f t="shared" si="17"/>
        <v>205693.17769699998</v>
      </c>
      <c r="CA43" s="93" t="s">
        <v>579</v>
      </c>
      <c r="CB43" s="426">
        <v>50699682</v>
      </c>
      <c r="CC43" s="426">
        <f t="shared" si="18"/>
        <v>53893.761965999998</v>
      </c>
      <c r="CG43" s="424" t="s">
        <v>577</v>
      </c>
      <c r="CH43" s="425">
        <v>0</v>
      </c>
      <c r="CI43" s="425">
        <v>84953684</v>
      </c>
      <c r="CJ43" s="425">
        <v>-84953684</v>
      </c>
      <c r="CK43" s="425">
        <v>14354216</v>
      </c>
      <c r="CL43" s="425">
        <v>70599468</v>
      </c>
      <c r="CM43" s="425">
        <v>14354216</v>
      </c>
      <c r="CN43" s="425">
        <f t="shared" si="19"/>
        <v>90305.766091999991</v>
      </c>
      <c r="CO43" s="425">
        <f t="shared" si="20"/>
        <v>15258.531607999999</v>
      </c>
      <c r="CP43" s="425">
        <f t="shared" si="21"/>
        <v>75047.234483999986</v>
      </c>
      <c r="CQ43" s="425">
        <f t="shared" si="22"/>
        <v>15258.531607999999</v>
      </c>
      <c r="CU43" s="424" t="s">
        <v>581</v>
      </c>
      <c r="CV43" s="425">
        <v>235912</v>
      </c>
      <c r="CW43" s="425">
        <v>235912</v>
      </c>
      <c r="CX43" s="426">
        <f t="shared" si="23"/>
        <v>250.77445599999999</v>
      </c>
      <c r="CY43" s="426">
        <f t="shared" si="24"/>
        <v>250.77445599999999</v>
      </c>
      <c r="DB43" s="568" t="s">
        <v>577</v>
      </c>
      <c r="DC43" s="569">
        <v>84953684</v>
      </c>
      <c r="DD43" s="569">
        <v>14487132</v>
      </c>
      <c r="DE43" s="569">
        <v>70466552</v>
      </c>
      <c r="DF43" s="569">
        <v>14487132</v>
      </c>
      <c r="DG43" s="570">
        <f t="shared" si="25"/>
        <v>90305.766091999991</v>
      </c>
      <c r="DH43" s="570">
        <f t="shared" si="26"/>
        <v>15399.821316</v>
      </c>
      <c r="DI43" s="570">
        <f t="shared" si="27"/>
        <v>74905.944775999989</v>
      </c>
      <c r="DJ43" s="570">
        <f t="shared" si="28"/>
        <v>15399.821316</v>
      </c>
      <c r="DN43" s="93" t="s">
        <v>375</v>
      </c>
      <c r="DO43" s="93">
        <v>76785904</v>
      </c>
      <c r="DP43" s="93">
        <v>76785904</v>
      </c>
      <c r="DQ43" s="626">
        <f t="shared" si="29"/>
        <v>81623.415951999996</v>
      </c>
      <c r="DR43" s="626">
        <f t="shared" si="30"/>
        <v>81623.415951999996</v>
      </c>
      <c r="DV43" s="93" t="s">
        <v>577</v>
      </c>
      <c r="DW43" s="94">
        <v>84953684</v>
      </c>
      <c r="DX43" s="94">
        <v>14487132</v>
      </c>
      <c r="DY43" s="94">
        <v>70466552</v>
      </c>
      <c r="DZ43" s="94">
        <v>14487132</v>
      </c>
      <c r="EA43" s="94">
        <f t="shared" si="58"/>
        <v>90305.766091999991</v>
      </c>
      <c r="EB43" s="94">
        <f t="shared" si="31"/>
        <v>15399.821316</v>
      </c>
      <c r="EC43" s="94">
        <f t="shared" si="32"/>
        <v>74905.944775999989</v>
      </c>
      <c r="ED43" s="94">
        <f t="shared" si="33"/>
        <v>15399.821316</v>
      </c>
      <c r="EH43" s="420" t="s">
        <v>371</v>
      </c>
      <c r="EI43" s="420">
        <v>31094518</v>
      </c>
      <c r="EJ43" s="426">
        <f t="shared" si="34"/>
        <v>33053.472633999998</v>
      </c>
      <c r="EN43" s="420" t="s">
        <v>577</v>
      </c>
      <c r="EO43" s="426">
        <v>84953684</v>
      </c>
      <c r="EP43" s="426">
        <v>14487132</v>
      </c>
      <c r="EQ43" s="426">
        <v>70466552</v>
      </c>
      <c r="ER43" s="426">
        <v>14487132</v>
      </c>
      <c r="ES43" s="700">
        <f t="shared" si="35"/>
        <v>90305.766091999991</v>
      </c>
      <c r="ET43" s="700">
        <f t="shared" si="36"/>
        <v>15399.821316</v>
      </c>
      <c r="EU43" s="700">
        <f t="shared" si="37"/>
        <v>74905.944775999989</v>
      </c>
      <c r="EV43" s="700">
        <f t="shared" si="38"/>
        <v>15399.821316</v>
      </c>
      <c r="EZ43" s="730" t="s">
        <v>554</v>
      </c>
      <c r="FA43" s="731" t="s">
        <v>582</v>
      </c>
      <c r="FB43" s="420">
        <v>19537288</v>
      </c>
      <c r="FC43" s="426">
        <f t="shared" si="39"/>
        <v>19537.288</v>
      </c>
      <c r="FG43" s="735" t="s">
        <v>554</v>
      </c>
      <c r="FH43" s="734" t="s">
        <v>577</v>
      </c>
      <c r="FI43" s="732">
        <v>84953684</v>
      </c>
      <c r="FJ43" s="733">
        <v>14487132</v>
      </c>
      <c r="FK43" s="733">
        <v>70466552</v>
      </c>
      <c r="FL43" s="733">
        <v>14487132</v>
      </c>
      <c r="FM43" s="426">
        <f t="shared" si="40"/>
        <v>84953.683999999994</v>
      </c>
      <c r="FN43" s="426">
        <f t="shared" si="41"/>
        <v>14487.132</v>
      </c>
      <c r="FO43" s="426">
        <f t="shared" si="42"/>
        <v>70466.551999999996</v>
      </c>
      <c r="FP43" s="426">
        <f t="shared" si="43"/>
        <v>14487.132</v>
      </c>
      <c r="FT43" s="427" t="s">
        <v>554</v>
      </c>
      <c r="FU43" s="93" t="s">
        <v>370</v>
      </c>
      <c r="FV43" s="94">
        <v>0</v>
      </c>
      <c r="FW43" s="94">
        <v>0</v>
      </c>
      <c r="FX43" s="94">
        <v>0</v>
      </c>
      <c r="FY43" s="426">
        <f t="shared" si="44"/>
        <v>0</v>
      </c>
      <c r="FZ43" s="426">
        <f t="shared" si="45"/>
        <v>0</v>
      </c>
      <c r="GA43" s="426">
        <f t="shared" si="46"/>
        <v>0</v>
      </c>
      <c r="GG43" s="762" t="s">
        <v>554</v>
      </c>
      <c r="GH43" s="763" t="s">
        <v>577</v>
      </c>
      <c r="GI43" s="764">
        <v>84953684</v>
      </c>
      <c r="GJ43" s="764">
        <v>14487132</v>
      </c>
      <c r="GK43" s="764">
        <v>70466552</v>
      </c>
      <c r="GL43" s="764">
        <v>14487132</v>
      </c>
      <c r="GM43" s="764">
        <v>0</v>
      </c>
      <c r="GN43" s="426">
        <f t="shared" si="47"/>
        <v>84953.683999999994</v>
      </c>
      <c r="GO43" s="426">
        <f t="shared" si="48"/>
        <v>14487.132</v>
      </c>
      <c r="GP43" s="426">
        <f t="shared" si="49"/>
        <v>70466.551999999996</v>
      </c>
      <c r="GQ43" s="426">
        <f t="shared" si="50"/>
        <v>14487.132</v>
      </c>
      <c r="GR43" s="426">
        <f t="shared" si="51"/>
        <v>0</v>
      </c>
      <c r="GV43" s="780" t="s">
        <v>578</v>
      </c>
      <c r="GW43" s="779">
        <v>6746350</v>
      </c>
      <c r="GX43" s="426">
        <f t="shared" si="52"/>
        <v>6746.35</v>
      </c>
      <c r="HB43" s="782" t="s">
        <v>575</v>
      </c>
      <c r="HC43" s="764">
        <v>1242730641</v>
      </c>
      <c r="HD43" s="764">
        <v>1242447614</v>
      </c>
      <c r="HE43" s="764">
        <v>283027</v>
      </c>
      <c r="HF43" s="764">
        <v>1242447614</v>
      </c>
      <c r="HG43" s="426">
        <f t="shared" si="53"/>
        <v>1242730.6410000001</v>
      </c>
      <c r="HH43" s="426">
        <f t="shared" si="54"/>
        <v>283.02699999999999</v>
      </c>
      <c r="HI43" s="426">
        <f t="shared" si="55"/>
        <v>1242447.6140000001</v>
      </c>
      <c r="HJ43" s="426">
        <f t="shared" si="56"/>
        <v>283.02699999999999</v>
      </c>
      <c r="HK43" s="426">
        <f t="shared" si="57"/>
        <v>1242447.6140000001</v>
      </c>
    </row>
    <row r="44" spans="1:219" ht="15" customHeight="1" x14ac:dyDescent="0.3">
      <c r="A44" s="287" t="s">
        <v>554</v>
      </c>
      <c r="B44" s="288" t="s">
        <v>578</v>
      </c>
      <c r="C44" s="289">
        <v>39704326</v>
      </c>
      <c r="D44" s="290">
        <f t="shared" si="3"/>
        <v>42205.698537999997</v>
      </c>
      <c r="E44" s="289">
        <v>0</v>
      </c>
      <c r="F44" s="289">
        <f t="shared" si="4"/>
        <v>0</v>
      </c>
      <c r="J44" s="291" t="s">
        <v>554</v>
      </c>
      <c r="K44" s="292" t="s">
        <v>585</v>
      </c>
      <c r="L44" s="293">
        <v>100777014</v>
      </c>
      <c r="M44" s="293">
        <f t="shared" si="5"/>
        <v>107125.96588199999</v>
      </c>
      <c r="Q44" s="291" t="s">
        <v>554</v>
      </c>
      <c r="R44" s="292" t="s">
        <v>578</v>
      </c>
      <c r="S44" s="293">
        <v>39704326</v>
      </c>
      <c r="T44" s="293">
        <v>3354260</v>
      </c>
      <c r="U44" s="293">
        <f t="shared" si="6"/>
        <v>42205.698537999997</v>
      </c>
      <c r="V44" s="293">
        <f t="shared" si="7"/>
        <v>3565.5783799999999</v>
      </c>
      <c r="Z44" s="288" t="s">
        <v>581</v>
      </c>
      <c r="AA44" s="289">
        <v>152721840</v>
      </c>
      <c r="AB44" s="289">
        <f t="shared" si="8"/>
        <v>162343.31591999999</v>
      </c>
      <c r="AF44" s="288" t="s">
        <v>578</v>
      </c>
      <c r="AG44" s="289">
        <v>39704326</v>
      </c>
      <c r="AH44" s="289">
        <f t="shared" si="59"/>
        <v>42205.698537999997</v>
      </c>
      <c r="AI44" s="289">
        <v>10239320</v>
      </c>
      <c r="AL44" s="426"/>
      <c r="AN44" s="423" t="s">
        <v>554</v>
      </c>
      <c r="AO44" s="424" t="s">
        <v>581</v>
      </c>
      <c r="AP44" s="425">
        <v>369498</v>
      </c>
      <c r="AQ44" s="425">
        <f t="shared" si="9"/>
        <v>392.77637399999998</v>
      </c>
      <c r="AU44" s="423" t="s">
        <v>554</v>
      </c>
      <c r="AV44" s="424" t="s">
        <v>578</v>
      </c>
      <c r="AW44" s="425">
        <v>39704326</v>
      </c>
      <c r="AX44" s="425">
        <v>10239320</v>
      </c>
      <c r="AY44" s="425">
        <v>29465006</v>
      </c>
      <c r="AZ44" s="426">
        <f t="shared" si="10"/>
        <v>42205.698537999997</v>
      </c>
      <c r="BA44" s="426">
        <f t="shared" si="11"/>
        <v>10884.397159999999</v>
      </c>
      <c r="BB44" s="426">
        <f t="shared" si="12"/>
        <v>31321.301378</v>
      </c>
      <c r="BF44" s="423" t="s">
        <v>554</v>
      </c>
      <c r="BG44" s="424" t="s">
        <v>586</v>
      </c>
      <c r="BH44" s="425">
        <v>1531821</v>
      </c>
      <c r="BI44" s="426">
        <f t="shared" si="13"/>
        <v>1628.3257229999999</v>
      </c>
      <c r="BM44" s="427" t="s">
        <v>554</v>
      </c>
      <c r="BN44" s="93" t="s">
        <v>578</v>
      </c>
      <c r="BO44" s="94">
        <v>0</v>
      </c>
      <c r="BP44" s="94">
        <v>39704326</v>
      </c>
      <c r="BQ44" s="94">
        <v>13644020</v>
      </c>
      <c r="BR44" s="94">
        <v>26060306</v>
      </c>
      <c r="BS44" s="94">
        <v>13644020</v>
      </c>
      <c r="BT44" s="426">
        <f t="shared" si="14"/>
        <v>42205.698537999997</v>
      </c>
      <c r="BU44" s="426">
        <f t="shared" si="15"/>
        <v>14503.59326</v>
      </c>
      <c r="BV44" s="426">
        <f t="shared" si="16"/>
        <v>27702.105277999999</v>
      </c>
      <c r="BW44" s="426">
        <f t="shared" si="17"/>
        <v>14503.59326</v>
      </c>
      <c r="CA44" s="93" t="s">
        <v>580</v>
      </c>
      <c r="CB44" s="426">
        <v>289211162</v>
      </c>
      <c r="CC44" s="426">
        <f t="shared" si="18"/>
        <v>307431.46520600002</v>
      </c>
      <c r="CG44" s="424" t="s">
        <v>369</v>
      </c>
      <c r="CH44" s="425">
        <v>0</v>
      </c>
      <c r="CI44" s="425">
        <v>486623343</v>
      </c>
      <c r="CJ44" s="425">
        <v>-486623343</v>
      </c>
      <c r="CK44" s="425">
        <v>247556461</v>
      </c>
      <c r="CL44" s="425">
        <v>239066882</v>
      </c>
      <c r="CM44" s="425">
        <v>247556461</v>
      </c>
      <c r="CN44" s="425">
        <f t="shared" si="19"/>
        <v>517280.61360899999</v>
      </c>
      <c r="CO44" s="425">
        <f t="shared" si="20"/>
        <v>263152.51804300002</v>
      </c>
      <c r="CP44" s="425">
        <f t="shared" si="21"/>
        <v>254128.095566</v>
      </c>
      <c r="CQ44" s="425">
        <f t="shared" si="22"/>
        <v>263152.51804300002</v>
      </c>
      <c r="CU44" s="424" t="s">
        <v>370</v>
      </c>
      <c r="CV44" s="425">
        <v>203808</v>
      </c>
      <c r="CW44" s="425">
        <v>203808</v>
      </c>
      <c r="CX44" s="426">
        <f t="shared" si="23"/>
        <v>216.64790399999998</v>
      </c>
      <c r="CY44" s="426">
        <f t="shared" si="24"/>
        <v>216.64790399999998</v>
      </c>
      <c r="DB44" s="568" t="s">
        <v>369</v>
      </c>
      <c r="DC44" s="569">
        <v>486623343</v>
      </c>
      <c r="DD44" s="569">
        <v>285207560</v>
      </c>
      <c r="DE44" s="569">
        <v>201415783</v>
      </c>
      <c r="DF44" s="569">
        <v>285207560</v>
      </c>
      <c r="DG44" s="570">
        <f t="shared" si="25"/>
        <v>517280.61360899999</v>
      </c>
      <c r="DH44" s="570">
        <f t="shared" si="26"/>
        <v>303175.63627999998</v>
      </c>
      <c r="DI44" s="570">
        <f t="shared" si="27"/>
        <v>214104.97732899999</v>
      </c>
      <c r="DJ44" s="570">
        <f t="shared" si="28"/>
        <v>303175.63627999998</v>
      </c>
      <c r="DN44" s="93" t="s">
        <v>584</v>
      </c>
      <c r="DO44" s="93">
        <v>76785904</v>
      </c>
      <c r="DP44" s="93">
        <v>76785904</v>
      </c>
      <c r="DQ44" s="626">
        <f t="shared" si="29"/>
        <v>81623.415951999996</v>
      </c>
      <c r="DR44" s="626">
        <f t="shared" si="30"/>
        <v>81623.415951999996</v>
      </c>
      <c r="DV44" s="93" t="s">
        <v>369</v>
      </c>
      <c r="DW44" s="94">
        <v>486623343</v>
      </c>
      <c r="DX44" s="94">
        <v>323208186</v>
      </c>
      <c r="DY44" s="94">
        <v>163415157</v>
      </c>
      <c r="DZ44" s="94">
        <v>323208186</v>
      </c>
      <c r="EA44" s="94">
        <f t="shared" si="58"/>
        <v>517280.61360899999</v>
      </c>
      <c r="EB44" s="94">
        <f t="shared" si="31"/>
        <v>343570.30171799997</v>
      </c>
      <c r="EC44" s="94">
        <f t="shared" si="32"/>
        <v>173710.31189099999</v>
      </c>
      <c r="ED44" s="94">
        <f t="shared" si="33"/>
        <v>343570.30171799997</v>
      </c>
      <c r="EH44" s="420" t="s">
        <v>582</v>
      </c>
      <c r="EI44" s="420">
        <v>18967207</v>
      </c>
      <c r="EJ44" s="426">
        <f t="shared" si="34"/>
        <v>20162.141040999999</v>
      </c>
      <c r="EN44" s="420" t="s">
        <v>369</v>
      </c>
      <c r="EO44" s="426">
        <v>486623343</v>
      </c>
      <c r="EP44" s="426">
        <v>374287098</v>
      </c>
      <c r="EQ44" s="426">
        <v>112336245</v>
      </c>
      <c r="ER44" s="426">
        <v>374287098</v>
      </c>
      <c r="ES44" s="700">
        <f t="shared" si="35"/>
        <v>517280.61360899999</v>
      </c>
      <c r="ET44" s="700">
        <f t="shared" si="36"/>
        <v>397867.18517399998</v>
      </c>
      <c r="EU44" s="700">
        <f t="shared" si="37"/>
        <v>119413.42843499999</v>
      </c>
      <c r="EV44" s="700">
        <f t="shared" si="38"/>
        <v>397867.18517399998</v>
      </c>
      <c r="EZ44" s="730" t="s">
        <v>554</v>
      </c>
      <c r="FA44" s="731" t="s">
        <v>583</v>
      </c>
      <c r="FB44" s="420">
        <v>4512751</v>
      </c>
      <c r="FC44" s="426">
        <f t="shared" si="39"/>
        <v>4512.7510000000002</v>
      </c>
      <c r="FG44" s="735" t="s">
        <v>553</v>
      </c>
      <c r="FH44" s="734" t="s">
        <v>369</v>
      </c>
      <c r="FI44" s="732">
        <v>486623343</v>
      </c>
      <c r="FJ44" s="733">
        <v>406994242</v>
      </c>
      <c r="FK44" s="733">
        <v>79629101</v>
      </c>
      <c r="FL44" s="733">
        <v>406994242</v>
      </c>
      <c r="FM44" s="426">
        <f t="shared" si="40"/>
        <v>486623.34299999999</v>
      </c>
      <c r="FN44" s="426">
        <f t="shared" si="41"/>
        <v>406994.24200000003</v>
      </c>
      <c r="FO44" s="426">
        <f t="shared" si="42"/>
        <v>79629.100999999995</v>
      </c>
      <c r="FP44" s="426">
        <f t="shared" si="43"/>
        <v>406994.24200000003</v>
      </c>
      <c r="FT44" s="427" t="s">
        <v>553</v>
      </c>
      <c r="FU44" s="93" t="s">
        <v>371</v>
      </c>
      <c r="FV44" s="94">
        <v>12653000</v>
      </c>
      <c r="FW44" s="94">
        <v>37965623</v>
      </c>
      <c r="FX44" s="94">
        <v>37965623</v>
      </c>
      <c r="FY44" s="426">
        <f t="shared" si="44"/>
        <v>12653</v>
      </c>
      <c r="FZ44" s="426">
        <f t="shared" si="45"/>
        <v>37965.623</v>
      </c>
      <c r="GA44" s="426">
        <f t="shared" si="46"/>
        <v>37965.623</v>
      </c>
      <c r="GG44" s="762" t="s">
        <v>553</v>
      </c>
      <c r="GH44" s="763" t="s">
        <v>369</v>
      </c>
      <c r="GI44" s="764">
        <v>486623343</v>
      </c>
      <c r="GJ44" s="764">
        <v>449772481</v>
      </c>
      <c r="GK44" s="764">
        <v>36850862</v>
      </c>
      <c r="GL44" s="764">
        <v>449772481</v>
      </c>
      <c r="GM44" s="764">
        <v>0</v>
      </c>
      <c r="GN44" s="426">
        <f t="shared" si="47"/>
        <v>486623.34299999999</v>
      </c>
      <c r="GO44" s="426">
        <f t="shared" si="48"/>
        <v>449772.48100000003</v>
      </c>
      <c r="GP44" s="426">
        <f t="shared" si="49"/>
        <v>36850.862000000001</v>
      </c>
      <c r="GQ44" s="426">
        <f t="shared" si="50"/>
        <v>449772.48100000003</v>
      </c>
      <c r="GR44" s="426">
        <f t="shared" si="51"/>
        <v>0</v>
      </c>
      <c r="GV44" s="780" t="s">
        <v>579</v>
      </c>
      <c r="GW44" s="779">
        <v>50799933</v>
      </c>
      <c r="GX44" s="426">
        <f t="shared" si="52"/>
        <v>50799.932999999997</v>
      </c>
      <c r="HB44" s="782" t="s">
        <v>576</v>
      </c>
      <c r="HC44" s="764">
        <v>43987567</v>
      </c>
      <c r="HD44" s="764">
        <v>43986974</v>
      </c>
      <c r="HE44" s="764">
        <v>593</v>
      </c>
      <c r="HF44" s="764">
        <v>43986974</v>
      </c>
      <c r="HG44" s="426">
        <f t="shared" si="53"/>
        <v>43987.567000000003</v>
      </c>
      <c r="HH44" s="426">
        <f t="shared" si="54"/>
        <v>0.59299999999999997</v>
      </c>
      <c r="HI44" s="426">
        <f t="shared" si="55"/>
        <v>43986.974000000002</v>
      </c>
      <c r="HJ44" s="426">
        <f t="shared" si="56"/>
        <v>0.59299999999999997</v>
      </c>
      <c r="HK44" s="426">
        <f t="shared" si="57"/>
        <v>43986.974000000002</v>
      </c>
    </row>
    <row r="45" spans="1:219" ht="15" customHeight="1" x14ac:dyDescent="0.3">
      <c r="A45" s="287" t="s">
        <v>554</v>
      </c>
      <c r="B45" s="288" t="s">
        <v>579</v>
      </c>
      <c r="C45" s="289">
        <v>446919017</v>
      </c>
      <c r="D45" s="290">
        <f t="shared" si="3"/>
        <v>475074.915071</v>
      </c>
      <c r="E45" s="289">
        <v>33076248</v>
      </c>
      <c r="F45" s="289">
        <f t="shared" si="4"/>
        <v>35160.051624</v>
      </c>
      <c r="J45" s="291" t="s">
        <v>554</v>
      </c>
      <c r="K45" s="292" t="s">
        <v>586</v>
      </c>
      <c r="L45" s="293">
        <v>20962</v>
      </c>
      <c r="M45" s="293">
        <f t="shared" si="5"/>
        <v>22.282605999999998</v>
      </c>
      <c r="Q45" s="291" t="s">
        <v>554</v>
      </c>
      <c r="R45" s="292" t="s">
        <v>579</v>
      </c>
      <c r="S45" s="293">
        <v>446919017</v>
      </c>
      <c r="T45" s="293">
        <v>66183674</v>
      </c>
      <c r="U45" s="293">
        <f t="shared" si="6"/>
        <v>475074.915071</v>
      </c>
      <c r="V45" s="293">
        <f t="shared" si="7"/>
        <v>70353.245461999992</v>
      </c>
      <c r="Z45" s="288" t="s">
        <v>370</v>
      </c>
      <c r="AA45" s="289">
        <v>145672520</v>
      </c>
      <c r="AB45" s="289">
        <f t="shared" si="8"/>
        <v>154849.88875999997</v>
      </c>
      <c r="AF45" s="288" t="s">
        <v>579</v>
      </c>
      <c r="AG45" s="289">
        <v>446919017</v>
      </c>
      <c r="AH45" s="289">
        <f t="shared" si="59"/>
        <v>475074.915071</v>
      </c>
      <c r="AI45" s="289">
        <v>112749372</v>
      </c>
      <c r="AL45" s="426"/>
      <c r="AN45" s="423" t="s">
        <v>554</v>
      </c>
      <c r="AO45" s="424" t="s">
        <v>370</v>
      </c>
      <c r="AP45" s="425">
        <v>0</v>
      </c>
      <c r="AQ45" s="425">
        <f t="shared" si="9"/>
        <v>0</v>
      </c>
      <c r="AU45" s="423" t="s">
        <v>554</v>
      </c>
      <c r="AV45" s="424" t="s">
        <v>579</v>
      </c>
      <c r="AW45" s="425">
        <v>446919017</v>
      </c>
      <c r="AX45" s="425">
        <v>145136755</v>
      </c>
      <c r="AY45" s="425">
        <v>301782262</v>
      </c>
      <c r="AZ45" s="426">
        <f t="shared" si="10"/>
        <v>475074.915071</v>
      </c>
      <c r="BA45" s="426">
        <f t="shared" si="11"/>
        <v>154280.37056499999</v>
      </c>
      <c r="BB45" s="426">
        <f t="shared" si="12"/>
        <v>320794.54450599995</v>
      </c>
      <c r="BF45" s="423" t="s">
        <v>449</v>
      </c>
      <c r="BG45" s="424" t="s">
        <v>378</v>
      </c>
      <c r="BH45" s="425">
        <v>224847921</v>
      </c>
      <c r="BI45" s="426">
        <f t="shared" si="13"/>
        <v>239013.340023</v>
      </c>
      <c r="BM45" s="427" t="s">
        <v>554</v>
      </c>
      <c r="BN45" s="93" t="s">
        <v>579</v>
      </c>
      <c r="BO45" s="94">
        <v>0</v>
      </c>
      <c r="BP45" s="94">
        <v>446919017</v>
      </c>
      <c r="BQ45" s="94">
        <v>179858499</v>
      </c>
      <c r="BR45" s="94">
        <v>267060518</v>
      </c>
      <c r="BS45" s="94">
        <v>179858499</v>
      </c>
      <c r="BT45" s="426">
        <f t="shared" si="14"/>
        <v>475074.915071</v>
      </c>
      <c r="BU45" s="426">
        <f t="shared" si="15"/>
        <v>191189.58443700001</v>
      </c>
      <c r="BV45" s="426">
        <f t="shared" si="16"/>
        <v>283885.33063399995</v>
      </c>
      <c r="BW45" s="426">
        <f t="shared" si="17"/>
        <v>191189.58443700001</v>
      </c>
      <c r="CA45" s="93" t="s">
        <v>581</v>
      </c>
      <c r="CB45" s="426">
        <v>154485421</v>
      </c>
      <c r="CC45" s="426">
        <f t="shared" si="18"/>
        <v>164218.002523</v>
      </c>
      <c r="CG45" s="424" t="s">
        <v>578</v>
      </c>
      <c r="CH45" s="425">
        <v>0</v>
      </c>
      <c r="CI45" s="425">
        <v>39704326</v>
      </c>
      <c r="CJ45" s="425">
        <v>-39704326</v>
      </c>
      <c r="CK45" s="425">
        <v>16998280</v>
      </c>
      <c r="CL45" s="425">
        <v>22706046</v>
      </c>
      <c r="CM45" s="425">
        <v>16998280</v>
      </c>
      <c r="CN45" s="425">
        <f t="shared" si="19"/>
        <v>42205.698537999997</v>
      </c>
      <c r="CO45" s="425">
        <f t="shared" si="20"/>
        <v>18069.171639999997</v>
      </c>
      <c r="CP45" s="425">
        <f t="shared" si="21"/>
        <v>24136.526897999996</v>
      </c>
      <c r="CQ45" s="425">
        <f t="shared" si="22"/>
        <v>18069.171639999997</v>
      </c>
      <c r="CU45" s="424" t="s">
        <v>371</v>
      </c>
      <c r="CV45" s="425">
        <v>35611902</v>
      </c>
      <c r="CW45" s="425">
        <v>35611902</v>
      </c>
      <c r="CX45" s="426">
        <f t="shared" si="23"/>
        <v>37855.451825999997</v>
      </c>
      <c r="CY45" s="426">
        <f t="shared" si="24"/>
        <v>37855.451825999997</v>
      </c>
      <c r="DB45" s="568" t="s">
        <v>578</v>
      </c>
      <c r="DC45" s="569">
        <v>39704326</v>
      </c>
      <c r="DD45" s="569">
        <v>20402980</v>
      </c>
      <c r="DE45" s="569">
        <v>19301346</v>
      </c>
      <c r="DF45" s="569">
        <v>20402980</v>
      </c>
      <c r="DG45" s="570">
        <f t="shared" si="25"/>
        <v>42205.698537999997</v>
      </c>
      <c r="DH45" s="570">
        <f t="shared" si="26"/>
        <v>21688.367739999998</v>
      </c>
      <c r="DI45" s="570">
        <f t="shared" si="27"/>
        <v>20517.330797999999</v>
      </c>
      <c r="DJ45" s="570">
        <f t="shared" si="28"/>
        <v>21688.367739999998</v>
      </c>
      <c r="DN45" s="93" t="s">
        <v>585</v>
      </c>
      <c r="DO45" s="93">
        <v>74797109</v>
      </c>
      <c r="DP45" s="93">
        <v>74797109</v>
      </c>
      <c r="DQ45" s="626">
        <f t="shared" si="29"/>
        <v>79509.326866999996</v>
      </c>
      <c r="DR45" s="626">
        <f t="shared" si="30"/>
        <v>79509.326866999996</v>
      </c>
      <c r="DV45" s="93" t="s">
        <v>578</v>
      </c>
      <c r="DW45" s="94">
        <v>39704326</v>
      </c>
      <c r="DX45" s="94">
        <v>23782460</v>
      </c>
      <c r="DY45" s="94">
        <v>15921866</v>
      </c>
      <c r="DZ45" s="94">
        <v>23782460</v>
      </c>
      <c r="EA45" s="94">
        <f t="shared" si="58"/>
        <v>42205.698537999997</v>
      </c>
      <c r="EB45" s="94">
        <f t="shared" si="31"/>
        <v>25280.754979999998</v>
      </c>
      <c r="EC45" s="94">
        <f t="shared" si="32"/>
        <v>16924.943557999999</v>
      </c>
      <c r="ED45" s="94">
        <f t="shared" si="33"/>
        <v>25280.754979999998</v>
      </c>
      <c r="EH45" s="420" t="s">
        <v>583</v>
      </c>
      <c r="EI45" s="420">
        <v>5081769</v>
      </c>
      <c r="EJ45" s="426">
        <f t="shared" si="34"/>
        <v>5401.9204470000004</v>
      </c>
      <c r="EN45" s="420" t="s">
        <v>578</v>
      </c>
      <c r="EO45" s="426">
        <v>39704326</v>
      </c>
      <c r="EP45" s="426">
        <v>23782460</v>
      </c>
      <c r="EQ45" s="426">
        <v>15921866</v>
      </c>
      <c r="ER45" s="426">
        <v>23782460</v>
      </c>
      <c r="ES45" s="700">
        <f t="shared" si="35"/>
        <v>42205.698537999997</v>
      </c>
      <c r="ET45" s="700">
        <f t="shared" si="36"/>
        <v>25280.754979999998</v>
      </c>
      <c r="EU45" s="700">
        <f t="shared" si="37"/>
        <v>16924.943557999999</v>
      </c>
      <c r="EV45" s="700">
        <f t="shared" si="38"/>
        <v>25280.754979999998</v>
      </c>
      <c r="EZ45" s="730" t="s">
        <v>554</v>
      </c>
      <c r="FA45" s="731" t="s">
        <v>624</v>
      </c>
      <c r="FB45" s="420">
        <v>7339437</v>
      </c>
      <c r="FC45" s="426">
        <f t="shared" si="39"/>
        <v>7339.4369999999999</v>
      </c>
      <c r="FG45" s="735" t="s">
        <v>554</v>
      </c>
      <c r="FH45" s="734" t="s">
        <v>578</v>
      </c>
      <c r="FI45" s="732">
        <v>39704326</v>
      </c>
      <c r="FJ45" s="733">
        <v>23782460</v>
      </c>
      <c r="FK45" s="733">
        <v>15921866</v>
      </c>
      <c r="FL45" s="733">
        <v>23782460</v>
      </c>
      <c r="FM45" s="426">
        <f t="shared" si="40"/>
        <v>39704.326000000001</v>
      </c>
      <c r="FN45" s="426">
        <f t="shared" si="41"/>
        <v>23782.46</v>
      </c>
      <c r="FO45" s="426">
        <f t="shared" si="42"/>
        <v>15921.866</v>
      </c>
      <c r="FP45" s="426">
        <f t="shared" si="43"/>
        <v>23782.46</v>
      </c>
      <c r="FT45" s="427" t="s">
        <v>554</v>
      </c>
      <c r="FU45" s="93" t="s">
        <v>582</v>
      </c>
      <c r="FV45" s="94">
        <v>10649000</v>
      </c>
      <c r="FW45" s="94">
        <v>20990792</v>
      </c>
      <c r="FX45" s="94">
        <v>20990792</v>
      </c>
      <c r="FY45" s="426">
        <f t="shared" si="44"/>
        <v>10649</v>
      </c>
      <c r="FZ45" s="426">
        <f t="shared" si="45"/>
        <v>20990.792000000001</v>
      </c>
      <c r="GA45" s="426">
        <f t="shared" si="46"/>
        <v>20990.792000000001</v>
      </c>
      <c r="GG45" s="762" t="s">
        <v>554</v>
      </c>
      <c r="GH45" s="763" t="s">
        <v>578</v>
      </c>
      <c r="GI45" s="764">
        <v>39704326</v>
      </c>
      <c r="GJ45" s="764">
        <v>33908290</v>
      </c>
      <c r="GK45" s="764">
        <v>5796036</v>
      </c>
      <c r="GL45" s="764">
        <v>33908290</v>
      </c>
      <c r="GM45" s="764">
        <v>0</v>
      </c>
      <c r="GN45" s="426">
        <f t="shared" si="47"/>
        <v>39704.326000000001</v>
      </c>
      <c r="GO45" s="426">
        <f t="shared" si="48"/>
        <v>33908.29</v>
      </c>
      <c r="GP45" s="426">
        <f t="shared" si="49"/>
        <v>5796.0360000000001</v>
      </c>
      <c r="GQ45" s="426">
        <f t="shared" si="50"/>
        <v>33908.29</v>
      </c>
      <c r="GR45" s="426">
        <f t="shared" si="51"/>
        <v>0</v>
      </c>
      <c r="GV45" s="780" t="s">
        <v>580</v>
      </c>
      <c r="GW45" s="779">
        <v>294717312</v>
      </c>
      <c r="GX45" s="426">
        <f t="shared" si="52"/>
        <v>294717.31199999998</v>
      </c>
      <c r="HB45" s="782" t="s">
        <v>577</v>
      </c>
      <c r="HC45" s="764">
        <v>47953684</v>
      </c>
      <c r="HD45" s="764">
        <v>14487132</v>
      </c>
      <c r="HE45" s="764">
        <v>33466552</v>
      </c>
      <c r="HF45" s="764">
        <v>14487132</v>
      </c>
      <c r="HG45" s="426">
        <f t="shared" si="53"/>
        <v>47953.684000000001</v>
      </c>
      <c r="HH45" s="426">
        <f t="shared" si="54"/>
        <v>33466.552000000003</v>
      </c>
      <c r="HI45" s="426">
        <f t="shared" si="55"/>
        <v>14487.132</v>
      </c>
      <c r="HJ45" s="426">
        <f t="shared" si="56"/>
        <v>33466.552000000003</v>
      </c>
      <c r="HK45" s="426">
        <f t="shared" si="57"/>
        <v>14487.132</v>
      </c>
    </row>
    <row r="46" spans="1:219" ht="15" customHeight="1" x14ac:dyDescent="0.3">
      <c r="A46" s="287" t="s">
        <v>553</v>
      </c>
      <c r="B46" s="288" t="s">
        <v>580</v>
      </c>
      <c r="C46" s="289">
        <v>1131192790</v>
      </c>
      <c r="D46" s="290">
        <f t="shared" si="3"/>
        <v>1202457.9357699999</v>
      </c>
      <c r="E46" s="289">
        <v>46400</v>
      </c>
      <c r="F46" s="289">
        <f t="shared" si="4"/>
        <v>49.323199999999993</v>
      </c>
      <c r="J46" s="291" t="s">
        <v>553</v>
      </c>
      <c r="K46" s="292" t="s">
        <v>376</v>
      </c>
      <c r="L46" s="293">
        <v>3200137</v>
      </c>
      <c r="M46" s="293">
        <f t="shared" si="5"/>
        <v>3401.7456310000002</v>
      </c>
      <c r="Q46" s="291" t="s">
        <v>553</v>
      </c>
      <c r="R46" s="292" t="s">
        <v>580</v>
      </c>
      <c r="S46" s="293">
        <v>1131192790</v>
      </c>
      <c r="T46" s="293">
        <v>46400</v>
      </c>
      <c r="U46" s="293">
        <f t="shared" si="6"/>
        <v>1202457.9357699999</v>
      </c>
      <c r="V46" s="293">
        <f t="shared" si="7"/>
        <v>49.323199999999993</v>
      </c>
      <c r="Z46" s="288" t="s">
        <v>371</v>
      </c>
      <c r="AA46" s="289">
        <v>13019512</v>
      </c>
      <c r="AB46" s="289">
        <f t="shared" si="8"/>
        <v>13839.741255999999</v>
      </c>
      <c r="AF46" s="288" t="s">
        <v>580</v>
      </c>
      <c r="AG46" s="289">
        <v>1131192790</v>
      </c>
      <c r="AH46" s="289">
        <f t="shared" si="59"/>
        <v>1202457.9357699999</v>
      </c>
      <c r="AI46" s="289">
        <v>298440760</v>
      </c>
      <c r="AL46" s="426"/>
      <c r="AN46" s="423" t="s">
        <v>553</v>
      </c>
      <c r="AO46" s="424" t="s">
        <v>371</v>
      </c>
      <c r="AP46" s="425">
        <v>33561499</v>
      </c>
      <c r="AQ46" s="425">
        <f t="shared" si="9"/>
        <v>35675.873437000002</v>
      </c>
      <c r="AU46" s="423" t="s">
        <v>553</v>
      </c>
      <c r="AV46" s="424" t="s">
        <v>580</v>
      </c>
      <c r="AW46" s="425">
        <v>1131192790</v>
      </c>
      <c r="AX46" s="425">
        <v>298810258</v>
      </c>
      <c r="AY46" s="425">
        <v>832382532</v>
      </c>
      <c r="AZ46" s="426">
        <f t="shared" si="10"/>
        <v>1202457.9357699999</v>
      </c>
      <c r="BA46" s="426">
        <f t="shared" si="11"/>
        <v>317635.30425399996</v>
      </c>
      <c r="BB46" s="426">
        <f t="shared" si="12"/>
        <v>884822.63151599991</v>
      </c>
      <c r="BF46" s="423" t="s">
        <v>355</v>
      </c>
      <c r="BG46" s="424" t="s">
        <v>379</v>
      </c>
      <c r="BH46" s="425">
        <v>0</v>
      </c>
      <c r="BI46" s="426">
        <f t="shared" si="13"/>
        <v>0</v>
      </c>
      <c r="BM46" s="427" t="s">
        <v>553</v>
      </c>
      <c r="BN46" s="93" t="s">
        <v>580</v>
      </c>
      <c r="BO46" s="94">
        <v>0</v>
      </c>
      <c r="BP46" s="94">
        <v>1131192790</v>
      </c>
      <c r="BQ46" s="94">
        <v>299943933</v>
      </c>
      <c r="BR46" s="94">
        <v>831248857</v>
      </c>
      <c r="BS46" s="94">
        <v>299943933</v>
      </c>
      <c r="BT46" s="426">
        <f t="shared" si="14"/>
        <v>1202457.9357699999</v>
      </c>
      <c r="BU46" s="426">
        <f t="shared" si="15"/>
        <v>318840.40077900002</v>
      </c>
      <c r="BV46" s="426">
        <f t="shared" si="16"/>
        <v>883617.53499099996</v>
      </c>
      <c r="BW46" s="426">
        <f t="shared" si="17"/>
        <v>318840.40077900002</v>
      </c>
      <c r="CA46" s="93" t="s">
        <v>370</v>
      </c>
      <c r="CB46" s="426">
        <v>134725741</v>
      </c>
      <c r="CC46" s="426">
        <f t="shared" si="18"/>
        <v>143213.46268299999</v>
      </c>
      <c r="CG46" s="424" t="s">
        <v>579</v>
      </c>
      <c r="CH46" s="425">
        <v>0</v>
      </c>
      <c r="CI46" s="425">
        <v>446919017</v>
      </c>
      <c r="CJ46" s="425">
        <v>-446919017</v>
      </c>
      <c r="CK46" s="425">
        <v>230558181</v>
      </c>
      <c r="CL46" s="425">
        <v>216360836</v>
      </c>
      <c r="CM46" s="425">
        <v>230558181</v>
      </c>
      <c r="CN46" s="425">
        <f t="shared" si="19"/>
        <v>475074.915071</v>
      </c>
      <c r="CO46" s="425">
        <f t="shared" si="20"/>
        <v>245083.346403</v>
      </c>
      <c r="CP46" s="425">
        <f t="shared" si="21"/>
        <v>229991.56866799999</v>
      </c>
      <c r="CQ46" s="425">
        <f t="shared" si="22"/>
        <v>245083.346403</v>
      </c>
      <c r="CU46" s="424" t="s">
        <v>582</v>
      </c>
      <c r="CV46" s="425">
        <v>21015858</v>
      </c>
      <c r="CW46" s="425">
        <v>21015858</v>
      </c>
      <c r="CX46" s="426">
        <f t="shared" si="23"/>
        <v>22339.857054</v>
      </c>
      <c r="CY46" s="426">
        <f t="shared" si="24"/>
        <v>22339.857054</v>
      </c>
      <c r="DB46" s="568" t="s">
        <v>579</v>
      </c>
      <c r="DC46" s="569">
        <v>446919017</v>
      </c>
      <c r="DD46" s="569">
        <v>264804580</v>
      </c>
      <c r="DE46" s="569">
        <v>182114437</v>
      </c>
      <c r="DF46" s="569">
        <v>264804580</v>
      </c>
      <c r="DG46" s="570">
        <f t="shared" si="25"/>
        <v>475074.915071</v>
      </c>
      <c r="DH46" s="570">
        <f t="shared" si="26"/>
        <v>281487.26854000002</v>
      </c>
      <c r="DI46" s="570">
        <f t="shared" si="27"/>
        <v>193587.64653100001</v>
      </c>
      <c r="DJ46" s="570">
        <f t="shared" si="28"/>
        <v>281487.26854000002</v>
      </c>
      <c r="DN46" s="93" t="s">
        <v>586</v>
      </c>
      <c r="DO46" s="93">
        <v>1988795</v>
      </c>
      <c r="DP46" s="93">
        <v>1988795</v>
      </c>
      <c r="DQ46" s="626">
        <f t="shared" si="29"/>
        <v>2114.0890850000001</v>
      </c>
      <c r="DR46" s="626">
        <f t="shared" si="30"/>
        <v>2114.0890850000001</v>
      </c>
      <c r="DV46" s="93" t="s">
        <v>579</v>
      </c>
      <c r="DW46" s="94">
        <v>446919017</v>
      </c>
      <c r="DX46" s="94">
        <v>299425726</v>
      </c>
      <c r="DY46" s="94">
        <v>147493291</v>
      </c>
      <c r="DZ46" s="94">
        <v>299425726</v>
      </c>
      <c r="EA46" s="94">
        <f t="shared" si="58"/>
        <v>475074.915071</v>
      </c>
      <c r="EB46" s="94">
        <f t="shared" si="31"/>
        <v>318289.546738</v>
      </c>
      <c r="EC46" s="94">
        <f t="shared" si="32"/>
        <v>156785.36833299999</v>
      </c>
      <c r="ED46" s="94">
        <f t="shared" si="33"/>
        <v>318289.546738</v>
      </c>
      <c r="EH46" s="420" t="s">
        <v>624</v>
      </c>
      <c r="EI46" s="420">
        <v>7045542</v>
      </c>
      <c r="EJ46" s="426">
        <f t="shared" si="34"/>
        <v>7489.4111460000004</v>
      </c>
      <c r="EN46" s="420" t="s">
        <v>579</v>
      </c>
      <c r="EO46" s="426">
        <v>446919017</v>
      </c>
      <c r="EP46" s="426">
        <v>350504638</v>
      </c>
      <c r="EQ46" s="426">
        <v>96414379</v>
      </c>
      <c r="ER46" s="426">
        <v>350504638</v>
      </c>
      <c r="ES46" s="700">
        <f t="shared" si="35"/>
        <v>475074.915071</v>
      </c>
      <c r="ET46" s="700">
        <f t="shared" si="36"/>
        <v>372586.43019399996</v>
      </c>
      <c r="EU46" s="700">
        <f t="shared" si="37"/>
        <v>102488.484877</v>
      </c>
      <c r="EV46" s="700">
        <f t="shared" si="38"/>
        <v>372586.43019399996</v>
      </c>
      <c r="EZ46" s="730" t="s">
        <v>553</v>
      </c>
      <c r="FA46" s="731" t="s">
        <v>372</v>
      </c>
      <c r="FB46" s="420">
        <v>0</v>
      </c>
      <c r="FC46" s="426">
        <f t="shared" si="39"/>
        <v>0</v>
      </c>
      <c r="FG46" s="735" t="s">
        <v>554</v>
      </c>
      <c r="FH46" s="734" t="s">
        <v>579</v>
      </c>
      <c r="FI46" s="732">
        <v>446919017</v>
      </c>
      <c r="FJ46" s="733">
        <v>383211782</v>
      </c>
      <c r="FK46" s="733">
        <v>63707235</v>
      </c>
      <c r="FL46" s="733">
        <v>383211782</v>
      </c>
      <c r="FM46" s="426">
        <f t="shared" si="40"/>
        <v>446919.01699999999</v>
      </c>
      <c r="FN46" s="426">
        <f t="shared" si="41"/>
        <v>383211.78200000001</v>
      </c>
      <c r="FO46" s="426">
        <f t="shared" si="42"/>
        <v>63707.235000000001</v>
      </c>
      <c r="FP46" s="426">
        <f t="shared" si="43"/>
        <v>383211.78200000001</v>
      </c>
      <c r="FT46" s="427" t="s">
        <v>554</v>
      </c>
      <c r="FU46" s="93" t="s">
        <v>583</v>
      </c>
      <c r="FV46" s="94">
        <v>965000</v>
      </c>
      <c r="FW46" s="94">
        <v>4791386</v>
      </c>
      <c r="FX46" s="94">
        <v>4791386</v>
      </c>
      <c r="FY46" s="426">
        <f t="shared" si="44"/>
        <v>965</v>
      </c>
      <c r="FZ46" s="426">
        <f t="shared" si="45"/>
        <v>4791.3860000000004</v>
      </c>
      <c r="GA46" s="426">
        <f t="shared" si="46"/>
        <v>4791.3860000000004</v>
      </c>
      <c r="GG46" s="762" t="s">
        <v>554</v>
      </c>
      <c r="GH46" s="763" t="s">
        <v>579</v>
      </c>
      <c r="GI46" s="764">
        <v>446919017</v>
      </c>
      <c r="GJ46" s="764">
        <v>415864191</v>
      </c>
      <c r="GK46" s="764">
        <v>31054826</v>
      </c>
      <c r="GL46" s="764">
        <v>415864191</v>
      </c>
      <c r="GM46" s="764">
        <v>0</v>
      </c>
      <c r="GN46" s="426">
        <f t="shared" si="47"/>
        <v>446919.01699999999</v>
      </c>
      <c r="GO46" s="426">
        <f t="shared" si="48"/>
        <v>415864.19099999999</v>
      </c>
      <c r="GP46" s="426">
        <f t="shared" si="49"/>
        <v>31054.826000000001</v>
      </c>
      <c r="GQ46" s="426">
        <f t="shared" si="50"/>
        <v>415864.19099999999</v>
      </c>
      <c r="GR46" s="426">
        <f t="shared" si="51"/>
        <v>0</v>
      </c>
      <c r="GV46" s="780" t="s">
        <v>581</v>
      </c>
      <c r="GW46" s="779">
        <v>163891942</v>
      </c>
      <c r="GX46" s="426">
        <f t="shared" si="52"/>
        <v>163891.94200000001</v>
      </c>
      <c r="HB46" s="782" t="s">
        <v>925</v>
      </c>
      <c r="HC46" s="764">
        <v>13000000</v>
      </c>
      <c r="HD46" s="764">
        <v>12672000</v>
      </c>
      <c r="HE46" s="764">
        <v>328000</v>
      </c>
      <c r="HF46" s="764">
        <v>12672000</v>
      </c>
      <c r="HG46" s="426">
        <f t="shared" si="53"/>
        <v>13000</v>
      </c>
      <c r="HH46" s="426">
        <f t="shared" si="54"/>
        <v>328</v>
      </c>
      <c r="HI46" s="426">
        <f t="shared" si="55"/>
        <v>12672</v>
      </c>
      <c r="HJ46" s="426">
        <f t="shared" si="56"/>
        <v>328</v>
      </c>
      <c r="HK46" s="426">
        <f t="shared" si="57"/>
        <v>12672</v>
      </c>
    </row>
    <row r="47" spans="1:219" ht="15" customHeight="1" x14ac:dyDescent="0.3">
      <c r="A47" s="287" t="s">
        <v>554</v>
      </c>
      <c r="B47" s="288" t="s">
        <v>581</v>
      </c>
      <c r="C47" s="289">
        <v>575605053</v>
      </c>
      <c r="D47" s="290">
        <f t="shared" si="3"/>
        <v>611868.17133899988</v>
      </c>
      <c r="E47" s="289">
        <v>46400</v>
      </c>
      <c r="F47" s="289">
        <f t="shared" si="4"/>
        <v>49.323199999999993</v>
      </c>
      <c r="J47" s="291" t="s">
        <v>449</v>
      </c>
      <c r="K47" s="292" t="s">
        <v>378</v>
      </c>
      <c r="L47" s="293">
        <v>53409386</v>
      </c>
      <c r="M47" s="293">
        <f t="shared" si="5"/>
        <v>56774.177317999995</v>
      </c>
      <c r="Q47" s="291" t="s">
        <v>554</v>
      </c>
      <c r="R47" s="292" t="s">
        <v>581</v>
      </c>
      <c r="S47" s="293">
        <v>575605053</v>
      </c>
      <c r="T47" s="293">
        <v>46400</v>
      </c>
      <c r="U47" s="293">
        <f t="shared" si="6"/>
        <v>611868.17133899988</v>
      </c>
      <c r="V47" s="293">
        <f t="shared" si="7"/>
        <v>49.323199999999993</v>
      </c>
      <c r="Z47" s="288" t="s">
        <v>582</v>
      </c>
      <c r="AA47" s="289">
        <v>7409498</v>
      </c>
      <c r="AB47" s="289">
        <f t="shared" si="8"/>
        <v>7876.2963739999996</v>
      </c>
      <c r="AF47" s="288" t="s">
        <v>581</v>
      </c>
      <c r="AG47" s="289">
        <v>575605053</v>
      </c>
      <c r="AH47" s="289">
        <f t="shared" si="59"/>
        <v>611868.17133899988</v>
      </c>
      <c r="AI47" s="289">
        <v>152768240</v>
      </c>
      <c r="AL47" s="426"/>
      <c r="AN47" s="423" t="s">
        <v>554</v>
      </c>
      <c r="AO47" s="424" t="s">
        <v>582</v>
      </c>
      <c r="AP47" s="425">
        <v>28802385</v>
      </c>
      <c r="AQ47" s="425">
        <f t="shared" si="9"/>
        <v>30616.935254999997</v>
      </c>
      <c r="AU47" s="423" t="s">
        <v>554</v>
      </c>
      <c r="AV47" s="424" t="s">
        <v>581</v>
      </c>
      <c r="AW47" s="425">
        <v>575605053</v>
      </c>
      <c r="AX47" s="425">
        <v>153137738</v>
      </c>
      <c r="AY47" s="425">
        <v>422467315</v>
      </c>
      <c r="AZ47" s="426">
        <f t="shared" si="10"/>
        <v>611868.17133899988</v>
      </c>
      <c r="BA47" s="426">
        <f t="shared" si="11"/>
        <v>162785.41549400002</v>
      </c>
      <c r="BB47" s="426">
        <f t="shared" si="12"/>
        <v>449082.75584499998</v>
      </c>
      <c r="BF47" s="423" t="s">
        <v>553</v>
      </c>
      <c r="BG47" s="424" t="s">
        <v>587</v>
      </c>
      <c r="BH47" s="425">
        <v>0</v>
      </c>
      <c r="BI47" s="426">
        <f t="shared" si="13"/>
        <v>0</v>
      </c>
      <c r="BM47" s="427" t="s">
        <v>554</v>
      </c>
      <c r="BN47" s="93" t="s">
        <v>581</v>
      </c>
      <c r="BO47" s="94">
        <v>0</v>
      </c>
      <c r="BP47" s="94">
        <v>575605053</v>
      </c>
      <c r="BQ47" s="94">
        <v>153690041</v>
      </c>
      <c r="BR47" s="94">
        <v>421915012</v>
      </c>
      <c r="BS47" s="94">
        <v>153690041</v>
      </c>
      <c r="BT47" s="426">
        <f t="shared" si="14"/>
        <v>611868.17133899988</v>
      </c>
      <c r="BU47" s="426">
        <f t="shared" si="15"/>
        <v>163372.51358299999</v>
      </c>
      <c r="BV47" s="426">
        <f t="shared" si="16"/>
        <v>448495.65775599994</v>
      </c>
      <c r="BW47" s="426">
        <f t="shared" si="17"/>
        <v>163372.51358299999</v>
      </c>
      <c r="CA47" s="93" t="s">
        <v>371</v>
      </c>
      <c r="CB47" s="426">
        <v>30205480</v>
      </c>
      <c r="CC47" s="426">
        <f t="shared" si="18"/>
        <v>32108.425239999997</v>
      </c>
      <c r="CG47" s="424" t="s">
        <v>580</v>
      </c>
      <c r="CH47" s="425">
        <v>0</v>
      </c>
      <c r="CI47" s="425">
        <v>1131192790</v>
      </c>
      <c r="CJ47" s="425">
        <v>-1131192790</v>
      </c>
      <c r="CK47" s="425">
        <v>589155095</v>
      </c>
      <c r="CL47" s="425">
        <v>542037695</v>
      </c>
      <c r="CM47" s="425">
        <v>589155095</v>
      </c>
      <c r="CN47" s="425">
        <f t="shared" si="19"/>
        <v>1202457.9357699999</v>
      </c>
      <c r="CO47" s="425">
        <f t="shared" si="20"/>
        <v>626271.86598499992</v>
      </c>
      <c r="CP47" s="425">
        <f t="shared" si="21"/>
        <v>576186.06978499994</v>
      </c>
      <c r="CQ47" s="425">
        <f t="shared" si="22"/>
        <v>626271.86598499992</v>
      </c>
      <c r="CU47" s="424" t="s">
        <v>583</v>
      </c>
      <c r="CV47" s="425">
        <v>3786768</v>
      </c>
      <c r="CW47" s="425">
        <v>3786768</v>
      </c>
      <c r="CX47" s="426">
        <f t="shared" si="23"/>
        <v>4025.3343839999998</v>
      </c>
      <c r="CY47" s="426">
        <f t="shared" si="24"/>
        <v>4025.3343839999998</v>
      </c>
      <c r="DB47" s="568" t="s">
        <v>580</v>
      </c>
      <c r="DC47" s="569">
        <v>1131192790</v>
      </c>
      <c r="DD47" s="569">
        <v>589594815</v>
      </c>
      <c r="DE47" s="569">
        <v>541597975</v>
      </c>
      <c r="DF47" s="569">
        <v>589594815</v>
      </c>
      <c r="DG47" s="570">
        <f t="shared" si="25"/>
        <v>1202457.9357699999</v>
      </c>
      <c r="DH47" s="570">
        <f t="shared" si="26"/>
        <v>626739.28834499989</v>
      </c>
      <c r="DI47" s="570">
        <f t="shared" si="27"/>
        <v>575718.64742499997</v>
      </c>
      <c r="DJ47" s="570">
        <f t="shared" si="28"/>
        <v>626739.28834499989</v>
      </c>
      <c r="DN47" s="93" t="s">
        <v>377</v>
      </c>
      <c r="DO47" s="93">
        <v>0</v>
      </c>
      <c r="DP47" s="93">
        <v>0</v>
      </c>
      <c r="DQ47" s="626">
        <f t="shared" si="29"/>
        <v>0</v>
      </c>
      <c r="DR47" s="626">
        <f t="shared" si="30"/>
        <v>0</v>
      </c>
      <c r="DV47" s="93" t="s">
        <v>580</v>
      </c>
      <c r="DW47" s="94">
        <v>1131192790</v>
      </c>
      <c r="DX47" s="94">
        <v>589689189</v>
      </c>
      <c r="DY47" s="94">
        <v>541503601</v>
      </c>
      <c r="DZ47" s="94">
        <v>589689189</v>
      </c>
      <c r="EA47" s="94">
        <f t="shared" si="58"/>
        <v>1202457.9357699999</v>
      </c>
      <c r="EB47" s="94">
        <f t="shared" si="31"/>
        <v>626839.607907</v>
      </c>
      <c r="EC47" s="94">
        <f t="shared" si="32"/>
        <v>575618.32786299998</v>
      </c>
      <c r="ED47" s="94">
        <f t="shared" si="33"/>
        <v>626839.607907</v>
      </c>
      <c r="EH47" s="420" t="s">
        <v>372</v>
      </c>
      <c r="EI47" s="420">
        <v>20700881</v>
      </c>
      <c r="EJ47" s="426">
        <f t="shared" si="34"/>
        <v>22005.036502999999</v>
      </c>
      <c r="EN47" s="420" t="s">
        <v>580</v>
      </c>
      <c r="EO47" s="426">
        <v>1177925458</v>
      </c>
      <c r="EP47" s="426">
        <v>876177889</v>
      </c>
      <c r="EQ47" s="426">
        <v>301747569</v>
      </c>
      <c r="ER47" s="426">
        <v>876177889</v>
      </c>
      <c r="ES47" s="700">
        <f t="shared" si="35"/>
        <v>1252134.7618540002</v>
      </c>
      <c r="ET47" s="700">
        <f t="shared" si="36"/>
        <v>931377.09600699996</v>
      </c>
      <c r="EU47" s="700">
        <f t="shared" si="37"/>
        <v>320757.66584700003</v>
      </c>
      <c r="EV47" s="700">
        <f t="shared" si="38"/>
        <v>931377.09600699996</v>
      </c>
      <c r="EZ47" s="730" t="s">
        <v>554</v>
      </c>
      <c r="FA47" s="731" t="s">
        <v>373</v>
      </c>
      <c r="FB47" s="420">
        <v>0</v>
      </c>
      <c r="FC47" s="426">
        <f t="shared" si="39"/>
        <v>0</v>
      </c>
      <c r="FG47" s="735" t="s">
        <v>553</v>
      </c>
      <c r="FH47" s="734" t="s">
        <v>580</v>
      </c>
      <c r="FI47" s="732">
        <v>1177925458</v>
      </c>
      <c r="FJ47" s="733">
        <v>876244927</v>
      </c>
      <c r="FK47" s="733">
        <v>301680531</v>
      </c>
      <c r="FL47" s="733">
        <v>876244927</v>
      </c>
      <c r="FM47" s="426">
        <f t="shared" si="40"/>
        <v>1177925.4580000001</v>
      </c>
      <c r="FN47" s="426">
        <f t="shared" si="41"/>
        <v>876244.92700000003</v>
      </c>
      <c r="FO47" s="426">
        <f t="shared" si="42"/>
        <v>301680.53100000002</v>
      </c>
      <c r="FP47" s="426">
        <f t="shared" si="43"/>
        <v>876244.92700000003</v>
      </c>
      <c r="FT47" s="427" t="s">
        <v>554</v>
      </c>
      <c r="FU47" s="93" t="s">
        <v>624</v>
      </c>
      <c r="FV47" s="94">
        <v>1039000</v>
      </c>
      <c r="FW47" s="94">
        <v>12183445</v>
      </c>
      <c r="FX47" s="94">
        <v>12183445</v>
      </c>
      <c r="FY47" s="426">
        <f t="shared" si="44"/>
        <v>1039</v>
      </c>
      <c r="FZ47" s="426">
        <f t="shared" si="45"/>
        <v>12183.445</v>
      </c>
      <c r="GA47" s="426">
        <f t="shared" si="46"/>
        <v>12183.445</v>
      </c>
      <c r="GG47" s="762" t="s">
        <v>553</v>
      </c>
      <c r="GH47" s="763" t="s">
        <v>580</v>
      </c>
      <c r="GI47" s="764">
        <v>1177925458</v>
      </c>
      <c r="GJ47" s="764">
        <v>876244927</v>
      </c>
      <c r="GK47" s="764">
        <v>301680531</v>
      </c>
      <c r="GL47" s="764">
        <v>876244927</v>
      </c>
      <c r="GM47" s="764">
        <v>0</v>
      </c>
      <c r="GN47" s="426">
        <f t="shared" si="47"/>
        <v>1177925.4580000001</v>
      </c>
      <c r="GO47" s="426">
        <f t="shared" si="48"/>
        <v>876244.92700000003</v>
      </c>
      <c r="GP47" s="426">
        <f t="shared" si="49"/>
        <v>301680.53100000002</v>
      </c>
      <c r="GQ47" s="426">
        <f t="shared" si="50"/>
        <v>876244.92700000003</v>
      </c>
      <c r="GR47" s="426">
        <f t="shared" si="51"/>
        <v>0</v>
      </c>
      <c r="GV47" s="780" t="s">
        <v>370</v>
      </c>
      <c r="GW47" s="779">
        <v>130807217</v>
      </c>
      <c r="GX47" s="426">
        <f t="shared" si="52"/>
        <v>130807.217</v>
      </c>
      <c r="HB47" s="782" t="s">
        <v>369</v>
      </c>
      <c r="HC47" s="764">
        <v>508573657</v>
      </c>
      <c r="HD47" s="764">
        <v>507318764</v>
      </c>
      <c r="HE47" s="764">
        <v>1254893</v>
      </c>
      <c r="HF47" s="764">
        <v>507318764</v>
      </c>
      <c r="HG47" s="426">
        <f t="shared" si="53"/>
        <v>508573.65700000001</v>
      </c>
      <c r="HH47" s="426">
        <f t="shared" si="54"/>
        <v>1254.893</v>
      </c>
      <c r="HI47" s="426">
        <f t="shared" si="55"/>
        <v>507318.76400000002</v>
      </c>
      <c r="HJ47" s="426">
        <f t="shared" si="56"/>
        <v>1254.893</v>
      </c>
      <c r="HK47" s="426">
        <f t="shared" si="57"/>
        <v>507318.76400000002</v>
      </c>
    </row>
    <row r="48" spans="1:219" ht="15" customHeight="1" x14ac:dyDescent="0.3">
      <c r="A48" s="287" t="s">
        <v>554</v>
      </c>
      <c r="B48" s="288" t="s">
        <v>370</v>
      </c>
      <c r="C48" s="289">
        <v>555587737</v>
      </c>
      <c r="D48" s="290">
        <f t="shared" si="3"/>
        <v>590589.76443099999</v>
      </c>
      <c r="E48" s="289">
        <v>0</v>
      </c>
      <c r="F48" s="289">
        <f t="shared" si="4"/>
        <v>0</v>
      </c>
      <c r="J48" s="291" t="s">
        <v>355</v>
      </c>
      <c r="K48" s="292" t="s">
        <v>381</v>
      </c>
      <c r="L48" s="293">
        <v>2621950</v>
      </c>
      <c r="M48" s="293">
        <f t="shared" si="5"/>
        <v>2787.1328499999995</v>
      </c>
      <c r="Q48" s="291" t="s">
        <v>554</v>
      </c>
      <c r="R48" s="292" t="s">
        <v>370</v>
      </c>
      <c r="S48" s="293">
        <v>555587737</v>
      </c>
      <c r="T48" s="293">
        <v>0</v>
      </c>
      <c r="U48" s="293">
        <f t="shared" si="6"/>
        <v>590589.76443099999</v>
      </c>
      <c r="V48" s="293">
        <f t="shared" si="7"/>
        <v>0</v>
      </c>
      <c r="Z48" s="288" t="s">
        <v>583</v>
      </c>
      <c r="AA48" s="289">
        <v>1165869</v>
      </c>
      <c r="AB48" s="289">
        <f t="shared" si="8"/>
        <v>1239.3187469999998</v>
      </c>
      <c r="AF48" s="288" t="s">
        <v>370</v>
      </c>
      <c r="AG48" s="289">
        <v>555587737</v>
      </c>
      <c r="AH48" s="289">
        <f t="shared" si="59"/>
        <v>590589.76443099999</v>
      </c>
      <c r="AI48" s="289">
        <v>145672520</v>
      </c>
      <c r="AL48" s="426"/>
      <c r="AN48" s="423" t="s">
        <v>554</v>
      </c>
      <c r="AO48" s="424" t="s">
        <v>583</v>
      </c>
      <c r="AP48" s="425">
        <v>2431108</v>
      </c>
      <c r="AQ48" s="425">
        <f t="shared" si="9"/>
        <v>2584.2678040000001</v>
      </c>
      <c r="AU48" s="423" t="s">
        <v>554</v>
      </c>
      <c r="AV48" s="424" t="s">
        <v>370</v>
      </c>
      <c r="AW48" s="425">
        <v>555587737</v>
      </c>
      <c r="AX48" s="425">
        <v>145672520</v>
      </c>
      <c r="AY48" s="425">
        <v>409915217</v>
      </c>
      <c r="AZ48" s="426">
        <f t="shared" si="10"/>
        <v>590589.76443099999</v>
      </c>
      <c r="BA48" s="426">
        <f t="shared" si="11"/>
        <v>154849.88875999997</v>
      </c>
      <c r="BB48" s="426">
        <f t="shared" si="12"/>
        <v>435739.87567099999</v>
      </c>
      <c r="BF48" s="423" t="s">
        <v>553</v>
      </c>
      <c r="BG48" s="424" t="s">
        <v>588</v>
      </c>
      <c r="BH48" s="425">
        <v>0</v>
      </c>
      <c r="BI48" s="426">
        <f t="shared" si="13"/>
        <v>0</v>
      </c>
      <c r="BM48" s="427" t="s">
        <v>554</v>
      </c>
      <c r="BN48" s="93" t="s">
        <v>370</v>
      </c>
      <c r="BO48" s="94">
        <v>0</v>
      </c>
      <c r="BP48" s="94">
        <v>555587737</v>
      </c>
      <c r="BQ48" s="94">
        <v>146253892</v>
      </c>
      <c r="BR48" s="94">
        <v>409333845</v>
      </c>
      <c r="BS48" s="94">
        <v>146253892</v>
      </c>
      <c r="BT48" s="426">
        <f t="shared" si="14"/>
        <v>590589.76443099999</v>
      </c>
      <c r="BU48" s="426">
        <f t="shared" si="15"/>
        <v>155467.887196</v>
      </c>
      <c r="BV48" s="426">
        <f t="shared" si="16"/>
        <v>435121.87723499996</v>
      </c>
      <c r="BW48" s="426">
        <f t="shared" si="17"/>
        <v>155467.887196</v>
      </c>
      <c r="CA48" s="93" t="s">
        <v>582</v>
      </c>
      <c r="CB48" s="426">
        <v>19906420</v>
      </c>
      <c r="CC48" s="426">
        <f t="shared" si="18"/>
        <v>21160.524459999997</v>
      </c>
      <c r="CG48" s="424" t="s">
        <v>581</v>
      </c>
      <c r="CH48" s="425">
        <v>0</v>
      </c>
      <c r="CI48" s="425">
        <v>575605053</v>
      </c>
      <c r="CJ48" s="425">
        <v>-575605053</v>
      </c>
      <c r="CK48" s="425">
        <v>308175462</v>
      </c>
      <c r="CL48" s="425">
        <v>267429591</v>
      </c>
      <c r="CM48" s="425">
        <v>308175462</v>
      </c>
      <c r="CN48" s="425">
        <f t="shared" si="19"/>
        <v>611868.17133899988</v>
      </c>
      <c r="CO48" s="425">
        <f t="shared" si="20"/>
        <v>327590.516106</v>
      </c>
      <c r="CP48" s="425">
        <f t="shared" si="21"/>
        <v>284277.655233</v>
      </c>
      <c r="CQ48" s="425">
        <f t="shared" si="22"/>
        <v>327590.516106</v>
      </c>
      <c r="CU48" s="424" t="s">
        <v>624</v>
      </c>
      <c r="CV48" s="425">
        <v>10809276</v>
      </c>
      <c r="CW48" s="425">
        <v>10809276</v>
      </c>
      <c r="CX48" s="426">
        <f t="shared" si="23"/>
        <v>11490.260387999999</v>
      </c>
      <c r="CY48" s="426">
        <f t="shared" si="24"/>
        <v>11490.260387999999</v>
      </c>
      <c r="DB48" s="568" t="s">
        <v>581</v>
      </c>
      <c r="DC48" s="569">
        <v>575605053</v>
      </c>
      <c r="DD48" s="569">
        <v>308411374</v>
      </c>
      <c r="DE48" s="569">
        <v>267193679</v>
      </c>
      <c r="DF48" s="569">
        <v>308411374</v>
      </c>
      <c r="DG48" s="570">
        <f t="shared" si="25"/>
        <v>611868.17133899988</v>
      </c>
      <c r="DH48" s="570">
        <f t="shared" si="26"/>
        <v>327841.29056200001</v>
      </c>
      <c r="DI48" s="570">
        <f t="shared" si="27"/>
        <v>284026.88077699998</v>
      </c>
      <c r="DJ48" s="570">
        <f t="shared" si="28"/>
        <v>327841.29056200001</v>
      </c>
      <c r="DN48" s="93" t="s">
        <v>378</v>
      </c>
      <c r="DO48" s="93">
        <v>60282231</v>
      </c>
      <c r="DP48" s="93">
        <v>203262435</v>
      </c>
      <c r="DQ48" s="626">
        <f>+DO48/$DS$2*$DT$2</f>
        <v>64080.011552999997</v>
      </c>
      <c r="DR48" s="626">
        <f t="shared" si="30"/>
        <v>216067.96840499999</v>
      </c>
      <c r="DV48" s="93" t="s">
        <v>581</v>
      </c>
      <c r="DW48" s="94">
        <v>575605053</v>
      </c>
      <c r="DX48" s="94">
        <v>308472427</v>
      </c>
      <c r="DY48" s="94">
        <v>267132626</v>
      </c>
      <c r="DZ48" s="94">
        <v>308472427</v>
      </c>
      <c r="EA48" s="94">
        <f t="shared" si="58"/>
        <v>611868.17133899988</v>
      </c>
      <c r="EB48" s="94">
        <f t="shared" si="31"/>
        <v>327906.18990100001</v>
      </c>
      <c r="EC48" s="94">
        <f t="shared" si="32"/>
        <v>283961.98143799999</v>
      </c>
      <c r="ED48" s="94">
        <f t="shared" si="33"/>
        <v>327906.18990100001</v>
      </c>
      <c r="EH48" s="420" t="s">
        <v>373</v>
      </c>
      <c r="EI48" s="420">
        <v>20700881</v>
      </c>
      <c r="EJ48" s="426">
        <f t="shared" si="34"/>
        <v>22005.036502999999</v>
      </c>
      <c r="EN48" s="420" t="s">
        <v>581</v>
      </c>
      <c r="EO48" s="426">
        <v>622337721</v>
      </c>
      <c r="EP48" s="426">
        <v>465477564</v>
      </c>
      <c r="EQ48" s="426">
        <v>156860157</v>
      </c>
      <c r="ER48" s="426">
        <v>465477564</v>
      </c>
      <c r="ES48" s="700">
        <f t="shared" si="35"/>
        <v>661544.99742299994</v>
      </c>
      <c r="ET48" s="700">
        <f t="shared" si="36"/>
        <v>494802.650532</v>
      </c>
      <c r="EU48" s="700">
        <f t="shared" si="37"/>
        <v>166742.34689099999</v>
      </c>
      <c r="EV48" s="700">
        <f t="shared" si="38"/>
        <v>494802.650532</v>
      </c>
      <c r="EZ48" s="730" t="s">
        <v>355</v>
      </c>
      <c r="FA48" s="731" t="s">
        <v>375</v>
      </c>
      <c r="FB48" s="420">
        <v>96157797</v>
      </c>
      <c r="FC48" s="426">
        <f t="shared" si="39"/>
        <v>96157.797000000006</v>
      </c>
      <c r="FG48" s="735" t="s">
        <v>554</v>
      </c>
      <c r="FH48" s="734" t="s">
        <v>581</v>
      </c>
      <c r="FI48" s="732">
        <v>622337721</v>
      </c>
      <c r="FJ48" s="733">
        <v>465544602</v>
      </c>
      <c r="FK48" s="733">
        <v>156793119</v>
      </c>
      <c r="FL48" s="733">
        <v>465544602</v>
      </c>
      <c r="FM48" s="426">
        <f t="shared" si="40"/>
        <v>622337.72100000002</v>
      </c>
      <c r="FN48" s="426">
        <f t="shared" si="41"/>
        <v>465544.60200000001</v>
      </c>
      <c r="FO48" s="426">
        <f t="shared" si="42"/>
        <v>156793.11900000001</v>
      </c>
      <c r="FP48" s="426">
        <f t="shared" si="43"/>
        <v>465544.60200000001</v>
      </c>
      <c r="FT48" s="427" t="s">
        <v>553</v>
      </c>
      <c r="FU48" s="93" t="s">
        <v>372</v>
      </c>
      <c r="FV48" s="94">
        <v>0</v>
      </c>
      <c r="FW48" s="94">
        <v>0</v>
      </c>
      <c r="FX48" s="94">
        <v>0</v>
      </c>
      <c r="FY48" s="426">
        <f t="shared" si="44"/>
        <v>0</v>
      </c>
      <c r="FZ48" s="426">
        <f t="shared" si="45"/>
        <v>0</v>
      </c>
      <c r="GA48" s="426">
        <f t="shared" si="46"/>
        <v>0</v>
      </c>
      <c r="GG48" s="762" t="s">
        <v>554</v>
      </c>
      <c r="GH48" s="763" t="s">
        <v>581</v>
      </c>
      <c r="GI48" s="764">
        <v>622337721</v>
      </c>
      <c r="GJ48" s="764">
        <v>465544602</v>
      </c>
      <c r="GK48" s="764">
        <v>156793119</v>
      </c>
      <c r="GL48" s="764">
        <v>465544602</v>
      </c>
      <c r="GM48" s="764">
        <v>0</v>
      </c>
      <c r="GN48" s="426">
        <f t="shared" si="47"/>
        <v>622337.72100000002</v>
      </c>
      <c r="GO48" s="426">
        <f t="shared" si="48"/>
        <v>465544.60200000001</v>
      </c>
      <c r="GP48" s="426">
        <f t="shared" si="49"/>
        <v>156793.11900000001</v>
      </c>
      <c r="GQ48" s="426">
        <f t="shared" si="50"/>
        <v>465544.60200000001</v>
      </c>
      <c r="GR48" s="426">
        <f t="shared" si="51"/>
        <v>0</v>
      </c>
      <c r="GV48" s="780" t="s">
        <v>926</v>
      </c>
      <c r="GW48" s="779">
        <v>18153</v>
      </c>
      <c r="GX48" s="426">
        <f t="shared" si="52"/>
        <v>18.152999999999999</v>
      </c>
      <c r="HB48" s="782" t="s">
        <v>578</v>
      </c>
      <c r="HC48" s="764">
        <v>40654640</v>
      </c>
      <c r="HD48" s="764">
        <v>40654640</v>
      </c>
      <c r="HE48" s="764">
        <v>0</v>
      </c>
      <c r="HF48" s="764">
        <v>40654640</v>
      </c>
      <c r="HG48" s="426">
        <f t="shared" si="53"/>
        <v>40654.639999999999</v>
      </c>
      <c r="HH48" s="426">
        <f t="shared" si="54"/>
        <v>0</v>
      </c>
      <c r="HI48" s="426">
        <f t="shared" si="55"/>
        <v>40654.639999999999</v>
      </c>
      <c r="HJ48" s="426">
        <f t="shared" si="56"/>
        <v>0</v>
      </c>
      <c r="HK48" s="426">
        <f t="shared" si="57"/>
        <v>40654.639999999999</v>
      </c>
    </row>
    <row r="49" spans="1:219" ht="15" customHeight="1" x14ac:dyDescent="0.3">
      <c r="A49" s="287" t="s">
        <v>553</v>
      </c>
      <c r="B49" s="288" t="s">
        <v>371</v>
      </c>
      <c r="C49" s="289">
        <v>316803900</v>
      </c>
      <c r="D49" s="290">
        <f t="shared" si="3"/>
        <v>336762.54570000002</v>
      </c>
      <c r="E49" s="289">
        <v>22432950</v>
      </c>
      <c r="F49" s="289">
        <f t="shared" si="4"/>
        <v>23846.225849999999</v>
      </c>
      <c r="J49" s="291" t="s">
        <v>553</v>
      </c>
      <c r="K49" s="292" t="s">
        <v>382</v>
      </c>
      <c r="L49" s="293">
        <v>0</v>
      </c>
      <c r="M49" s="293">
        <f t="shared" si="5"/>
        <v>0</v>
      </c>
      <c r="Q49" s="291" t="s">
        <v>553</v>
      </c>
      <c r="R49" s="292" t="s">
        <v>371</v>
      </c>
      <c r="S49" s="293">
        <v>316803900</v>
      </c>
      <c r="T49" s="293">
        <v>42534949</v>
      </c>
      <c r="U49" s="293">
        <f t="shared" si="6"/>
        <v>336762.54570000002</v>
      </c>
      <c r="V49" s="293">
        <f t="shared" si="7"/>
        <v>45214.650786999999</v>
      </c>
      <c r="Z49" s="288" t="s">
        <v>624</v>
      </c>
      <c r="AA49" s="289">
        <v>4444145</v>
      </c>
      <c r="AB49" s="289">
        <f t="shared" si="8"/>
        <v>4724.1261350000004</v>
      </c>
      <c r="AF49" s="288" t="s">
        <v>371</v>
      </c>
      <c r="AG49" s="289">
        <v>318603900</v>
      </c>
      <c r="AH49" s="289">
        <f t="shared" si="59"/>
        <v>338675.94569999998</v>
      </c>
      <c r="AI49" s="289">
        <v>55554461</v>
      </c>
      <c r="AL49" s="426"/>
      <c r="AN49" s="423" t="s">
        <v>554</v>
      </c>
      <c r="AO49" s="424" t="s">
        <v>624</v>
      </c>
      <c r="AP49" s="425">
        <v>2328006</v>
      </c>
      <c r="AQ49" s="425">
        <f t="shared" si="9"/>
        <v>2474.6703779999998</v>
      </c>
      <c r="AU49" s="423" t="s">
        <v>553</v>
      </c>
      <c r="AV49" s="424" t="s">
        <v>371</v>
      </c>
      <c r="AW49" s="425">
        <v>316503900</v>
      </c>
      <c r="AX49" s="425">
        <v>89115960</v>
      </c>
      <c r="AY49" s="425">
        <v>227387940</v>
      </c>
      <c r="AZ49" s="426">
        <f t="shared" si="10"/>
        <v>336443.64569999999</v>
      </c>
      <c r="BA49" s="426">
        <f t="shared" si="11"/>
        <v>94730.265480000002</v>
      </c>
      <c r="BB49" s="426">
        <f t="shared" si="12"/>
        <v>241713.38021999999</v>
      </c>
      <c r="BF49" s="423" t="s">
        <v>355</v>
      </c>
      <c r="BG49" s="424" t="s">
        <v>381</v>
      </c>
      <c r="BH49" s="425">
        <v>8283775</v>
      </c>
      <c r="BI49" s="426">
        <f t="shared" si="13"/>
        <v>8805.6528249999992</v>
      </c>
      <c r="BM49" s="427" t="s">
        <v>553</v>
      </c>
      <c r="BN49" s="93" t="s">
        <v>371</v>
      </c>
      <c r="BO49" s="94">
        <v>0</v>
      </c>
      <c r="BP49" s="94">
        <v>315641900</v>
      </c>
      <c r="BQ49" s="94">
        <v>119514537</v>
      </c>
      <c r="BR49" s="94">
        <v>196127363</v>
      </c>
      <c r="BS49" s="94">
        <v>119514537</v>
      </c>
      <c r="BT49" s="426">
        <f t="shared" si="14"/>
        <v>335527.33970000001</v>
      </c>
      <c r="BU49" s="426">
        <f t="shared" si="15"/>
        <v>127043.95283099999</v>
      </c>
      <c r="BV49" s="426">
        <f t="shared" si="16"/>
        <v>208483.38686900001</v>
      </c>
      <c r="BW49" s="426">
        <f t="shared" si="17"/>
        <v>127043.95283099999</v>
      </c>
      <c r="CA49" s="93" t="s">
        <v>583</v>
      </c>
      <c r="CB49" s="426">
        <v>2409788</v>
      </c>
      <c r="CC49" s="426">
        <f t="shared" si="18"/>
        <v>2561.604644</v>
      </c>
      <c r="CG49" s="424" t="s">
        <v>370</v>
      </c>
      <c r="CH49" s="425">
        <v>0</v>
      </c>
      <c r="CI49" s="425">
        <v>555587737</v>
      </c>
      <c r="CJ49" s="425">
        <v>-555587737</v>
      </c>
      <c r="CK49" s="425">
        <v>280979633</v>
      </c>
      <c r="CL49" s="425">
        <v>274608104</v>
      </c>
      <c r="CM49" s="425">
        <v>280979633</v>
      </c>
      <c r="CN49" s="425">
        <f t="shared" si="19"/>
        <v>590589.76443099999</v>
      </c>
      <c r="CO49" s="425">
        <f t="shared" si="20"/>
        <v>298681.34987899993</v>
      </c>
      <c r="CP49" s="425">
        <f t="shared" si="21"/>
        <v>291908.414552</v>
      </c>
      <c r="CQ49" s="425">
        <f t="shared" si="22"/>
        <v>298681.34987899993</v>
      </c>
      <c r="CU49" s="424" t="s">
        <v>372</v>
      </c>
      <c r="CV49" s="425">
        <v>0</v>
      </c>
      <c r="CW49" s="425">
        <v>0</v>
      </c>
      <c r="CX49" s="426">
        <f t="shared" si="23"/>
        <v>0</v>
      </c>
      <c r="CY49" s="426">
        <f t="shared" si="24"/>
        <v>0</v>
      </c>
      <c r="DB49" s="568" t="s">
        <v>370</v>
      </c>
      <c r="DC49" s="569">
        <v>555587737</v>
      </c>
      <c r="DD49" s="569">
        <v>281183441</v>
      </c>
      <c r="DE49" s="569">
        <v>274404296</v>
      </c>
      <c r="DF49" s="569">
        <v>281183441</v>
      </c>
      <c r="DG49" s="570">
        <f t="shared" si="25"/>
        <v>590589.76443099999</v>
      </c>
      <c r="DH49" s="570">
        <f t="shared" si="26"/>
        <v>298897.997783</v>
      </c>
      <c r="DI49" s="570">
        <f t="shared" si="27"/>
        <v>291691.76664799993</v>
      </c>
      <c r="DJ49" s="570">
        <f t="shared" si="28"/>
        <v>298897.997783</v>
      </c>
      <c r="DN49" s="93" t="s">
        <v>379</v>
      </c>
      <c r="DO49" s="93">
        <v>0</v>
      </c>
      <c r="DP49" s="93">
        <v>0</v>
      </c>
      <c r="DQ49" s="626">
        <f t="shared" si="29"/>
        <v>0</v>
      </c>
      <c r="DR49" s="626">
        <f t="shared" si="30"/>
        <v>0</v>
      </c>
      <c r="DV49" s="93" t="s">
        <v>370</v>
      </c>
      <c r="DW49" s="94">
        <v>555587737</v>
      </c>
      <c r="DX49" s="94">
        <v>281216762</v>
      </c>
      <c r="DY49" s="94">
        <v>274370975</v>
      </c>
      <c r="DZ49" s="94">
        <v>281216762</v>
      </c>
      <c r="EA49" s="94">
        <f t="shared" si="58"/>
        <v>590589.76443099999</v>
      </c>
      <c r="EB49" s="94">
        <f t="shared" si="31"/>
        <v>298933.41800599999</v>
      </c>
      <c r="EC49" s="94">
        <f t="shared" si="32"/>
        <v>291656.34642499994</v>
      </c>
      <c r="ED49" s="94">
        <f t="shared" si="33"/>
        <v>298933.41800599999</v>
      </c>
      <c r="EH49" s="420" t="s">
        <v>375</v>
      </c>
      <c r="EI49" s="420">
        <v>93557739</v>
      </c>
      <c r="EJ49" s="426">
        <f t="shared" si="34"/>
        <v>99451.876556999996</v>
      </c>
      <c r="EN49" s="420" t="s">
        <v>370</v>
      </c>
      <c r="EO49" s="426">
        <v>555587737</v>
      </c>
      <c r="EP49" s="426">
        <v>410700325</v>
      </c>
      <c r="EQ49" s="426">
        <v>144887412</v>
      </c>
      <c r="ER49" s="426">
        <v>410700325</v>
      </c>
      <c r="ES49" s="700">
        <f t="shared" si="35"/>
        <v>590589.76443099999</v>
      </c>
      <c r="ET49" s="700">
        <f t="shared" si="36"/>
        <v>436574.44547500001</v>
      </c>
      <c r="EU49" s="700">
        <f t="shared" si="37"/>
        <v>154015.318956</v>
      </c>
      <c r="EV49" s="700">
        <f t="shared" si="38"/>
        <v>436574.44547500001</v>
      </c>
      <c r="EZ49" s="730" t="s">
        <v>553</v>
      </c>
      <c r="FA49" s="731" t="s">
        <v>584</v>
      </c>
      <c r="FB49" s="420">
        <v>93156015</v>
      </c>
      <c r="FC49" s="426">
        <f t="shared" si="39"/>
        <v>93156.014999999999</v>
      </c>
      <c r="FG49" s="735" t="s">
        <v>554</v>
      </c>
      <c r="FH49" s="734" t="s">
        <v>370</v>
      </c>
      <c r="FI49" s="732">
        <v>555587737</v>
      </c>
      <c r="FJ49" s="733">
        <v>410700325</v>
      </c>
      <c r="FK49" s="733">
        <v>144887412</v>
      </c>
      <c r="FL49" s="733">
        <v>410700325</v>
      </c>
      <c r="FM49" s="426">
        <f t="shared" si="40"/>
        <v>555587.73699999996</v>
      </c>
      <c r="FN49" s="426">
        <f t="shared" si="41"/>
        <v>410700.32500000001</v>
      </c>
      <c r="FO49" s="426">
        <f t="shared" si="42"/>
        <v>144887.41200000001</v>
      </c>
      <c r="FP49" s="426">
        <f t="shared" si="43"/>
        <v>410700.32500000001</v>
      </c>
      <c r="FT49" s="427" t="s">
        <v>554</v>
      </c>
      <c r="FU49" s="93" t="s">
        <v>373</v>
      </c>
      <c r="FV49" s="94">
        <v>0</v>
      </c>
      <c r="FW49" s="94">
        <v>0</v>
      </c>
      <c r="FX49" s="94">
        <v>0</v>
      </c>
      <c r="FY49" s="426">
        <f t="shared" si="44"/>
        <v>0</v>
      </c>
      <c r="FZ49" s="426">
        <f t="shared" si="45"/>
        <v>0</v>
      </c>
      <c r="GA49" s="426">
        <f t="shared" si="46"/>
        <v>0</v>
      </c>
      <c r="GG49" s="762" t="s">
        <v>554</v>
      </c>
      <c r="GH49" s="763" t="s">
        <v>370</v>
      </c>
      <c r="GI49" s="764">
        <v>555587737</v>
      </c>
      <c r="GJ49" s="764">
        <v>410700325</v>
      </c>
      <c r="GK49" s="764">
        <v>144887412</v>
      </c>
      <c r="GL49" s="764">
        <v>410700325</v>
      </c>
      <c r="GM49" s="764">
        <v>0</v>
      </c>
      <c r="GN49" s="426">
        <f t="shared" si="47"/>
        <v>555587.73699999996</v>
      </c>
      <c r="GO49" s="426">
        <f t="shared" si="48"/>
        <v>410700.32500000001</v>
      </c>
      <c r="GP49" s="426">
        <f t="shared" si="49"/>
        <v>144887.41200000001</v>
      </c>
      <c r="GQ49" s="426">
        <f t="shared" si="50"/>
        <v>410700.32500000001</v>
      </c>
      <c r="GR49" s="426">
        <f t="shared" si="51"/>
        <v>0</v>
      </c>
      <c r="GV49" s="780" t="s">
        <v>371</v>
      </c>
      <c r="GW49" s="779">
        <v>53058711</v>
      </c>
      <c r="GX49" s="426">
        <f t="shared" si="52"/>
        <v>53058.711000000003</v>
      </c>
      <c r="HB49" s="782" t="s">
        <v>579</v>
      </c>
      <c r="HC49" s="764">
        <v>467919017</v>
      </c>
      <c r="HD49" s="764">
        <v>466664124</v>
      </c>
      <c r="HE49" s="764">
        <v>1254893</v>
      </c>
      <c r="HF49" s="764">
        <v>466664124</v>
      </c>
      <c r="HG49" s="426">
        <f t="shared" si="53"/>
        <v>467919.01699999999</v>
      </c>
      <c r="HH49" s="426">
        <f t="shared" si="54"/>
        <v>1254.893</v>
      </c>
      <c r="HI49" s="426">
        <f t="shared" si="55"/>
        <v>466664.12400000001</v>
      </c>
      <c r="HJ49" s="426">
        <f t="shared" si="56"/>
        <v>1254.893</v>
      </c>
      <c r="HK49" s="426">
        <f t="shared" si="57"/>
        <v>466664.12400000001</v>
      </c>
    </row>
    <row r="50" spans="1:219" ht="15" customHeight="1" x14ac:dyDescent="0.3">
      <c r="A50" s="287" t="s">
        <v>554</v>
      </c>
      <c r="B50" s="288" t="s">
        <v>582</v>
      </c>
      <c r="C50" s="289">
        <v>201222300</v>
      </c>
      <c r="D50" s="290">
        <f t="shared" si="3"/>
        <v>213899.30489999999</v>
      </c>
      <c r="E50" s="289">
        <v>13339399</v>
      </c>
      <c r="F50" s="289">
        <f t="shared" si="4"/>
        <v>14179.781136999998</v>
      </c>
      <c r="J50" s="291" t="s">
        <v>553</v>
      </c>
      <c r="K50" s="292" t="s">
        <v>589</v>
      </c>
      <c r="L50" s="293">
        <v>765523</v>
      </c>
      <c r="M50" s="293">
        <f t="shared" si="5"/>
        <v>813.75094899999999</v>
      </c>
      <c r="Q50" s="291" t="s">
        <v>554</v>
      </c>
      <c r="R50" s="292" t="s">
        <v>582</v>
      </c>
      <c r="S50" s="293">
        <v>201222300</v>
      </c>
      <c r="T50" s="293">
        <v>26678798</v>
      </c>
      <c r="U50" s="293">
        <f t="shared" si="6"/>
        <v>213899.30489999999</v>
      </c>
      <c r="V50" s="293">
        <f t="shared" si="7"/>
        <v>28359.562273999996</v>
      </c>
      <c r="Z50" s="288" t="s">
        <v>372</v>
      </c>
      <c r="AA50" s="289">
        <v>7146423</v>
      </c>
      <c r="AB50" s="289">
        <f t="shared" si="8"/>
        <v>7596.6476489999995</v>
      </c>
      <c r="AF50" s="288" t="s">
        <v>582</v>
      </c>
      <c r="AG50" s="289">
        <v>201222300</v>
      </c>
      <c r="AH50" s="289">
        <f t="shared" si="59"/>
        <v>213899.30489999999</v>
      </c>
      <c r="AI50" s="289">
        <v>34088296</v>
      </c>
      <c r="AL50" s="426"/>
      <c r="AN50" s="423" t="s">
        <v>553</v>
      </c>
      <c r="AO50" s="424" t="s">
        <v>372</v>
      </c>
      <c r="AP50" s="425">
        <v>0</v>
      </c>
      <c r="AQ50" s="425">
        <f t="shared" si="9"/>
        <v>0</v>
      </c>
      <c r="AU50" s="423" t="s">
        <v>554</v>
      </c>
      <c r="AV50" s="424" t="s">
        <v>582</v>
      </c>
      <c r="AW50" s="425">
        <v>201222300</v>
      </c>
      <c r="AX50" s="425">
        <v>62890681</v>
      </c>
      <c r="AY50" s="425">
        <v>138331619</v>
      </c>
      <c r="AZ50" s="426">
        <f t="shared" si="10"/>
        <v>213899.30489999999</v>
      </c>
      <c r="BA50" s="426">
        <f t="shared" si="11"/>
        <v>66852.793902999998</v>
      </c>
      <c r="BB50" s="426">
        <f t="shared" si="12"/>
        <v>147046.510997</v>
      </c>
      <c r="BF50" s="423" t="s">
        <v>553</v>
      </c>
      <c r="BG50" s="424" t="s">
        <v>382</v>
      </c>
      <c r="BH50" s="425">
        <v>237048</v>
      </c>
      <c r="BI50" s="426">
        <f t="shared" si="13"/>
        <v>251.982024</v>
      </c>
      <c r="BM50" s="427" t="s">
        <v>554</v>
      </c>
      <c r="BN50" s="93" t="s">
        <v>582</v>
      </c>
      <c r="BO50" s="94">
        <v>0</v>
      </c>
      <c r="BP50" s="94">
        <v>201222300</v>
      </c>
      <c r="BQ50" s="94">
        <v>82797101</v>
      </c>
      <c r="BR50" s="94">
        <v>118425199</v>
      </c>
      <c r="BS50" s="94">
        <v>82797101</v>
      </c>
      <c r="BT50" s="426">
        <f t="shared" si="14"/>
        <v>213899.30489999999</v>
      </c>
      <c r="BU50" s="426">
        <f t="shared" si="15"/>
        <v>88013.318362999984</v>
      </c>
      <c r="BV50" s="426">
        <f t="shared" si="16"/>
        <v>125885.98653699999</v>
      </c>
      <c r="BW50" s="426">
        <f t="shared" si="17"/>
        <v>88013.318362999984</v>
      </c>
      <c r="CA50" s="93" t="s">
        <v>624</v>
      </c>
      <c r="CB50" s="426">
        <v>7889272</v>
      </c>
      <c r="CC50" s="426">
        <f t="shared" si="18"/>
        <v>8386.296135999999</v>
      </c>
      <c r="CG50" s="424" t="s">
        <v>371</v>
      </c>
      <c r="CH50" s="425">
        <v>0</v>
      </c>
      <c r="CI50" s="425">
        <v>315441900</v>
      </c>
      <c r="CJ50" s="425">
        <v>-315441900</v>
      </c>
      <c r="CK50" s="425">
        <v>149720017</v>
      </c>
      <c r="CL50" s="425">
        <v>165721883</v>
      </c>
      <c r="CM50" s="425">
        <v>149720017</v>
      </c>
      <c r="CN50" s="425">
        <f t="shared" si="19"/>
        <v>335314.73970000003</v>
      </c>
      <c r="CO50" s="425">
        <f t="shared" si="20"/>
        <v>159152.37807099998</v>
      </c>
      <c r="CP50" s="425">
        <f t="shared" si="21"/>
        <v>176162.36162899999</v>
      </c>
      <c r="CQ50" s="425">
        <f t="shared" si="22"/>
        <v>159152.37807099998</v>
      </c>
      <c r="CU50" s="424" t="s">
        <v>482</v>
      </c>
      <c r="CV50" s="425">
        <v>0</v>
      </c>
      <c r="CW50" s="425">
        <v>0</v>
      </c>
      <c r="CX50" s="426">
        <f t="shared" si="23"/>
        <v>0</v>
      </c>
      <c r="CY50" s="426">
        <f t="shared" si="24"/>
        <v>0</v>
      </c>
      <c r="DB50" s="568" t="s">
        <v>371</v>
      </c>
      <c r="DC50" s="569">
        <v>314991900</v>
      </c>
      <c r="DD50" s="569">
        <v>185331919</v>
      </c>
      <c r="DE50" s="569">
        <v>129659981</v>
      </c>
      <c r="DF50" s="569">
        <v>185331919</v>
      </c>
      <c r="DG50" s="570">
        <f t="shared" si="25"/>
        <v>334836.3897</v>
      </c>
      <c r="DH50" s="570">
        <f t="shared" si="26"/>
        <v>197007.82989699999</v>
      </c>
      <c r="DI50" s="570">
        <f t="shared" si="27"/>
        <v>137828.55980299998</v>
      </c>
      <c r="DJ50" s="570">
        <f t="shared" si="28"/>
        <v>197007.82989699999</v>
      </c>
      <c r="DN50" s="93" t="s">
        <v>588</v>
      </c>
      <c r="DO50" s="93">
        <v>0</v>
      </c>
      <c r="DP50" s="93">
        <v>0</v>
      </c>
      <c r="DQ50" s="626">
        <f t="shared" si="29"/>
        <v>0</v>
      </c>
      <c r="DR50" s="626">
        <f t="shared" si="30"/>
        <v>0</v>
      </c>
      <c r="DV50" s="93" t="s">
        <v>371</v>
      </c>
      <c r="DW50" s="94">
        <v>352655900</v>
      </c>
      <c r="DX50" s="94">
        <v>220220999</v>
      </c>
      <c r="DY50" s="94">
        <v>132434901</v>
      </c>
      <c r="DZ50" s="94">
        <v>220220999</v>
      </c>
      <c r="EA50" s="94">
        <f t="shared" si="58"/>
        <v>374873.22169999999</v>
      </c>
      <c r="EB50" s="94">
        <f t="shared" si="31"/>
        <v>234094.92193700001</v>
      </c>
      <c r="EC50" s="94">
        <f t="shared" si="32"/>
        <v>140778.29976300002</v>
      </c>
      <c r="ED50" s="94">
        <f t="shared" si="33"/>
        <v>234094.92193700001</v>
      </c>
      <c r="EH50" s="420" t="s">
        <v>584</v>
      </c>
      <c r="EI50" s="420">
        <v>88771481</v>
      </c>
      <c r="EJ50" s="426">
        <f t="shared" si="34"/>
        <v>94364.084302999996</v>
      </c>
      <c r="EN50" s="420" t="s">
        <v>371</v>
      </c>
      <c r="EO50" s="426">
        <v>352155900</v>
      </c>
      <c r="EP50" s="426">
        <v>251315517</v>
      </c>
      <c r="EQ50" s="426">
        <v>100840383</v>
      </c>
      <c r="ER50" s="426">
        <v>251315517</v>
      </c>
      <c r="ES50" s="700">
        <f t="shared" si="35"/>
        <v>374341.72169999999</v>
      </c>
      <c r="ET50" s="700">
        <f t="shared" si="36"/>
        <v>267148.39457099995</v>
      </c>
      <c r="EU50" s="700">
        <f t="shared" si="37"/>
        <v>107193.327129</v>
      </c>
      <c r="EV50" s="700">
        <f t="shared" si="38"/>
        <v>267148.39457099995</v>
      </c>
      <c r="EZ50" s="730" t="s">
        <v>554</v>
      </c>
      <c r="FA50" s="731" t="s">
        <v>585</v>
      </c>
      <c r="FB50" s="420">
        <v>92094542</v>
      </c>
      <c r="FC50" s="426">
        <f t="shared" si="39"/>
        <v>92094.542000000001</v>
      </c>
      <c r="FG50" s="735" t="s">
        <v>553</v>
      </c>
      <c r="FH50" s="734" t="s">
        <v>371</v>
      </c>
      <c r="FI50" s="732">
        <v>350055900</v>
      </c>
      <c r="FJ50" s="733">
        <v>282704993</v>
      </c>
      <c r="FK50" s="733">
        <v>67350907</v>
      </c>
      <c r="FL50" s="733">
        <v>282704993</v>
      </c>
      <c r="FM50" s="426">
        <f t="shared" si="40"/>
        <v>350055.9</v>
      </c>
      <c r="FN50" s="426">
        <f t="shared" si="41"/>
        <v>282704.99300000002</v>
      </c>
      <c r="FO50" s="426">
        <f t="shared" si="42"/>
        <v>67350.907000000007</v>
      </c>
      <c r="FP50" s="426">
        <f t="shared" si="43"/>
        <v>282704.99300000002</v>
      </c>
      <c r="FT50" s="427" t="s">
        <v>355</v>
      </c>
      <c r="FU50" s="93" t="s">
        <v>375</v>
      </c>
      <c r="FV50" s="94">
        <v>19059000</v>
      </c>
      <c r="FW50" s="94">
        <v>91311725</v>
      </c>
      <c r="FX50" s="94">
        <v>91311725</v>
      </c>
      <c r="FY50" s="426">
        <f t="shared" si="44"/>
        <v>19059</v>
      </c>
      <c r="FZ50" s="426">
        <f t="shared" si="45"/>
        <v>91311.725000000006</v>
      </c>
      <c r="GA50" s="426">
        <f t="shared" si="46"/>
        <v>91311.725000000006</v>
      </c>
      <c r="GG50" s="762" t="s">
        <v>553</v>
      </c>
      <c r="GH50" s="763" t="s">
        <v>371</v>
      </c>
      <c r="GI50" s="764">
        <v>362708900</v>
      </c>
      <c r="GJ50" s="764">
        <v>320670616</v>
      </c>
      <c r="GK50" s="764">
        <v>42038284</v>
      </c>
      <c r="GL50" s="764">
        <v>320670616</v>
      </c>
      <c r="GM50" s="764">
        <v>0</v>
      </c>
      <c r="GN50" s="426">
        <f t="shared" si="47"/>
        <v>362708.9</v>
      </c>
      <c r="GO50" s="426">
        <f t="shared" si="48"/>
        <v>320670.61599999998</v>
      </c>
      <c r="GP50" s="426">
        <f t="shared" si="49"/>
        <v>42038.284</v>
      </c>
      <c r="GQ50" s="426">
        <f t="shared" si="50"/>
        <v>320670.61599999998</v>
      </c>
      <c r="GR50" s="426">
        <f t="shared" si="51"/>
        <v>0</v>
      </c>
      <c r="GV50" s="780" t="s">
        <v>582</v>
      </c>
      <c r="GW50" s="779">
        <v>24045931</v>
      </c>
      <c r="GX50" s="426">
        <f t="shared" si="52"/>
        <v>24045.931</v>
      </c>
      <c r="HB50" s="782" t="s">
        <v>580</v>
      </c>
      <c r="HC50" s="764">
        <v>1186095458</v>
      </c>
      <c r="HD50" s="764">
        <v>1170962239</v>
      </c>
      <c r="HE50" s="764">
        <v>15133219</v>
      </c>
      <c r="HF50" s="764">
        <v>1170962239</v>
      </c>
      <c r="HG50" s="426">
        <f t="shared" si="53"/>
        <v>1186095.4580000001</v>
      </c>
      <c r="HH50" s="426">
        <f t="shared" si="54"/>
        <v>15133.218999999999</v>
      </c>
      <c r="HI50" s="426">
        <f t="shared" si="55"/>
        <v>1170962.2390000001</v>
      </c>
      <c r="HJ50" s="426">
        <f t="shared" si="56"/>
        <v>15133.218999999999</v>
      </c>
      <c r="HK50" s="426">
        <f t="shared" si="57"/>
        <v>1170962.2390000001</v>
      </c>
    </row>
    <row r="51" spans="1:219" ht="15" customHeight="1" x14ac:dyDescent="0.3">
      <c r="A51" s="287" t="s">
        <v>554</v>
      </c>
      <c r="B51" s="288" t="s">
        <v>583</v>
      </c>
      <c r="C51" s="289">
        <v>55685600</v>
      </c>
      <c r="D51" s="290">
        <f t="shared" si="3"/>
        <v>59193.792799999996</v>
      </c>
      <c r="E51" s="289">
        <v>1793304</v>
      </c>
      <c r="F51" s="289">
        <f t="shared" si="4"/>
        <v>1906.282152</v>
      </c>
      <c r="J51" s="291" t="s">
        <v>553</v>
      </c>
      <c r="K51" s="292" t="s">
        <v>384</v>
      </c>
      <c r="L51" s="293">
        <v>1762421</v>
      </c>
      <c r="M51" s="293">
        <f t="shared" si="5"/>
        <v>1873.4535229999999</v>
      </c>
      <c r="Q51" s="291" t="s">
        <v>554</v>
      </c>
      <c r="R51" s="292" t="s">
        <v>583</v>
      </c>
      <c r="S51" s="293">
        <v>55685600</v>
      </c>
      <c r="T51" s="293">
        <v>4888030</v>
      </c>
      <c r="U51" s="293">
        <f t="shared" si="6"/>
        <v>59193.792799999996</v>
      </c>
      <c r="V51" s="293">
        <f t="shared" si="7"/>
        <v>5195.9758899999997</v>
      </c>
      <c r="Z51" s="288" t="s">
        <v>482</v>
      </c>
      <c r="AA51" s="289">
        <v>7146423</v>
      </c>
      <c r="AB51" s="289">
        <f t="shared" si="8"/>
        <v>7596.6476489999995</v>
      </c>
      <c r="AF51" s="288" t="s">
        <v>583</v>
      </c>
      <c r="AG51" s="289">
        <v>55685600</v>
      </c>
      <c r="AH51" s="289">
        <f t="shared" si="59"/>
        <v>59193.792799999996</v>
      </c>
      <c r="AI51" s="289">
        <v>6053899</v>
      </c>
      <c r="AL51" s="426"/>
      <c r="AN51" s="423" t="s">
        <v>554</v>
      </c>
      <c r="AO51" s="424" t="s">
        <v>482</v>
      </c>
      <c r="AP51" s="425">
        <v>0</v>
      </c>
      <c r="AQ51" s="425">
        <f t="shared" si="9"/>
        <v>0</v>
      </c>
      <c r="AU51" s="423" t="s">
        <v>554</v>
      </c>
      <c r="AV51" s="424" t="s">
        <v>583</v>
      </c>
      <c r="AW51" s="425">
        <v>55685600</v>
      </c>
      <c r="AX51" s="425">
        <v>8485007</v>
      </c>
      <c r="AY51" s="425">
        <v>47200593</v>
      </c>
      <c r="AZ51" s="426">
        <f t="shared" si="10"/>
        <v>59193.792799999996</v>
      </c>
      <c r="BA51" s="426">
        <f t="shared" si="11"/>
        <v>9019.5624409999982</v>
      </c>
      <c r="BB51" s="426">
        <f t="shared" si="12"/>
        <v>50174.230359000001</v>
      </c>
      <c r="BF51" s="423" t="s">
        <v>553</v>
      </c>
      <c r="BG51" s="424" t="s">
        <v>383</v>
      </c>
      <c r="BH51" s="425">
        <v>12000</v>
      </c>
      <c r="BI51" s="426">
        <f t="shared" si="13"/>
        <v>12.756</v>
      </c>
      <c r="BM51" s="427" t="s">
        <v>554</v>
      </c>
      <c r="BN51" s="93" t="s">
        <v>583</v>
      </c>
      <c r="BO51" s="94">
        <v>0</v>
      </c>
      <c r="BP51" s="94">
        <v>55685600</v>
      </c>
      <c r="BQ51" s="94">
        <v>10118608</v>
      </c>
      <c r="BR51" s="94">
        <v>45566992</v>
      </c>
      <c r="BS51" s="94">
        <v>10118608</v>
      </c>
      <c r="BT51" s="426">
        <f t="shared" si="14"/>
        <v>59193.792799999996</v>
      </c>
      <c r="BU51" s="426">
        <f t="shared" si="15"/>
        <v>10756.080303999999</v>
      </c>
      <c r="BV51" s="426">
        <f t="shared" si="16"/>
        <v>48437.712495999993</v>
      </c>
      <c r="BW51" s="426">
        <f t="shared" si="17"/>
        <v>10756.080303999999</v>
      </c>
      <c r="CA51" s="93" t="s">
        <v>372</v>
      </c>
      <c r="CB51" s="426">
        <v>8409879</v>
      </c>
      <c r="CC51" s="426">
        <f t="shared" si="18"/>
        <v>8939.7013770000012</v>
      </c>
      <c r="CG51" s="424" t="s">
        <v>582</v>
      </c>
      <c r="CH51" s="425">
        <v>0</v>
      </c>
      <c r="CI51" s="425">
        <v>201222300</v>
      </c>
      <c r="CJ51" s="425">
        <v>-201222300</v>
      </c>
      <c r="CK51" s="425">
        <v>102703521</v>
      </c>
      <c r="CL51" s="425">
        <v>98518779</v>
      </c>
      <c r="CM51" s="425">
        <v>102703521</v>
      </c>
      <c r="CN51" s="425">
        <f t="shared" si="19"/>
        <v>213899.30489999999</v>
      </c>
      <c r="CO51" s="425">
        <f t="shared" si="20"/>
        <v>109173.84282299998</v>
      </c>
      <c r="CP51" s="425">
        <f t="shared" si="21"/>
        <v>104725.46207699999</v>
      </c>
      <c r="CQ51" s="425">
        <f t="shared" si="22"/>
        <v>109173.84282299998</v>
      </c>
      <c r="CU51" s="424" t="s">
        <v>375</v>
      </c>
      <c r="CV51" s="425">
        <v>81304138</v>
      </c>
      <c r="CW51" s="425">
        <v>81304138</v>
      </c>
      <c r="CX51" s="426">
        <f t="shared" si="23"/>
        <v>86426.298693999997</v>
      </c>
      <c r="CY51" s="426">
        <f t="shared" si="24"/>
        <v>86426.298693999997</v>
      </c>
      <c r="DB51" s="568" t="s">
        <v>582</v>
      </c>
      <c r="DC51" s="569">
        <v>201222300</v>
      </c>
      <c r="DD51" s="569">
        <v>123719379</v>
      </c>
      <c r="DE51" s="569">
        <v>77502921</v>
      </c>
      <c r="DF51" s="569">
        <v>123719379</v>
      </c>
      <c r="DG51" s="570">
        <f t="shared" si="25"/>
        <v>213899.30489999999</v>
      </c>
      <c r="DH51" s="570">
        <f t="shared" si="26"/>
        <v>131513.69987700001</v>
      </c>
      <c r="DI51" s="570">
        <f t="shared" si="27"/>
        <v>82385.605022999996</v>
      </c>
      <c r="DJ51" s="570">
        <f t="shared" si="28"/>
        <v>131513.69987700001</v>
      </c>
      <c r="DN51" s="93" t="s">
        <v>380</v>
      </c>
      <c r="DO51" s="93">
        <v>0</v>
      </c>
      <c r="DP51" s="93">
        <v>0</v>
      </c>
      <c r="DQ51" s="626">
        <f t="shared" si="29"/>
        <v>0</v>
      </c>
      <c r="DR51" s="626">
        <f t="shared" si="30"/>
        <v>0</v>
      </c>
      <c r="DV51" s="93" t="s">
        <v>582</v>
      </c>
      <c r="DW51" s="94">
        <v>201222300</v>
      </c>
      <c r="DX51" s="94">
        <v>143375947</v>
      </c>
      <c r="DY51" s="94">
        <v>57846353</v>
      </c>
      <c r="DZ51" s="94">
        <v>143375947</v>
      </c>
      <c r="EA51" s="94">
        <f t="shared" si="58"/>
        <v>213899.30489999999</v>
      </c>
      <c r="EB51" s="94">
        <f t="shared" si="31"/>
        <v>152408.63166099996</v>
      </c>
      <c r="EC51" s="94">
        <f t="shared" si="32"/>
        <v>61490.673239000003</v>
      </c>
      <c r="ED51" s="94">
        <f t="shared" si="33"/>
        <v>152408.63166099996</v>
      </c>
      <c r="EH51" s="420" t="s">
        <v>585</v>
      </c>
      <c r="EI51" s="420">
        <v>87746687</v>
      </c>
      <c r="EJ51" s="426">
        <f t="shared" si="34"/>
        <v>93274.728281000003</v>
      </c>
      <c r="EN51" s="420" t="s">
        <v>582</v>
      </c>
      <c r="EO51" s="426">
        <v>201222300</v>
      </c>
      <c r="EP51" s="426">
        <v>162343154</v>
      </c>
      <c r="EQ51" s="426">
        <v>38879146</v>
      </c>
      <c r="ER51" s="426">
        <v>162343154</v>
      </c>
      <c r="ES51" s="700">
        <f t="shared" si="35"/>
        <v>213899.30489999999</v>
      </c>
      <c r="ET51" s="700">
        <f t="shared" si="36"/>
        <v>172570.77270199999</v>
      </c>
      <c r="EU51" s="700">
        <f t="shared" si="37"/>
        <v>41328.532198000001</v>
      </c>
      <c r="EV51" s="700">
        <f t="shared" si="38"/>
        <v>172570.77270199999</v>
      </c>
      <c r="EZ51" s="730" t="s">
        <v>554</v>
      </c>
      <c r="FA51" s="731" t="s">
        <v>586</v>
      </c>
      <c r="FB51" s="420">
        <v>1061473</v>
      </c>
      <c r="FC51" s="426">
        <f t="shared" si="39"/>
        <v>1061.473</v>
      </c>
      <c r="FG51" s="735" t="s">
        <v>554</v>
      </c>
      <c r="FH51" s="734" t="s">
        <v>582</v>
      </c>
      <c r="FI51" s="732">
        <v>201222300</v>
      </c>
      <c r="FJ51" s="733">
        <v>181880442</v>
      </c>
      <c r="FK51" s="733">
        <v>19341858</v>
      </c>
      <c r="FL51" s="733">
        <v>181880442</v>
      </c>
      <c r="FM51" s="426">
        <f t="shared" si="40"/>
        <v>201222.3</v>
      </c>
      <c r="FN51" s="426">
        <f t="shared" si="41"/>
        <v>181880.44200000001</v>
      </c>
      <c r="FO51" s="426">
        <f t="shared" si="42"/>
        <v>19341.858</v>
      </c>
      <c r="FP51" s="426">
        <f t="shared" si="43"/>
        <v>181880.44200000001</v>
      </c>
      <c r="FT51" s="427" t="s">
        <v>553</v>
      </c>
      <c r="FU51" s="93" t="s">
        <v>584</v>
      </c>
      <c r="FV51" s="94">
        <v>19059000</v>
      </c>
      <c r="FW51" s="94">
        <v>89027694</v>
      </c>
      <c r="FX51" s="94">
        <v>89027694</v>
      </c>
      <c r="FY51" s="426">
        <f t="shared" si="44"/>
        <v>19059</v>
      </c>
      <c r="FZ51" s="426">
        <f t="shared" si="45"/>
        <v>89027.694000000003</v>
      </c>
      <c r="GA51" s="426">
        <f t="shared" si="46"/>
        <v>89027.694000000003</v>
      </c>
      <c r="GG51" s="762" t="s">
        <v>554</v>
      </c>
      <c r="GH51" s="763" t="s">
        <v>582</v>
      </c>
      <c r="GI51" s="764">
        <v>211871300</v>
      </c>
      <c r="GJ51" s="764">
        <v>202871234</v>
      </c>
      <c r="GK51" s="764">
        <v>9000066</v>
      </c>
      <c r="GL51" s="764">
        <v>202871234</v>
      </c>
      <c r="GM51" s="764">
        <v>0</v>
      </c>
      <c r="GN51" s="426">
        <f t="shared" si="47"/>
        <v>211871.3</v>
      </c>
      <c r="GO51" s="426">
        <f t="shared" si="48"/>
        <v>202871.234</v>
      </c>
      <c r="GP51" s="426">
        <f t="shared" si="49"/>
        <v>9000.0660000000007</v>
      </c>
      <c r="GQ51" s="426">
        <f t="shared" si="50"/>
        <v>202871.234</v>
      </c>
      <c r="GR51" s="426">
        <f t="shared" si="51"/>
        <v>0</v>
      </c>
      <c r="GV51" s="780" t="s">
        <v>583</v>
      </c>
      <c r="GW51" s="779">
        <v>17887877</v>
      </c>
      <c r="GX51" s="426">
        <f t="shared" si="52"/>
        <v>17887.877</v>
      </c>
      <c r="HB51" s="782" t="s">
        <v>581</v>
      </c>
      <c r="HC51" s="764">
        <v>630487721</v>
      </c>
      <c r="HD51" s="764">
        <v>629436544</v>
      </c>
      <c r="HE51" s="764">
        <v>1051177</v>
      </c>
      <c r="HF51" s="764">
        <v>629436544</v>
      </c>
      <c r="HG51" s="426">
        <f t="shared" si="53"/>
        <v>630487.72100000002</v>
      </c>
      <c r="HH51" s="426">
        <f t="shared" si="54"/>
        <v>1051.1769999999999</v>
      </c>
      <c r="HI51" s="426">
        <f t="shared" si="55"/>
        <v>629436.54399999999</v>
      </c>
      <c r="HJ51" s="426">
        <f t="shared" si="56"/>
        <v>1051.1769999999999</v>
      </c>
      <c r="HK51" s="426">
        <f t="shared" si="57"/>
        <v>629436.54399999999</v>
      </c>
    </row>
    <row r="52" spans="1:219" ht="15" customHeight="1" x14ac:dyDescent="0.3">
      <c r="A52" s="287" t="s">
        <v>554</v>
      </c>
      <c r="B52" s="288" t="s">
        <v>624</v>
      </c>
      <c r="C52" s="289">
        <v>59896000</v>
      </c>
      <c r="D52" s="290">
        <f t="shared" si="3"/>
        <v>63669.447999999997</v>
      </c>
      <c r="E52" s="289">
        <v>7300247</v>
      </c>
      <c r="F52" s="289">
        <f t="shared" si="4"/>
        <v>7760.1625610000001</v>
      </c>
      <c r="J52" s="291" t="s">
        <v>553</v>
      </c>
      <c r="K52" s="292" t="s">
        <v>590</v>
      </c>
      <c r="L52" s="293">
        <v>0</v>
      </c>
      <c r="M52" s="293">
        <f t="shared" si="5"/>
        <v>0</v>
      </c>
      <c r="Q52" s="291" t="s">
        <v>554</v>
      </c>
      <c r="R52" s="292" t="s">
        <v>624</v>
      </c>
      <c r="S52" s="293">
        <v>59896000</v>
      </c>
      <c r="T52" s="293">
        <v>10968121</v>
      </c>
      <c r="U52" s="293">
        <f t="shared" si="6"/>
        <v>63669.447999999997</v>
      </c>
      <c r="V52" s="293">
        <f t="shared" si="7"/>
        <v>11659.112622999999</v>
      </c>
      <c r="Z52" s="288" t="s">
        <v>375</v>
      </c>
      <c r="AA52" s="289">
        <v>105862972</v>
      </c>
      <c r="AB52" s="289">
        <f t="shared" si="8"/>
        <v>112532.33923599999</v>
      </c>
      <c r="AF52" s="288" t="s">
        <v>624</v>
      </c>
      <c r="AG52" s="289">
        <v>61696000</v>
      </c>
      <c r="AH52" s="289">
        <f t="shared" si="59"/>
        <v>65582.847999999998</v>
      </c>
      <c r="AI52" s="289">
        <v>15412266</v>
      </c>
      <c r="AL52" s="426"/>
      <c r="AN52" s="423" t="s">
        <v>355</v>
      </c>
      <c r="AO52" s="424" t="s">
        <v>375</v>
      </c>
      <c r="AP52" s="425">
        <v>84758546</v>
      </c>
      <c r="AQ52" s="425">
        <f t="shared" si="9"/>
        <v>90098.334397999992</v>
      </c>
      <c r="AU52" s="423" t="s">
        <v>554</v>
      </c>
      <c r="AV52" s="424" t="s">
        <v>624</v>
      </c>
      <c r="AW52" s="425">
        <v>59596000</v>
      </c>
      <c r="AX52" s="425">
        <v>17740272</v>
      </c>
      <c r="AY52" s="425">
        <v>41855728</v>
      </c>
      <c r="AZ52" s="426">
        <f t="shared" si="10"/>
        <v>63350.547999999995</v>
      </c>
      <c r="BA52" s="426">
        <f t="shared" si="11"/>
        <v>18857.909135999998</v>
      </c>
      <c r="BB52" s="426">
        <f t="shared" si="12"/>
        <v>44492.638864</v>
      </c>
      <c r="BF52" s="423" t="s">
        <v>553</v>
      </c>
      <c r="BG52" s="424" t="s">
        <v>589</v>
      </c>
      <c r="BH52" s="425">
        <v>4079386</v>
      </c>
      <c r="BI52" s="426">
        <f t="shared" si="13"/>
        <v>4336.3873180000001</v>
      </c>
      <c r="BM52" s="427" t="s">
        <v>554</v>
      </c>
      <c r="BN52" s="93" t="s">
        <v>624</v>
      </c>
      <c r="BO52" s="94">
        <v>0</v>
      </c>
      <c r="BP52" s="94">
        <v>58734000</v>
      </c>
      <c r="BQ52" s="94">
        <v>26598828</v>
      </c>
      <c r="BR52" s="94">
        <v>32135172</v>
      </c>
      <c r="BS52" s="94">
        <v>26598828</v>
      </c>
      <c r="BT52" s="426">
        <f t="shared" si="14"/>
        <v>62434.241999999998</v>
      </c>
      <c r="BU52" s="426">
        <f t="shared" si="15"/>
        <v>28274.554164000001</v>
      </c>
      <c r="BV52" s="426">
        <f t="shared" si="16"/>
        <v>34159.687835999997</v>
      </c>
      <c r="BW52" s="426">
        <f t="shared" si="17"/>
        <v>28274.554164000001</v>
      </c>
      <c r="CA52" s="93" t="s">
        <v>482</v>
      </c>
      <c r="CB52" s="426">
        <v>8409879</v>
      </c>
      <c r="CC52" s="426">
        <f t="shared" si="18"/>
        <v>8939.7013770000012</v>
      </c>
      <c r="CG52" s="424" t="s">
        <v>583</v>
      </c>
      <c r="CH52" s="425">
        <v>0</v>
      </c>
      <c r="CI52" s="425">
        <v>55685600</v>
      </c>
      <c r="CJ52" s="425">
        <v>-55685600</v>
      </c>
      <c r="CK52" s="425">
        <v>12528396</v>
      </c>
      <c r="CL52" s="425">
        <v>43157204</v>
      </c>
      <c r="CM52" s="425">
        <v>12528396</v>
      </c>
      <c r="CN52" s="425">
        <f t="shared" si="19"/>
        <v>59193.792799999996</v>
      </c>
      <c r="CO52" s="425">
        <f t="shared" si="20"/>
        <v>13317.684948</v>
      </c>
      <c r="CP52" s="425">
        <f t="shared" si="21"/>
        <v>45876.107851999994</v>
      </c>
      <c r="CQ52" s="425">
        <f t="shared" si="22"/>
        <v>13317.684948</v>
      </c>
      <c r="CU52" s="424" t="s">
        <v>584</v>
      </c>
      <c r="CV52" s="425">
        <v>81304138</v>
      </c>
      <c r="CW52" s="425">
        <v>81304138</v>
      </c>
      <c r="CX52" s="426">
        <f t="shared" si="23"/>
        <v>86426.298693999997</v>
      </c>
      <c r="CY52" s="426">
        <f t="shared" si="24"/>
        <v>86426.298693999997</v>
      </c>
      <c r="DB52" s="568" t="s">
        <v>583</v>
      </c>
      <c r="DC52" s="569">
        <v>55685600</v>
      </c>
      <c r="DD52" s="569">
        <v>16315164</v>
      </c>
      <c r="DE52" s="569">
        <v>39370436</v>
      </c>
      <c r="DF52" s="569">
        <v>16315164</v>
      </c>
      <c r="DG52" s="570">
        <f t="shared" si="25"/>
        <v>59193.792799999996</v>
      </c>
      <c r="DH52" s="570">
        <f t="shared" si="26"/>
        <v>17343.019332</v>
      </c>
      <c r="DI52" s="570">
        <f t="shared" si="27"/>
        <v>41850.773467999999</v>
      </c>
      <c r="DJ52" s="570">
        <f t="shared" si="28"/>
        <v>17343.019332</v>
      </c>
      <c r="DN52" s="93" t="s">
        <v>381</v>
      </c>
      <c r="DO52" s="93">
        <v>3137204</v>
      </c>
      <c r="DP52" s="93">
        <v>4891389</v>
      </c>
      <c r="DQ52" s="626">
        <f t="shared" si="29"/>
        <v>3334.8478519999999</v>
      </c>
      <c r="DR52" s="626">
        <f t="shared" si="30"/>
        <v>5199.546507</v>
      </c>
      <c r="DV52" s="93" t="s">
        <v>583</v>
      </c>
      <c r="DW52" s="94">
        <v>55685600</v>
      </c>
      <c r="DX52" s="94">
        <v>22126934</v>
      </c>
      <c r="DY52" s="94">
        <v>33558666</v>
      </c>
      <c r="DZ52" s="94">
        <v>22126934</v>
      </c>
      <c r="EA52" s="94">
        <f t="shared" si="58"/>
        <v>59193.792799999996</v>
      </c>
      <c r="EB52" s="94">
        <f t="shared" si="31"/>
        <v>23520.930842000002</v>
      </c>
      <c r="EC52" s="94">
        <f t="shared" si="32"/>
        <v>35672.861957999994</v>
      </c>
      <c r="ED52" s="94">
        <f t="shared" si="33"/>
        <v>23520.930842000002</v>
      </c>
      <c r="EH52" s="420" t="s">
        <v>586</v>
      </c>
      <c r="EI52" s="420">
        <v>1024794</v>
      </c>
      <c r="EJ52" s="426">
        <f t="shared" si="34"/>
        <v>1089.3560219999999</v>
      </c>
      <c r="EN52" s="420" t="s">
        <v>583</v>
      </c>
      <c r="EO52" s="426">
        <v>55685600</v>
      </c>
      <c r="EP52" s="426">
        <v>27208703</v>
      </c>
      <c r="EQ52" s="426">
        <v>28476897</v>
      </c>
      <c r="ER52" s="426">
        <v>27208703</v>
      </c>
      <c r="ES52" s="700">
        <f t="shared" si="35"/>
        <v>59193.792799999996</v>
      </c>
      <c r="ET52" s="700">
        <f t="shared" si="36"/>
        <v>28922.851288999998</v>
      </c>
      <c r="EU52" s="700">
        <f t="shared" si="37"/>
        <v>30270.941511000001</v>
      </c>
      <c r="EV52" s="700">
        <f t="shared" si="38"/>
        <v>28922.851288999998</v>
      </c>
      <c r="EZ52" s="730" t="s">
        <v>553</v>
      </c>
      <c r="FA52" s="731" t="s">
        <v>376</v>
      </c>
      <c r="FB52" s="420">
        <v>3001782</v>
      </c>
      <c r="FC52" s="426">
        <f t="shared" si="39"/>
        <v>3001.7820000000002</v>
      </c>
      <c r="FG52" s="735" t="s">
        <v>554</v>
      </c>
      <c r="FH52" s="734" t="s">
        <v>583</v>
      </c>
      <c r="FI52" s="732">
        <v>55685600</v>
      </c>
      <c r="FJ52" s="733">
        <v>31721454</v>
      </c>
      <c r="FK52" s="733">
        <v>23964146</v>
      </c>
      <c r="FL52" s="733">
        <v>31721454</v>
      </c>
      <c r="FM52" s="426">
        <f t="shared" si="40"/>
        <v>55685.599999999999</v>
      </c>
      <c r="FN52" s="426">
        <f t="shared" si="41"/>
        <v>31721.454000000002</v>
      </c>
      <c r="FO52" s="426">
        <f t="shared" si="42"/>
        <v>23964.146000000001</v>
      </c>
      <c r="FP52" s="426">
        <f t="shared" si="43"/>
        <v>31721.454000000002</v>
      </c>
      <c r="FT52" s="427" t="s">
        <v>554</v>
      </c>
      <c r="FU52" s="93" t="s">
        <v>585</v>
      </c>
      <c r="FV52" s="94">
        <v>17791689</v>
      </c>
      <c r="FW52" s="94">
        <v>87610634</v>
      </c>
      <c r="FX52" s="94">
        <v>87610634</v>
      </c>
      <c r="FY52" s="426">
        <f t="shared" si="44"/>
        <v>17791.688999999998</v>
      </c>
      <c r="FZ52" s="426">
        <f t="shared" si="45"/>
        <v>87610.634000000005</v>
      </c>
      <c r="GA52" s="426">
        <f t="shared" si="46"/>
        <v>87610.634000000005</v>
      </c>
      <c r="GG52" s="762" t="s">
        <v>554</v>
      </c>
      <c r="GH52" s="763" t="s">
        <v>583</v>
      </c>
      <c r="GI52" s="764">
        <v>56650600</v>
      </c>
      <c r="GJ52" s="764">
        <v>36512840</v>
      </c>
      <c r="GK52" s="764">
        <v>20137760</v>
      </c>
      <c r="GL52" s="764">
        <v>36512840</v>
      </c>
      <c r="GM52" s="764">
        <v>0</v>
      </c>
      <c r="GN52" s="426">
        <f t="shared" si="47"/>
        <v>56650.6</v>
      </c>
      <c r="GO52" s="426">
        <f t="shared" si="48"/>
        <v>36512.839999999997</v>
      </c>
      <c r="GP52" s="426">
        <f t="shared" si="49"/>
        <v>20137.759999999998</v>
      </c>
      <c r="GQ52" s="426">
        <f t="shared" si="50"/>
        <v>36512.839999999997</v>
      </c>
      <c r="GR52" s="426">
        <f t="shared" si="51"/>
        <v>0</v>
      </c>
      <c r="GV52" s="780" t="s">
        <v>624</v>
      </c>
      <c r="GW52" s="779">
        <v>11124903</v>
      </c>
      <c r="GX52" s="426">
        <f t="shared" si="52"/>
        <v>11124.903</v>
      </c>
      <c r="HB52" s="782" t="s">
        <v>370</v>
      </c>
      <c r="HC52" s="764">
        <v>555587737</v>
      </c>
      <c r="HD52" s="764">
        <v>541507542</v>
      </c>
      <c r="HE52" s="764">
        <v>14080195</v>
      </c>
      <c r="HF52" s="764">
        <v>541507542</v>
      </c>
      <c r="HG52" s="426">
        <f t="shared" si="53"/>
        <v>555587.73699999996</v>
      </c>
      <c r="HH52" s="426">
        <f t="shared" si="54"/>
        <v>14080.195</v>
      </c>
      <c r="HI52" s="426">
        <f t="shared" si="55"/>
        <v>541507.54200000002</v>
      </c>
      <c r="HJ52" s="426">
        <f t="shared" si="56"/>
        <v>14080.195</v>
      </c>
      <c r="HK52" s="426">
        <f t="shared" si="57"/>
        <v>541507.54200000002</v>
      </c>
    </row>
    <row r="53" spans="1:219" ht="15" customHeight="1" x14ac:dyDescent="0.3">
      <c r="A53" s="287" t="s">
        <v>553</v>
      </c>
      <c r="B53" s="288" t="s">
        <v>372</v>
      </c>
      <c r="C53" s="289">
        <v>95890816</v>
      </c>
      <c r="D53" s="290">
        <f t="shared" si="3"/>
        <v>101931.937408</v>
      </c>
      <c r="E53" s="289">
        <v>19700000</v>
      </c>
      <c r="F53" s="289">
        <f t="shared" si="4"/>
        <v>20941.099999999999</v>
      </c>
      <c r="J53" s="291" t="s">
        <v>553</v>
      </c>
      <c r="K53" s="292" t="s">
        <v>591</v>
      </c>
      <c r="L53" s="293">
        <v>0</v>
      </c>
      <c r="M53" s="293">
        <f t="shared" si="5"/>
        <v>0</v>
      </c>
      <c r="Q53" s="291" t="s">
        <v>553</v>
      </c>
      <c r="R53" s="292" t="s">
        <v>372</v>
      </c>
      <c r="S53" s="293">
        <v>95890816</v>
      </c>
      <c r="T53" s="293">
        <v>19700000</v>
      </c>
      <c r="U53" s="293">
        <f t="shared" si="6"/>
        <v>101931.937408</v>
      </c>
      <c r="V53" s="293">
        <f t="shared" si="7"/>
        <v>20941.099999999999</v>
      </c>
      <c r="Z53" s="288" t="s">
        <v>584</v>
      </c>
      <c r="AA53" s="289">
        <v>101191202</v>
      </c>
      <c r="AB53" s="289">
        <f t="shared" si="8"/>
        <v>107566.247726</v>
      </c>
      <c r="AF53" s="288" t="s">
        <v>372</v>
      </c>
      <c r="AG53" s="289">
        <v>95890816</v>
      </c>
      <c r="AH53" s="289">
        <f t="shared" si="59"/>
        <v>101931.937408</v>
      </c>
      <c r="AI53" s="289">
        <v>26846423</v>
      </c>
      <c r="AL53" s="426"/>
      <c r="AN53" s="423" t="s">
        <v>553</v>
      </c>
      <c r="AO53" s="424" t="s">
        <v>584</v>
      </c>
      <c r="AP53" s="425">
        <v>84758546</v>
      </c>
      <c r="AQ53" s="425">
        <f t="shared" si="9"/>
        <v>90098.334397999992</v>
      </c>
      <c r="AU53" s="423" t="s">
        <v>553</v>
      </c>
      <c r="AV53" s="424" t="s">
        <v>372</v>
      </c>
      <c r="AW53" s="425">
        <v>95890816</v>
      </c>
      <c r="AX53" s="425">
        <v>26846423</v>
      </c>
      <c r="AY53" s="425">
        <v>69044393</v>
      </c>
      <c r="AZ53" s="426">
        <f t="shared" si="10"/>
        <v>101931.937408</v>
      </c>
      <c r="BA53" s="426">
        <f t="shared" si="11"/>
        <v>28537.747648999997</v>
      </c>
      <c r="BB53" s="426">
        <f t="shared" si="12"/>
        <v>73394.189758999986</v>
      </c>
      <c r="BF53" s="423" t="s">
        <v>553</v>
      </c>
      <c r="BG53" s="424" t="s">
        <v>384</v>
      </c>
      <c r="BH53" s="425">
        <v>1359152</v>
      </c>
      <c r="BI53" s="426">
        <f t="shared" si="13"/>
        <v>1444.7785759999999</v>
      </c>
      <c r="BM53" s="427" t="s">
        <v>553</v>
      </c>
      <c r="BN53" s="93" t="s">
        <v>372</v>
      </c>
      <c r="BO53" s="94">
        <v>0</v>
      </c>
      <c r="BP53" s="94">
        <v>95890816</v>
      </c>
      <c r="BQ53" s="94">
        <v>26846423</v>
      </c>
      <c r="BR53" s="94">
        <v>69044393</v>
      </c>
      <c r="BS53" s="94">
        <v>26846423</v>
      </c>
      <c r="BT53" s="426">
        <f t="shared" si="14"/>
        <v>101931.937408</v>
      </c>
      <c r="BU53" s="426">
        <f t="shared" si="15"/>
        <v>28537.747648999997</v>
      </c>
      <c r="BV53" s="426">
        <f t="shared" si="16"/>
        <v>73394.189758999986</v>
      </c>
      <c r="BW53" s="426">
        <f t="shared" si="17"/>
        <v>28537.747648999997</v>
      </c>
      <c r="CA53" s="93" t="s">
        <v>375</v>
      </c>
      <c r="CB53" s="426">
        <v>88048152</v>
      </c>
      <c r="CC53" s="426">
        <f t="shared" si="18"/>
        <v>93595.185576000003</v>
      </c>
      <c r="CG53" s="424" t="s">
        <v>624</v>
      </c>
      <c r="CH53" s="425">
        <v>0</v>
      </c>
      <c r="CI53" s="425">
        <v>58534000</v>
      </c>
      <c r="CJ53" s="425">
        <v>-58534000</v>
      </c>
      <c r="CK53" s="425">
        <v>34488100</v>
      </c>
      <c r="CL53" s="425">
        <v>24045900</v>
      </c>
      <c r="CM53" s="425">
        <v>34488100</v>
      </c>
      <c r="CN53" s="425">
        <f t="shared" si="19"/>
        <v>62221.642</v>
      </c>
      <c r="CO53" s="425">
        <f t="shared" si="20"/>
        <v>36660.850299999998</v>
      </c>
      <c r="CP53" s="425">
        <f t="shared" si="21"/>
        <v>25560.791700000002</v>
      </c>
      <c r="CQ53" s="425">
        <f t="shared" si="22"/>
        <v>36660.850299999998</v>
      </c>
      <c r="CU53" s="424" t="s">
        <v>585</v>
      </c>
      <c r="CV53" s="425">
        <v>79427247</v>
      </c>
      <c r="CW53" s="425">
        <v>79427247</v>
      </c>
      <c r="CX53" s="426">
        <f t="shared" si="23"/>
        <v>84431.163560999994</v>
      </c>
      <c r="CY53" s="426">
        <f t="shared" si="24"/>
        <v>84431.163560999994</v>
      </c>
      <c r="DB53" s="568" t="s">
        <v>624</v>
      </c>
      <c r="DC53" s="569">
        <v>58084000</v>
      </c>
      <c r="DD53" s="569">
        <v>45297376</v>
      </c>
      <c r="DE53" s="569">
        <v>12786624</v>
      </c>
      <c r="DF53" s="569">
        <v>45297376</v>
      </c>
      <c r="DG53" s="570">
        <f t="shared" si="25"/>
        <v>61743.291999999994</v>
      </c>
      <c r="DH53" s="570">
        <f t="shared" si="26"/>
        <v>48151.110687999993</v>
      </c>
      <c r="DI53" s="570">
        <f t="shared" si="27"/>
        <v>13592.181311999999</v>
      </c>
      <c r="DJ53" s="570">
        <f t="shared" si="28"/>
        <v>48151.110687999993</v>
      </c>
      <c r="DN53" s="93" t="s">
        <v>382</v>
      </c>
      <c r="DO53" s="93">
        <v>2134650</v>
      </c>
      <c r="DP53" s="93">
        <v>2472182</v>
      </c>
      <c r="DQ53" s="626">
        <f t="shared" si="29"/>
        <v>2269.1329500000002</v>
      </c>
      <c r="DR53" s="626">
        <f t="shared" si="30"/>
        <v>2627.9294659999996</v>
      </c>
      <c r="DV53" s="93" t="s">
        <v>624</v>
      </c>
      <c r="DW53" s="94">
        <v>95748000</v>
      </c>
      <c r="DX53" s="94">
        <v>54718118</v>
      </c>
      <c r="DY53" s="94">
        <v>41029882</v>
      </c>
      <c r="DZ53" s="94">
        <v>54718118</v>
      </c>
      <c r="EA53" s="94">
        <f t="shared" si="58"/>
        <v>101780.124</v>
      </c>
      <c r="EB53" s="94">
        <f t="shared" si="31"/>
        <v>58165.359433999998</v>
      </c>
      <c r="EC53" s="94">
        <f t="shared" si="32"/>
        <v>43614.764565999998</v>
      </c>
      <c r="ED53" s="94">
        <f t="shared" si="33"/>
        <v>58165.359433999998</v>
      </c>
      <c r="EH53" s="420" t="s">
        <v>376</v>
      </c>
      <c r="EI53" s="420">
        <v>4390258</v>
      </c>
      <c r="EJ53" s="426">
        <f t="shared" si="34"/>
        <v>4666.8442539999996</v>
      </c>
      <c r="EN53" s="420" t="s">
        <v>624</v>
      </c>
      <c r="EO53" s="426">
        <v>95248000</v>
      </c>
      <c r="EP53" s="426">
        <v>61763660</v>
      </c>
      <c r="EQ53" s="426">
        <v>33484340</v>
      </c>
      <c r="ER53" s="426">
        <v>61763660</v>
      </c>
      <c r="ES53" s="700">
        <f t="shared" si="35"/>
        <v>101248.624</v>
      </c>
      <c r="ET53" s="700">
        <f t="shared" si="36"/>
        <v>65654.770579999997</v>
      </c>
      <c r="EU53" s="700">
        <f t="shared" si="37"/>
        <v>35593.853419999992</v>
      </c>
      <c r="EV53" s="700">
        <f t="shared" si="38"/>
        <v>65654.770579999997</v>
      </c>
      <c r="EZ53" s="730" t="s">
        <v>553</v>
      </c>
      <c r="FA53" s="731" t="s">
        <v>377</v>
      </c>
      <c r="FB53" s="420">
        <v>0</v>
      </c>
      <c r="FC53" s="426">
        <f t="shared" si="39"/>
        <v>0</v>
      </c>
      <c r="FG53" s="735" t="s">
        <v>554</v>
      </c>
      <c r="FH53" s="734" t="s">
        <v>624</v>
      </c>
      <c r="FI53" s="732">
        <v>93148000</v>
      </c>
      <c r="FJ53" s="733">
        <v>69103097</v>
      </c>
      <c r="FK53" s="733">
        <v>24044903</v>
      </c>
      <c r="FL53" s="733">
        <v>69103097</v>
      </c>
      <c r="FM53" s="426">
        <f t="shared" si="40"/>
        <v>93148</v>
      </c>
      <c r="FN53" s="426">
        <f t="shared" si="41"/>
        <v>69103.096999999994</v>
      </c>
      <c r="FO53" s="426">
        <f t="shared" si="42"/>
        <v>24044.902999999998</v>
      </c>
      <c r="FP53" s="426">
        <f t="shared" si="43"/>
        <v>69103.096999999994</v>
      </c>
      <c r="FT53" s="427" t="s">
        <v>554</v>
      </c>
      <c r="FU53" s="93" t="s">
        <v>586</v>
      </c>
      <c r="FV53" s="94">
        <v>1267311</v>
      </c>
      <c r="FW53" s="94">
        <v>1417060</v>
      </c>
      <c r="FX53" s="94">
        <v>1417060</v>
      </c>
      <c r="FY53" s="426">
        <f t="shared" si="44"/>
        <v>1267.3109999999999</v>
      </c>
      <c r="FZ53" s="426">
        <f t="shared" si="45"/>
        <v>1417.06</v>
      </c>
      <c r="GA53" s="426">
        <f t="shared" si="46"/>
        <v>1417.06</v>
      </c>
      <c r="GG53" s="762" t="s">
        <v>554</v>
      </c>
      <c r="GH53" s="763" t="s">
        <v>624</v>
      </c>
      <c r="GI53" s="764">
        <v>94187000</v>
      </c>
      <c r="GJ53" s="764">
        <v>81286542</v>
      </c>
      <c r="GK53" s="764">
        <v>12900458</v>
      </c>
      <c r="GL53" s="764">
        <v>81286542</v>
      </c>
      <c r="GM53" s="764">
        <v>0</v>
      </c>
      <c r="GN53" s="426">
        <f t="shared" si="47"/>
        <v>94187</v>
      </c>
      <c r="GO53" s="426">
        <f t="shared" si="48"/>
        <v>81286.542000000001</v>
      </c>
      <c r="GP53" s="426">
        <f t="shared" si="49"/>
        <v>12900.458000000001</v>
      </c>
      <c r="GQ53" s="426">
        <f t="shared" si="50"/>
        <v>81286.542000000001</v>
      </c>
      <c r="GR53" s="426">
        <f t="shared" si="51"/>
        <v>0</v>
      </c>
      <c r="GV53" s="780" t="s">
        <v>372</v>
      </c>
      <c r="GW53" s="779">
        <v>79968104</v>
      </c>
      <c r="GX53" s="426">
        <f t="shared" si="52"/>
        <v>79968.104000000007</v>
      </c>
      <c r="HB53" s="782" t="s">
        <v>926</v>
      </c>
      <c r="HC53" s="764">
        <v>20000</v>
      </c>
      <c r="HD53" s="764">
        <v>18153</v>
      </c>
      <c r="HE53" s="764">
        <v>1847</v>
      </c>
      <c r="HF53" s="764">
        <v>18153</v>
      </c>
      <c r="HG53" s="426">
        <f t="shared" si="53"/>
        <v>20</v>
      </c>
      <c r="HH53" s="426">
        <f t="shared" si="54"/>
        <v>1.847</v>
      </c>
      <c r="HI53" s="426">
        <f t="shared" si="55"/>
        <v>18.152999999999999</v>
      </c>
      <c r="HJ53" s="426">
        <f t="shared" si="56"/>
        <v>1.847</v>
      </c>
      <c r="HK53" s="426">
        <f t="shared" si="57"/>
        <v>18.152999999999999</v>
      </c>
    </row>
    <row r="54" spans="1:219" ht="15" customHeight="1" x14ac:dyDescent="0.3">
      <c r="A54" s="287" t="s">
        <v>554</v>
      </c>
      <c r="B54" s="288" t="s">
        <v>373</v>
      </c>
      <c r="C54" s="289">
        <v>32764433</v>
      </c>
      <c r="D54" s="290">
        <f t="shared" si="3"/>
        <v>34828.592278999997</v>
      </c>
      <c r="E54" s="289">
        <v>0</v>
      </c>
      <c r="F54" s="289">
        <f t="shared" si="4"/>
        <v>0</v>
      </c>
      <c r="J54" s="291" t="s">
        <v>553</v>
      </c>
      <c r="K54" s="292" t="s">
        <v>593</v>
      </c>
      <c r="L54" s="293">
        <v>0</v>
      </c>
      <c r="M54" s="293">
        <f t="shared" si="5"/>
        <v>0</v>
      </c>
      <c r="Q54" s="291" t="s">
        <v>554</v>
      </c>
      <c r="R54" s="292" t="s">
        <v>373</v>
      </c>
      <c r="S54" s="293">
        <v>32764433</v>
      </c>
      <c r="T54" s="293">
        <v>0</v>
      </c>
      <c r="U54" s="293">
        <f t="shared" si="6"/>
        <v>34828.592278999997</v>
      </c>
      <c r="V54" s="293">
        <f t="shared" si="7"/>
        <v>0</v>
      </c>
      <c r="Z54" s="288" t="s">
        <v>585</v>
      </c>
      <c r="AA54" s="289">
        <v>101145704</v>
      </c>
      <c r="AB54" s="289">
        <f t="shared" si="8"/>
        <v>107517.88335199999</v>
      </c>
      <c r="AF54" s="288" t="s">
        <v>373</v>
      </c>
      <c r="AG54" s="289">
        <v>32764433</v>
      </c>
      <c r="AH54" s="289">
        <f t="shared" si="59"/>
        <v>34828.592278999997</v>
      </c>
      <c r="AI54" s="289">
        <v>0</v>
      </c>
      <c r="AL54" s="426"/>
      <c r="AN54" s="423" t="s">
        <v>554</v>
      </c>
      <c r="AO54" s="424" t="s">
        <v>585</v>
      </c>
      <c r="AP54" s="425">
        <v>83958946</v>
      </c>
      <c r="AQ54" s="425">
        <f t="shared" si="9"/>
        <v>89248.359597999995</v>
      </c>
      <c r="AU54" s="423" t="s">
        <v>554</v>
      </c>
      <c r="AV54" s="424" t="s">
        <v>373</v>
      </c>
      <c r="AW54" s="425">
        <v>32764433</v>
      </c>
      <c r="AX54" s="425">
        <v>0</v>
      </c>
      <c r="AY54" s="425">
        <v>32764433</v>
      </c>
      <c r="AZ54" s="426">
        <f t="shared" si="10"/>
        <v>34828.592278999997</v>
      </c>
      <c r="BA54" s="426">
        <f t="shared" si="11"/>
        <v>0</v>
      </c>
      <c r="BB54" s="426">
        <f t="shared" si="12"/>
        <v>34828.592278999997</v>
      </c>
      <c r="BF54" s="423" t="s">
        <v>553</v>
      </c>
      <c r="BG54" s="424" t="s">
        <v>591</v>
      </c>
      <c r="BH54" s="425">
        <v>1378640</v>
      </c>
      <c r="BI54" s="426">
        <f t="shared" si="13"/>
        <v>1465.49432</v>
      </c>
      <c r="BM54" s="427" t="s">
        <v>554</v>
      </c>
      <c r="BN54" s="93" t="s">
        <v>373</v>
      </c>
      <c r="BO54" s="94">
        <v>0</v>
      </c>
      <c r="BP54" s="94">
        <v>32764433</v>
      </c>
      <c r="BQ54" s="94">
        <v>0</v>
      </c>
      <c r="BR54" s="94">
        <v>32764433</v>
      </c>
      <c r="BS54" s="94">
        <v>0</v>
      </c>
      <c r="BT54" s="426">
        <f t="shared" si="14"/>
        <v>34828.592278999997</v>
      </c>
      <c r="BU54" s="426">
        <f t="shared" si="15"/>
        <v>0</v>
      </c>
      <c r="BV54" s="426">
        <f t="shared" si="16"/>
        <v>34828.592278999997</v>
      </c>
      <c r="BW54" s="426">
        <f t="shared" si="17"/>
        <v>0</v>
      </c>
      <c r="CA54" s="93" t="s">
        <v>584</v>
      </c>
      <c r="CB54" s="426">
        <v>88048152</v>
      </c>
      <c r="CC54" s="426">
        <f t="shared" si="18"/>
        <v>93595.185576000003</v>
      </c>
      <c r="CG54" s="424" t="s">
        <v>372</v>
      </c>
      <c r="CH54" s="425">
        <v>0</v>
      </c>
      <c r="CI54" s="425">
        <v>96459828</v>
      </c>
      <c r="CJ54" s="425">
        <v>-96459828</v>
      </c>
      <c r="CK54" s="425">
        <v>35256302</v>
      </c>
      <c r="CL54" s="425">
        <v>61203526</v>
      </c>
      <c r="CM54" s="425">
        <v>35256302</v>
      </c>
      <c r="CN54" s="425">
        <f t="shared" si="19"/>
        <v>102536.79716399999</v>
      </c>
      <c r="CO54" s="425">
        <f t="shared" si="20"/>
        <v>37477.449026000002</v>
      </c>
      <c r="CP54" s="425">
        <f t="shared" si="21"/>
        <v>65059.348137999994</v>
      </c>
      <c r="CQ54" s="425">
        <f t="shared" si="22"/>
        <v>37477.449026000002</v>
      </c>
      <c r="CU54" s="424" t="s">
        <v>586</v>
      </c>
      <c r="CV54" s="425">
        <v>1876891</v>
      </c>
      <c r="CW54" s="425">
        <v>1876891</v>
      </c>
      <c r="CX54" s="426">
        <f t="shared" si="23"/>
        <v>1995.135133</v>
      </c>
      <c r="CY54" s="426">
        <f t="shared" si="24"/>
        <v>1995.135133</v>
      </c>
      <c r="DB54" s="568" t="s">
        <v>372</v>
      </c>
      <c r="DC54" s="569">
        <v>96459828</v>
      </c>
      <c r="DD54" s="569">
        <v>35256302</v>
      </c>
      <c r="DE54" s="569">
        <v>61203526</v>
      </c>
      <c r="DF54" s="569">
        <v>35256302</v>
      </c>
      <c r="DG54" s="570">
        <f t="shared" si="25"/>
        <v>102536.79716399999</v>
      </c>
      <c r="DH54" s="570">
        <f t="shared" si="26"/>
        <v>37477.449026000002</v>
      </c>
      <c r="DI54" s="570">
        <f t="shared" si="27"/>
        <v>65059.348137999994</v>
      </c>
      <c r="DJ54" s="570">
        <f t="shared" si="28"/>
        <v>37477.449026000002</v>
      </c>
      <c r="DN54" s="93" t="s">
        <v>383</v>
      </c>
      <c r="DO54" s="93">
        <v>0</v>
      </c>
      <c r="DP54" s="93">
        <v>0</v>
      </c>
      <c r="DQ54" s="626">
        <f t="shared" si="29"/>
        <v>0</v>
      </c>
      <c r="DR54" s="626">
        <f t="shared" si="30"/>
        <v>0</v>
      </c>
      <c r="DV54" s="93" t="s">
        <v>372</v>
      </c>
      <c r="DW54" s="94">
        <v>96459828</v>
      </c>
      <c r="DX54" s="94">
        <v>35256302</v>
      </c>
      <c r="DY54" s="94">
        <v>61203526</v>
      </c>
      <c r="DZ54" s="94">
        <v>35256302</v>
      </c>
      <c r="EA54" s="94">
        <f t="shared" si="58"/>
        <v>102536.79716399999</v>
      </c>
      <c r="EB54" s="94">
        <f t="shared" si="31"/>
        <v>37477.449026000002</v>
      </c>
      <c r="EC54" s="94">
        <f t="shared" si="32"/>
        <v>65059.348137999994</v>
      </c>
      <c r="ED54" s="94">
        <f t="shared" si="33"/>
        <v>37477.449026000002</v>
      </c>
      <c r="EH54" s="420" t="s">
        <v>377</v>
      </c>
      <c r="EI54" s="420">
        <v>396000</v>
      </c>
      <c r="EJ54" s="426">
        <f t="shared" si="34"/>
        <v>420.94799999999998</v>
      </c>
      <c r="EN54" s="420" t="s">
        <v>372</v>
      </c>
      <c r="EO54" s="426">
        <v>105097157</v>
      </c>
      <c r="EP54" s="426">
        <v>55957183</v>
      </c>
      <c r="EQ54" s="426">
        <v>49139974</v>
      </c>
      <c r="ER54" s="426">
        <v>55957183</v>
      </c>
      <c r="ES54" s="700">
        <f t="shared" si="35"/>
        <v>111718.27789100001</v>
      </c>
      <c r="ET54" s="700">
        <f t="shared" si="36"/>
        <v>59482.48552899999</v>
      </c>
      <c r="EU54" s="700">
        <f t="shared" si="37"/>
        <v>52235.792362</v>
      </c>
      <c r="EV54" s="700">
        <f t="shared" si="38"/>
        <v>59482.48552899999</v>
      </c>
      <c r="EZ54" s="730" t="s">
        <v>449</v>
      </c>
      <c r="FA54" s="731" t="s">
        <v>378</v>
      </c>
      <c r="FB54" s="420">
        <v>214264173</v>
      </c>
      <c r="FC54" s="426">
        <f t="shared" si="39"/>
        <v>214264.17300000001</v>
      </c>
      <c r="FG54" s="735" t="s">
        <v>553</v>
      </c>
      <c r="FH54" s="734" t="s">
        <v>372</v>
      </c>
      <c r="FI54" s="732">
        <v>105097157</v>
      </c>
      <c r="FJ54" s="733">
        <v>55957183</v>
      </c>
      <c r="FK54" s="733">
        <v>49139974</v>
      </c>
      <c r="FL54" s="733">
        <v>55957183</v>
      </c>
      <c r="FM54" s="426">
        <f t="shared" si="40"/>
        <v>105097.15700000001</v>
      </c>
      <c r="FN54" s="426">
        <f t="shared" si="41"/>
        <v>55957.182999999997</v>
      </c>
      <c r="FO54" s="426">
        <f t="shared" si="42"/>
        <v>49139.974000000002</v>
      </c>
      <c r="FP54" s="426">
        <f t="shared" si="43"/>
        <v>55957.182999999997</v>
      </c>
      <c r="FT54" s="427" t="s">
        <v>553</v>
      </c>
      <c r="FU54" s="93" t="s">
        <v>376</v>
      </c>
      <c r="FV54" s="94">
        <v>0</v>
      </c>
      <c r="FW54" s="94">
        <v>2284031</v>
      </c>
      <c r="FX54" s="94">
        <v>2284031</v>
      </c>
      <c r="FY54" s="426">
        <f t="shared" si="44"/>
        <v>0</v>
      </c>
      <c r="FZ54" s="426">
        <f t="shared" si="45"/>
        <v>2284.0309999999999</v>
      </c>
      <c r="GA54" s="426">
        <f t="shared" si="46"/>
        <v>2284.0309999999999</v>
      </c>
      <c r="GG54" s="762" t="s">
        <v>553</v>
      </c>
      <c r="GH54" s="763" t="s">
        <v>372</v>
      </c>
      <c r="GI54" s="764">
        <v>105097157</v>
      </c>
      <c r="GJ54" s="764">
        <v>55957183</v>
      </c>
      <c r="GK54" s="764">
        <v>49139974</v>
      </c>
      <c r="GL54" s="764">
        <v>55957183</v>
      </c>
      <c r="GM54" s="764">
        <v>0</v>
      </c>
      <c r="GN54" s="426">
        <f t="shared" si="47"/>
        <v>105097.15700000001</v>
      </c>
      <c r="GO54" s="426">
        <f t="shared" si="48"/>
        <v>55957.182999999997</v>
      </c>
      <c r="GP54" s="426">
        <f t="shared" si="49"/>
        <v>49139.974000000002</v>
      </c>
      <c r="GQ54" s="426">
        <f t="shared" si="50"/>
        <v>55957.182999999997</v>
      </c>
      <c r="GR54" s="426">
        <f t="shared" si="51"/>
        <v>0</v>
      </c>
      <c r="GV54" s="780" t="s">
        <v>373</v>
      </c>
      <c r="GW54" s="779">
        <v>14858104</v>
      </c>
      <c r="GX54" s="426">
        <f t="shared" si="52"/>
        <v>14858.103999999999</v>
      </c>
      <c r="HB54" s="782" t="s">
        <v>371</v>
      </c>
      <c r="HC54" s="764">
        <v>378654765</v>
      </c>
      <c r="HD54" s="764">
        <v>373729327</v>
      </c>
      <c r="HE54" s="764">
        <v>4925438</v>
      </c>
      <c r="HF54" s="764">
        <v>373729327</v>
      </c>
      <c r="HG54" s="426">
        <f t="shared" si="53"/>
        <v>378654.76500000001</v>
      </c>
      <c r="HH54" s="426">
        <f t="shared" si="54"/>
        <v>4925.4380000000001</v>
      </c>
      <c r="HI54" s="426">
        <f t="shared" si="55"/>
        <v>373729.32699999999</v>
      </c>
      <c r="HJ54" s="426">
        <f t="shared" si="56"/>
        <v>4925.4380000000001</v>
      </c>
      <c r="HK54" s="426">
        <f t="shared" si="57"/>
        <v>373729.32699999999</v>
      </c>
    </row>
    <row r="55" spans="1:219" ht="15" customHeight="1" x14ac:dyDescent="0.3">
      <c r="A55" s="287" t="s">
        <v>554</v>
      </c>
      <c r="B55" s="288" t="s">
        <v>482</v>
      </c>
      <c r="C55" s="289">
        <v>14987290</v>
      </c>
      <c r="D55" s="290">
        <f t="shared" si="3"/>
        <v>15931.48927</v>
      </c>
      <c r="E55" s="289">
        <v>0</v>
      </c>
      <c r="F55" s="289">
        <f t="shared" si="4"/>
        <v>0</v>
      </c>
      <c r="J55" s="291" t="s">
        <v>553</v>
      </c>
      <c r="K55" s="292" t="s">
        <v>594</v>
      </c>
      <c r="L55" s="293">
        <v>0</v>
      </c>
      <c r="M55" s="293">
        <f t="shared" si="5"/>
        <v>0</v>
      </c>
      <c r="Q55" s="291" t="s">
        <v>554</v>
      </c>
      <c r="R55" s="292" t="s">
        <v>482</v>
      </c>
      <c r="S55" s="293">
        <v>14987290</v>
      </c>
      <c r="T55" s="293">
        <v>0</v>
      </c>
      <c r="U55" s="293">
        <f t="shared" si="6"/>
        <v>15931.48927</v>
      </c>
      <c r="V55" s="293">
        <f t="shared" si="7"/>
        <v>0</v>
      </c>
      <c r="Z55" s="288" t="s">
        <v>586</v>
      </c>
      <c r="AA55" s="289">
        <v>45498</v>
      </c>
      <c r="AB55" s="289">
        <f t="shared" si="8"/>
        <v>48.364373999999998</v>
      </c>
      <c r="AF55" s="288" t="s">
        <v>482</v>
      </c>
      <c r="AG55" s="289">
        <v>14987290</v>
      </c>
      <c r="AH55" s="289">
        <f t="shared" si="59"/>
        <v>15931.48927</v>
      </c>
      <c r="AI55" s="289">
        <v>7146423</v>
      </c>
      <c r="AL55" s="426"/>
      <c r="AN55" s="423" t="s">
        <v>554</v>
      </c>
      <c r="AO55" s="424" t="s">
        <v>586</v>
      </c>
      <c r="AP55" s="425">
        <v>799600</v>
      </c>
      <c r="AQ55" s="425">
        <f t="shared" si="9"/>
        <v>849.97479999999996</v>
      </c>
      <c r="AU55" s="423" t="s">
        <v>554</v>
      </c>
      <c r="AV55" s="424" t="s">
        <v>482</v>
      </c>
      <c r="AW55" s="425">
        <v>14987290</v>
      </c>
      <c r="AX55" s="425">
        <v>7146423</v>
      </c>
      <c r="AY55" s="425">
        <v>7840867</v>
      </c>
      <c r="AZ55" s="426">
        <f t="shared" si="10"/>
        <v>15931.48927</v>
      </c>
      <c r="BA55" s="426">
        <f t="shared" si="11"/>
        <v>7596.6476489999995</v>
      </c>
      <c r="BB55" s="426">
        <f t="shared" si="12"/>
        <v>8334.8416209999996</v>
      </c>
      <c r="BF55" s="423" t="s">
        <v>553</v>
      </c>
      <c r="BG55" s="424" t="s">
        <v>592</v>
      </c>
      <c r="BH55" s="425">
        <v>0</v>
      </c>
      <c r="BI55" s="426">
        <f t="shared" si="13"/>
        <v>0</v>
      </c>
      <c r="BM55" s="427" t="s">
        <v>554</v>
      </c>
      <c r="BN55" s="93" t="s">
        <v>482</v>
      </c>
      <c r="BO55" s="94">
        <v>0</v>
      </c>
      <c r="BP55" s="94">
        <v>14987290</v>
      </c>
      <c r="BQ55" s="94">
        <v>7146423</v>
      </c>
      <c r="BR55" s="94">
        <v>7840867</v>
      </c>
      <c r="BS55" s="94">
        <v>7146423</v>
      </c>
      <c r="BT55" s="426">
        <f t="shared" si="14"/>
        <v>15931.48927</v>
      </c>
      <c r="BU55" s="426">
        <f t="shared" si="15"/>
        <v>7596.6476489999995</v>
      </c>
      <c r="BV55" s="426">
        <f t="shared" si="16"/>
        <v>8334.8416209999996</v>
      </c>
      <c r="BW55" s="426">
        <f t="shared" si="17"/>
        <v>7596.6476489999995</v>
      </c>
      <c r="CA55" s="93" t="s">
        <v>585</v>
      </c>
      <c r="CB55" s="426">
        <v>86852639</v>
      </c>
      <c r="CC55" s="426">
        <f t="shared" si="18"/>
        <v>92324.355256999988</v>
      </c>
      <c r="CG55" s="424" t="s">
        <v>373</v>
      </c>
      <c r="CH55" s="425">
        <v>0</v>
      </c>
      <c r="CI55" s="425">
        <v>32764433</v>
      </c>
      <c r="CJ55" s="425">
        <v>-32764433</v>
      </c>
      <c r="CK55" s="425">
        <v>0</v>
      </c>
      <c r="CL55" s="425">
        <v>32764433</v>
      </c>
      <c r="CM55" s="425">
        <v>0</v>
      </c>
      <c r="CN55" s="425">
        <f t="shared" si="19"/>
        <v>34828.592278999997</v>
      </c>
      <c r="CO55" s="425">
        <f t="shared" si="20"/>
        <v>0</v>
      </c>
      <c r="CP55" s="425">
        <f t="shared" si="21"/>
        <v>34828.592278999997</v>
      </c>
      <c r="CQ55" s="425">
        <f t="shared" si="22"/>
        <v>0</v>
      </c>
      <c r="CU55" s="424" t="s">
        <v>378</v>
      </c>
      <c r="CV55" s="425">
        <v>7225731</v>
      </c>
      <c r="CW55" s="425">
        <v>329361838</v>
      </c>
      <c r="CX55" s="426">
        <f t="shared" si="23"/>
        <v>7680.9520529999991</v>
      </c>
      <c r="CY55" s="426">
        <f t="shared" si="24"/>
        <v>350111.63379399996</v>
      </c>
      <c r="DB55" s="568" t="s">
        <v>373</v>
      </c>
      <c r="DC55" s="569">
        <v>32764433</v>
      </c>
      <c r="DD55" s="569">
        <v>0</v>
      </c>
      <c r="DE55" s="569">
        <v>32764433</v>
      </c>
      <c r="DF55" s="569">
        <v>0</v>
      </c>
      <c r="DG55" s="570">
        <f t="shared" si="25"/>
        <v>34828.592278999997</v>
      </c>
      <c r="DH55" s="570">
        <f t="shared" si="26"/>
        <v>0</v>
      </c>
      <c r="DI55" s="570">
        <f t="shared" si="27"/>
        <v>34828.592278999997</v>
      </c>
      <c r="DJ55" s="570">
        <f t="shared" si="28"/>
        <v>0</v>
      </c>
      <c r="DN55" s="93" t="s">
        <v>589</v>
      </c>
      <c r="DO55" s="93">
        <v>117710</v>
      </c>
      <c r="DP55" s="93">
        <v>0</v>
      </c>
      <c r="DQ55" s="626">
        <f t="shared" si="29"/>
        <v>125.12572999999999</v>
      </c>
      <c r="DR55" s="626">
        <f t="shared" si="30"/>
        <v>0</v>
      </c>
      <c r="DV55" s="93" t="s">
        <v>373</v>
      </c>
      <c r="DW55" s="94">
        <v>32764433</v>
      </c>
      <c r="DX55" s="94">
        <v>0</v>
      </c>
      <c r="DY55" s="94">
        <v>32764433</v>
      </c>
      <c r="DZ55" s="94">
        <v>0</v>
      </c>
      <c r="EA55" s="94">
        <f t="shared" si="58"/>
        <v>34828.592278999997</v>
      </c>
      <c r="EB55" s="94">
        <f t="shared" si="31"/>
        <v>0</v>
      </c>
      <c r="EC55" s="94">
        <f t="shared" si="32"/>
        <v>34828.592278999997</v>
      </c>
      <c r="ED55" s="94">
        <f t="shared" si="33"/>
        <v>0</v>
      </c>
      <c r="EH55" s="420" t="s">
        <v>378</v>
      </c>
      <c r="EI55" s="420">
        <v>281324616</v>
      </c>
      <c r="EJ55" s="426">
        <f t="shared" si="34"/>
        <v>299048.06680799997</v>
      </c>
      <c r="EN55" s="420" t="s">
        <v>373</v>
      </c>
      <c r="EO55" s="426">
        <v>41401762</v>
      </c>
      <c r="EP55" s="426">
        <v>20700881</v>
      </c>
      <c r="EQ55" s="426">
        <v>20700881</v>
      </c>
      <c r="ER55" s="426">
        <v>20700881</v>
      </c>
      <c r="ES55" s="700">
        <f t="shared" si="35"/>
        <v>44010.073005999999</v>
      </c>
      <c r="ET55" s="700">
        <f t="shared" si="36"/>
        <v>22005.036502999999</v>
      </c>
      <c r="EU55" s="700">
        <f t="shared" si="37"/>
        <v>22005.036502999999</v>
      </c>
      <c r="EV55" s="700">
        <f t="shared" si="38"/>
        <v>22005.036502999999</v>
      </c>
      <c r="EZ55" s="730" t="s">
        <v>355</v>
      </c>
      <c r="FA55" s="731" t="s">
        <v>379</v>
      </c>
      <c r="FB55" s="420">
        <v>359380</v>
      </c>
      <c r="FC55" s="426">
        <f t="shared" si="39"/>
        <v>359.38</v>
      </c>
      <c r="FG55" s="735" t="s">
        <v>554</v>
      </c>
      <c r="FH55" s="734" t="s">
        <v>373</v>
      </c>
      <c r="FI55" s="732">
        <v>41401762</v>
      </c>
      <c r="FJ55" s="733">
        <v>20700881</v>
      </c>
      <c r="FK55" s="733">
        <v>20700881</v>
      </c>
      <c r="FL55" s="733">
        <v>20700881</v>
      </c>
      <c r="FM55" s="426">
        <f t="shared" si="40"/>
        <v>41401.762000000002</v>
      </c>
      <c r="FN55" s="426">
        <f t="shared" si="41"/>
        <v>20700.881000000001</v>
      </c>
      <c r="FO55" s="426">
        <f t="shared" si="42"/>
        <v>20700.881000000001</v>
      </c>
      <c r="FP55" s="426">
        <f t="shared" si="43"/>
        <v>20700.881000000001</v>
      </c>
      <c r="FT55" s="427" t="s">
        <v>449</v>
      </c>
      <c r="FU55" s="93" t="s">
        <v>378</v>
      </c>
      <c r="FV55" s="94">
        <v>78984000</v>
      </c>
      <c r="FW55" s="94">
        <v>173734283</v>
      </c>
      <c r="FX55" s="94">
        <v>229214026</v>
      </c>
      <c r="FY55" s="426">
        <f t="shared" si="44"/>
        <v>78984</v>
      </c>
      <c r="FZ55" s="426">
        <f t="shared" si="45"/>
        <v>173734.283</v>
      </c>
      <c r="GA55" s="426">
        <f t="shared" si="46"/>
        <v>229214.02600000001</v>
      </c>
      <c r="GG55" s="762" t="s">
        <v>554</v>
      </c>
      <c r="GH55" s="763" t="s">
        <v>373</v>
      </c>
      <c r="GI55" s="764">
        <v>41401762</v>
      </c>
      <c r="GJ55" s="764">
        <v>20700881</v>
      </c>
      <c r="GK55" s="764">
        <v>20700881</v>
      </c>
      <c r="GL55" s="764">
        <v>20700881</v>
      </c>
      <c r="GM55" s="764">
        <v>0</v>
      </c>
      <c r="GN55" s="426">
        <f t="shared" si="47"/>
        <v>41401.762000000002</v>
      </c>
      <c r="GO55" s="426">
        <f t="shared" si="48"/>
        <v>20700.881000000001</v>
      </c>
      <c r="GP55" s="426">
        <f t="shared" si="49"/>
        <v>20700.881000000001</v>
      </c>
      <c r="GQ55" s="426">
        <f t="shared" si="50"/>
        <v>20700.881000000001</v>
      </c>
      <c r="GR55" s="426">
        <f t="shared" si="51"/>
        <v>0</v>
      </c>
      <c r="GV55" s="780" t="s">
        <v>374</v>
      </c>
      <c r="GW55" s="779">
        <v>65110000</v>
      </c>
      <c r="GX55" s="426">
        <f t="shared" si="52"/>
        <v>65110</v>
      </c>
      <c r="HB55" s="782" t="s">
        <v>582</v>
      </c>
      <c r="HC55" s="764">
        <v>226917165</v>
      </c>
      <c r="HD55" s="764">
        <v>226917165</v>
      </c>
      <c r="HE55" s="764">
        <v>0</v>
      </c>
      <c r="HF55" s="764">
        <v>226917165</v>
      </c>
      <c r="HG55" s="426">
        <f t="shared" si="53"/>
        <v>226917.16500000001</v>
      </c>
      <c r="HH55" s="426">
        <f t="shared" si="54"/>
        <v>0</v>
      </c>
      <c r="HI55" s="426">
        <f t="shared" si="55"/>
        <v>226917.16500000001</v>
      </c>
      <c r="HJ55" s="426">
        <f t="shared" si="56"/>
        <v>0</v>
      </c>
      <c r="HK55" s="426">
        <f t="shared" si="57"/>
        <v>226917.16500000001</v>
      </c>
    </row>
    <row r="56" spans="1:219" ht="15" customHeight="1" x14ac:dyDescent="0.3">
      <c r="A56" s="287" t="s">
        <v>554</v>
      </c>
      <c r="B56" s="288" t="s">
        <v>374</v>
      </c>
      <c r="C56" s="289">
        <v>48139093</v>
      </c>
      <c r="D56" s="290">
        <f t="shared" si="3"/>
        <v>51171.855858999996</v>
      </c>
      <c r="E56" s="289">
        <v>19700000</v>
      </c>
      <c r="F56" s="289">
        <f t="shared" si="4"/>
        <v>20941.099999999999</v>
      </c>
      <c r="J56" s="291" t="s">
        <v>553</v>
      </c>
      <c r="K56" s="292" t="s">
        <v>385</v>
      </c>
      <c r="L56" s="293">
        <v>89845</v>
      </c>
      <c r="M56" s="293">
        <f t="shared" si="5"/>
        <v>95.505234999999999</v>
      </c>
      <c r="Q56" s="291" t="s">
        <v>554</v>
      </c>
      <c r="R56" s="292" t="s">
        <v>374</v>
      </c>
      <c r="S56" s="293">
        <v>48139093</v>
      </c>
      <c r="T56" s="293">
        <v>19700000</v>
      </c>
      <c r="U56" s="293">
        <f t="shared" si="6"/>
        <v>51171.855858999996</v>
      </c>
      <c r="V56" s="293">
        <f t="shared" si="7"/>
        <v>20941.099999999999</v>
      </c>
      <c r="Z56" s="288" t="s">
        <v>376</v>
      </c>
      <c r="AA56" s="289">
        <v>4671770</v>
      </c>
      <c r="AB56" s="289">
        <f t="shared" si="8"/>
        <v>4966.0915100000002</v>
      </c>
      <c r="AF56" s="288" t="s">
        <v>374</v>
      </c>
      <c r="AG56" s="289">
        <v>48139093</v>
      </c>
      <c r="AH56" s="289">
        <f t="shared" si="59"/>
        <v>51171.855858999996</v>
      </c>
      <c r="AI56" s="289">
        <v>19700000</v>
      </c>
      <c r="AL56" s="426"/>
      <c r="AN56" s="423" t="s">
        <v>553</v>
      </c>
      <c r="AO56" s="424" t="s">
        <v>376</v>
      </c>
      <c r="AP56" s="425">
        <v>0</v>
      </c>
      <c r="AQ56" s="425">
        <f t="shared" si="9"/>
        <v>0</v>
      </c>
      <c r="AU56" s="423" t="s">
        <v>554</v>
      </c>
      <c r="AV56" s="424" t="s">
        <v>374</v>
      </c>
      <c r="AW56" s="425">
        <v>48139093</v>
      </c>
      <c r="AX56" s="425">
        <v>19700000</v>
      </c>
      <c r="AY56" s="425">
        <v>28439093</v>
      </c>
      <c r="AZ56" s="426">
        <f t="shared" si="10"/>
        <v>51171.855858999996</v>
      </c>
      <c r="BA56" s="426">
        <f t="shared" si="11"/>
        <v>20941.099999999999</v>
      </c>
      <c r="BB56" s="426">
        <f t="shared" si="12"/>
        <v>30230.755859000001</v>
      </c>
      <c r="BF56" s="423" t="s">
        <v>553</v>
      </c>
      <c r="BG56" s="424" t="s">
        <v>593</v>
      </c>
      <c r="BH56" s="425">
        <v>577593</v>
      </c>
      <c r="BI56" s="426">
        <f t="shared" si="13"/>
        <v>613.98135899999988</v>
      </c>
      <c r="BM56" s="427" t="s">
        <v>554</v>
      </c>
      <c r="BN56" s="93" t="s">
        <v>374</v>
      </c>
      <c r="BO56" s="94">
        <v>0</v>
      </c>
      <c r="BP56" s="94">
        <v>48139093</v>
      </c>
      <c r="BQ56" s="94">
        <v>19700000</v>
      </c>
      <c r="BR56" s="94">
        <v>28439093</v>
      </c>
      <c r="BS56" s="94">
        <v>19700000</v>
      </c>
      <c r="BT56" s="426">
        <f t="shared" si="14"/>
        <v>51171.855858999996</v>
      </c>
      <c r="BU56" s="426">
        <f t="shared" si="15"/>
        <v>20941.099999999999</v>
      </c>
      <c r="BV56" s="426">
        <f t="shared" si="16"/>
        <v>30230.755859000001</v>
      </c>
      <c r="BW56" s="426">
        <f t="shared" si="17"/>
        <v>20941.099999999999</v>
      </c>
      <c r="CA56" s="93" t="s">
        <v>586</v>
      </c>
      <c r="CB56" s="426">
        <v>1195513</v>
      </c>
      <c r="CC56" s="426">
        <f t="shared" si="18"/>
        <v>1270.8303189999999</v>
      </c>
      <c r="CG56" s="424" t="s">
        <v>482</v>
      </c>
      <c r="CH56" s="425">
        <v>0</v>
      </c>
      <c r="CI56" s="425">
        <v>15556302</v>
      </c>
      <c r="CJ56" s="425">
        <v>-15556302</v>
      </c>
      <c r="CK56" s="425">
        <v>15556302</v>
      </c>
      <c r="CL56" s="425">
        <v>0</v>
      </c>
      <c r="CM56" s="425">
        <v>15556302</v>
      </c>
      <c r="CN56" s="425">
        <f t="shared" si="19"/>
        <v>16536.349026</v>
      </c>
      <c r="CO56" s="425">
        <f t="shared" si="20"/>
        <v>16536.349026</v>
      </c>
      <c r="CP56" s="425">
        <f t="shared" si="21"/>
        <v>0</v>
      </c>
      <c r="CQ56" s="425">
        <f t="shared" si="22"/>
        <v>16536.349026</v>
      </c>
      <c r="CU56" s="424" t="s">
        <v>379</v>
      </c>
      <c r="CV56" s="425">
        <v>0</v>
      </c>
      <c r="CW56" s="425">
        <v>0</v>
      </c>
      <c r="CX56" s="426">
        <f t="shared" si="23"/>
        <v>0</v>
      </c>
      <c r="CY56" s="426">
        <f t="shared" si="24"/>
        <v>0</v>
      </c>
      <c r="DB56" s="568" t="s">
        <v>482</v>
      </c>
      <c r="DC56" s="569">
        <v>15556302</v>
      </c>
      <c r="DD56" s="569">
        <v>15556302</v>
      </c>
      <c r="DE56" s="569">
        <v>0</v>
      </c>
      <c r="DF56" s="569">
        <v>15556302</v>
      </c>
      <c r="DG56" s="570">
        <f t="shared" si="25"/>
        <v>16536.349026</v>
      </c>
      <c r="DH56" s="570">
        <f t="shared" si="26"/>
        <v>16536.349026</v>
      </c>
      <c r="DI56" s="570">
        <f t="shared" si="27"/>
        <v>0</v>
      </c>
      <c r="DJ56" s="570">
        <f t="shared" si="28"/>
        <v>16536.349026</v>
      </c>
      <c r="DN56" s="93" t="s">
        <v>384</v>
      </c>
      <c r="DO56" s="93">
        <v>0</v>
      </c>
      <c r="DP56" s="93">
        <v>0</v>
      </c>
      <c r="DQ56" s="626">
        <f t="shared" si="29"/>
        <v>0</v>
      </c>
      <c r="DR56" s="626">
        <f t="shared" si="30"/>
        <v>0</v>
      </c>
      <c r="DV56" s="93" t="s">
        <v>482</v>
      </c>
      <c r="DW56" s="94">
        <v>15556302</v>
      </c>
      <c r="DX56" s="94">
        <v>15556302</v>
      </c>
      <c r="DY56" s="94">
        <v>0</v>
      </c>
      <c r="DZ56" s="94">
        <v>15556302</v>
      </c>
      <c r="EA56" s="94">
        <f t="shared" si="58"/>
        <v>16536.349026</v>
      </c>
      <c r="EB56" s="94">
        <f t="shared" si="31"/>
        <v>16536.349026</v>
      </c>
      <c r="EC56" s="94">
        <f t="shared" si="32"/>
        <v>0</v>
      </c>
      <c r="ED56" s="94">
        <f t="shared" si="33"/>
        <v>16536.349026</v>
      </c>
      <c r="EH56" s="420" t="s">
        <v>379</v>
      </c>
      <c r="EI56" s="420">
        <v>0</v>
      </c>
      <c r="EJ56" s="426">
        <f t="shared" si="34"/>
        <v>0</v>
      </c>
      <c r="EN56" s="420" t="s">
        <v>482</v>
      </c>
      <c r="EO56" s="426">
        <v>15556302</v>
      </c>
      <c r="EP56" s="426">
        <v>15556302</v>
      </c>
      <c r="EQ56" s="426">
        <v>0</v>
      </c>
      <c r="ER56" s="426">
        <v>15556302</v>
      </c>
      <c r="ES56" s="700">
        <f t="shared" si="35"/>
        <v>16536.349026</v>
      </c>
      <c r="ET56" s="700">
        <f t="shared" si="36"/>
        <v>16536.349026</v>
      </c>
      <c r="EU56" s="700">
        <f t="shared" si="37"/>
        <v>0</v>
      </c>
      <c r="EV56" s="700">
        <f t="shared" si="38"/>
        <v>16536.349026</v>
      </c>
      <c r="EZ56" s="730" t="s">
        <v>553</v>
      </c>
      <c r="FA56" s="731" t="s">
        <v>587</v>
      </c>
      <c r="FB56" s="420">
        <v>359380</v>
      </c>
      <c r="FC56" s="426">
        <f t="shared" si="39"/>
        <v>359.38</v>
      </c>
      <c r="FG56" s="735" t="s">
        <v>554</v>
      </c>
      <c r="FH56" s="734" t="s">
        <v>482</v>
      </c>
      <c r="FI56" s="732">
        <v>15556302</v>
      </c>
      <c r="FJ56" s="733">
        <v>15556302</v>
      </c>
      <c r="FK56" s="733">
        <v>0</v>
      </c>
      <c r="FL56" s="733">
        <v>15556302</v>
      </c>
      <c r="FM56" s="426">
        <f t="shared" si="40"/>
        <v>15556.302</v>
      </c>
      <c r="FN56" s="426">
        <f t="shared" si="41"/>
        <v>15556.302</v>
      </c>
      <c r="FO56" s="426">
        <f t="shared" si="42"/>
        <v>0</v>
      </c>
      <c r="FP56" s="426">
        <f t="shared" si="43"/>
        <v>15556.302</v>
      </c>
      <c r="FT56" s="427" t="s">
        <v>355</v>
      </c>
      <c r="FU56" s="93" t="s">
        <v>379</v>
      </c>
      <c r="FV56" s="94">
        <v>103080</v>
      </c>
      <c r="FW56" s="94">
        <v>1319736</v>
      </c>
      <c r="FX56" s="94">
        <v>1319730</v>
      </c>
      <c r="FY56" s="426">
        <f t="shared" si="44"/>
        <v>103.08</v>
      </c>
      <c r="FZ56" s="426">
        <f t="shared" si="45"/>
        <v>1319.7360000000001</v>
      </c>
      <c r="GA56" s="426">
        <f t="shared" si="46"/>
        <v>1319.73</v>
      </c>
      <c r="GG56" s="762" t="s">
        <v>554</v>
      </c>
      <c r="GH56" s="763" t="s">
        <v>482</v>
      </c>
      <c r="GI56" s="764">
        <v>15556302</v>
      </c>
      <c r="GJ56" s="764">
        <v>15556302</v>
      </c>
      <c r="GK56" s="764">
        <v>0</v>
      </c>
      <c r="GL56" s="764">
        <v>15556302</v>
      </c>
      <c r="GM56" s="764">
        <v>0</v>
      </c>
      <c r="GN56" s="426">
        <f t="shared" si="47"/>
        <v>15556.302</v>
      </c>
      <c r="GO56" s="426">
        <f t="shared" si="48"/>
        <v>15556.302</v>
      </c>
      <c r="GP56" s="426">
        <f t="shared" si="49"/>
        <v>0</v>
      </c>
      <c r="GQ56" s="426">
        <f t="shared" si="50"/>
        <v>15556.302</v>
      </c>
      <c r="GR56" s="426">
        <f t="shared" si="51"/>
        <v>0</v>
      </c>
      <c r="GV56" s="780" t="s">
        <v>375</v>
      </c>
      <c r="GW56" s="779">
        <v>103677691</v>
      </c>
      <c r="GX56" s="426">
        <f t="shared" si="52"/>
        <v>103677.69100000001</v>
      </c>
      <c r="HB56" s="782" t="s">
        <v>583</v>
      </c>
      <c r="HC56" s="764">
        <v>56650600</v>
      </c>
      <c r="HD56" s="764">
        <v>54400717</v>
      </c>
      <c r="HE56" s="764">
        <v>2249883</v>
      </c>
      <c r="HF56" s="764">
        <v>54400717</v>
      </c>
      <c r="HG56" s="426">
        <f t="shared" si="53"/>
        <v>56650.6</v>
      </c>
      <c r="HH56" s="426">
        <f t="shared" si="54"/>
        <v>2249.8829999999998</v>
      </c>
      <c r="HI56" s="426">
        <f t="shared" si="55"/>
        <v>54400.716999999997</v>
      </c>
      <c r="HJ56" s="426">
        <f t="shared" si="56"/>
        <v>2249.8829999999998</v>
      </c>
      <c r="HK56" s="426">
        <f t="shared" si="57"/>
        <v>54400.716999999997</v>
      </c>
    </row>
    <row r="57" spans="1:219" ht="15" customHeight="1" x14ac:dyDescent="0.3">
      <c r="A57" s="287" t="s">
        <v>355</v>
      </c>
      <c r="B57" s="288" t="s">
        <v>375</v>
      </c>
      <c r="C57" s="289">
        <v>1202961308</v>
      </c>
      <c r="D57" s="290">
        <f t="shared" si="3"/>
        <v>1278747.8704039999</v>
      </c>
      <c r="E57" s="289">
        <v>106218395</v>
      </c>
      <c r="F57" s="289">
        <f t="shared" si="4"/>
        <v>112910.15388499999</v>
      </c>
      <c r="J57" s="291" t="s">
        <v>553</v>
      </c>
      <c r="K57" s="292" t="s">
        <v>386</v>
      </c>
      <c r="L57" s="293">
        <v>4161</v>
      </c>
      <c r="M57" s="293">
        <f t="shared" si="5"/>
        <v>4.4231429999999996</v>
      </c>
      <c r="Q57" s="291" t="s">
        <v>355</v>
      </c>
      <c r="R57" s="292" t="s">
        <v>375</v>
      </c>
      <c r="S57" s="293">
        <v>1202961308</v>
      </c>
      <c r="T57" s="293">
        <v>210216508</v>
      </c>
      <c r="U57" s="293">
        <f t="shared" si="6"/>
        <v>1278747.8704039999</v>
      </c>
      <c r="V57" s="293">
        <f t="shared" si="7"/>
        <v>223460.14800399999</v>
      </c>
      <c r="Z57" s="288" t="s">
        <v>378</v>
      </c>
      <c r="AA57" s="289">
        <v>149473491</v>
      </c>
      <c r="AB57" s="289">
        <f t="shared" si="8"/>
        <v>158890.32093300001</v>
      </c>
      <c r="AF57" s="288" t="s">
        <v>375</v>
      </c>
      <c r="AG57" s="289">
        <v>1202961308</v>
      </c>
      <c r="AH57" s="289">
        <f t="shared" si="59"/>
        <v>1278747.8704039999</v>
      </c>
      <c r="AI57" s="289">
        <v>316079480</v>
      </c>
      <c r="AL57" s="426"/>
      <c r="AN57" s="423" t="s">
        <v>449</v>
      </c>
      <c r="AO57" s="424" t="s">
        <v>378</v>
      </c>
      <c r="AP57" s="425">
        <v>217903150</v>
      </c>
      <c r="AQ57" s="425">
        <f t="shared" si="9"/>
        <v>231631.04844999997</v>
      </c>
      <c r="AU57" s="423" t="s">
        <v>355</v>
      </c>
      <c r="AV57" s="424" t="s">
        <v>375</v>
      </c>
      <c r="AW57" s="425">
        <v>1202961308</v>
      </c>
      <c r="AX57" s="425">
        <v>400838026</v>
      </c>
      <c r="AY57" s="425">
        <v>802123282</v>
      </c>
      <c r="AZ57" s="426">
        <f t="shared" si="10"/>
        <v>1278747.8704039999</v>
      </c>
      <c r="BA57" s="426">
        <f t="shared" si="11"/>
        <v>426090.82163799996</v>
      </c>
      <c r="BB57" s="426">
        <f t="shared" si="12"/>
        <v>852657.04876599996</v>
      </c>
      <c r="BF57" s="423" t="s">
        <v>553</v>
      </c>
      <c r="BG57" s="424" t="s">
        <v>385</v>
      </c>
      <c r="BH57" s="425">
        <v>626266</v>
      </c>
      <c r="BI57" s="426">
        <f t="shared" si="13"/>
        <v>665.72075799999993</v>
      </c>
      <c r="BM57" s="427" t="s">
        <v>355</v>
      </c>
      <c r="BN57" s="93" t="s">
        <v>375</v>
      </c>
      <c r="BO57" s="94">
        <v>0</v>
      </c>
      <c r="BP57" s="94">
        <v>1202961308</v>
      </c>
      <c r="BQ57" s="94">
        <v>503330029</v>
      </c>
      <c r="BR57" s="94">
        <v>699631279</v>
      </c>
      <c r="BS57" s="94">
        <v>503330029</v>
      </c>
      <c r="BT57" s="426">
        <f t="shared" si="14"/>
        <v>1278747.8704039999</v>
      </c>
      <c r="BU57" s="426">
        <f t="shared" si="15"/>
        <v>535039.82082699996</v>
      </c>
      <c r="BV57" s="426">
        <f t="shared" si="16"/>
        <v>743708.04957699997</v>
      </c>
      <c r="BW57" s="426">
        <f t="shared" si="17"/>
        <v>535039.82082699996</v>
      </c>
      <c r="CA57" s="93" t="s">
        <v>376</v>
      </c>
      <c r="CB57" s="426">
        <v>0</v>
      </c>
      <c r="CC57" s="426">
        <f t="shared" si="18"/>
        <v>0</v>
      </c>
      <c r="CG57" s="424" t="s">
        <v>374</v>
      </c>
      <c r="CH57" s="425">
        <v>0</v>
      </c>
      <c r="CI57" s="425">
        <v>48139093</v>
      </c>
      <c r="CJ57" s="425">
        <v>-48139093</v>
      </c>
      <c r="CK57" s="425">
        <v>19700000</v>
      </c>
      <c r="CL57" s="425">
        <v>28439093</v>
      </c>
      <c r="CM57" s="425">
        <v>19700000</v>
      </c>
      <c r="CN57" s="425">
        <f t="shared" si="19"/>
        <v>51171.855858999996</v>
      </c>
      <c r="CO57" s="425">
        <f t="shared" si="20"/>
        <v>20941.099999999999</v>
      </c>
      <c r="CP57" s="425">
        <f t="shared" si="21"/>
        <v>30230.755859000001</v>
      </c>
      <c r="CQ57" s="425">
        <f t="shared" si="22"/>
        <v>20941.099999999999</v>
      </c>
      <c r="CU57" s="424" t="s">
        <v>588</v>
      </c>
      <c r="CV57" s="425">
        <v>0</v>
      </c>
      <c r="CW57" s="425">
        <v>0</v>
      </c>
      <c r="CX57" s="426">
        <f t="shared" si="23"/>
        <v>0</v>
      </c>
      <c r="CY57" s="426">
        <f t="shared" si="24"/>
        <v>0</v>
      </c>
      <c r="DB57" s="568" t="s">
        <v>374</v>
      </c>
      <c r="DC57" s="569">
        <v>48139093</v>
      </c>
      <c r="DD57" s="569">
        <v>19700000</v>
      </c>
      <c r="DE57" s="569">
        <v>28439093</v>
      </c>
      <c r="DF57" s="569">
        <v>19700000</v>
      </c>
      <c r="DG57" s="570">
        <f t="shared" si="25"/>
        <v>51171.855858999996</v>
      </c>
      <c r="DH57" s="570">
        <f t="shared" si="26"/>
        <v>20941.099999999999</v>
      </c>
      <c r="DI57" s="570">
        <f t="shared" si="27"/>
        <v>30230.755859000001</v>
      </c>
      <c r="DJ57" s="570">
        <f t="shared" si="28"/>
        <v>20941.099999999999</v>
      </c>
      <c r="DN57" s="93" t="s">
        <v>591</v>
      </c>
      <c r="DO57" s="93">
        <v>10990</v>
      </c>
      <c r="DP57" s="93">
        <v>23960</v>
      </c>
      <c r="DQ57" s="626">
        <f t="shared" si="29"/>
        <v>11.682369999999999</v>
      </c>
      <c r="DR57" s="626">
        <f t="shared" si="30"/>
        <v>25.469480000000001</v>
      </c>
      <c r="DV57" s="93" t="s">
        <v>374</v>
      </c>
      <c r="DW57" s="94">
        <v>48139093</v>
      </c>
      <c r="DX57" s="94">
        <v>19700000</v>
      </c>
      <c r="DY57" s="94">
        <v>28439093</v>
      </c>
      <c r="DZ57" s="94">
        <v>19700000</v>
      </c>
      <c r="EA57" s="94">
        <f t="shared" si="58"/>
        <v>51171.855858999996</v>
      </c>
      <c r="EB57" s="94">
        <f t="shared" si="31"/>
        <v>20941.099999999999</v>
      </c>
      <c r="EC57" s="94">
        <f t="shared" si="32"/>
        <v>30230.755859000001</v>
      </c>
      <c r="ED57" s="94">
        <f t="shared" si="33"/>
        <v>20941.099999999999</v>
      </c>
      <c r="EH57" s="420" t="s">
        <v>588</v>
      </c>
      <c r="EI57" s="420">
        <v>0</v>
      </c>
      <c r="EJ57" s="426">
        <f t="shared" si="34"/>
        <v>0</v>
      </c>
      <c r="EN57" s="420" t="s">
        <v>374</v>
      </c>
      <c r="EO57" s="426">
        <v>48139093</v>
      </c>
      <c r="EP57" s="426">
        <v>19700000</v>
      </c>
      <c r="EQ57" s="426">
        <v>28439093</v>
      </c>
      <c r="ER57" s="426">
        <v>19700000</v>
      </c>
      <c r="ES57" s="700">
        <f t="shared" si="35"/>
        <v>51171.855858999996</v>
      </c>
      <c r="ET57" s="700">
        <f t="shared" si="36"/>
        <v>20941.099999999999</v>
      </c>
      <c r="EU57" s="700">
        <f t="shared" si="37"/>
        <v>30230.755859000001</v>
      </c>
      <c r="EV57" s="700">
        <f t="shared" si="38"/>
        <v>20941.099999999999</v>
      </c>
      <c r="EZ57" s="730" t="s">
        <v>355</v>
      </c>
      <c r="FA57" s="731" t="s">
        <v>381</v>
      </c>
      <c r="FB57" s="420">
        <v>4119988</v>
      </c>
      <c r="FC57" s="426">
        <f t="shared" si="39"/>
        <v>4119.9880000000003</v>
      </c>
      <c r="FG57" s="735" t="s">
        <v>554</v>
      </c>
      <c r="FH57" s="734" t="s">
        <v>374</v>
      </c>
      <c r="FI57" s="732">
        <v>48139093</v>
      </c>
      <c r="FJ57" s="733">
        <v>19700000</v>
      </c>
      <c r="FK57" s="733">
        <v>28439093</v>
      </c>
      <c r="FL57" s="733">
        <v>19700000</v>
      </c>
      <c r="FM57" s="426">
        <f t="shared" si="40"/>
        <v>48139.093000000001</v>
      </c>
      <c r="FN57" s="426">
        <f t="shared" si="41"/>
        <v>19700</v>
      </c>
      <c r="FO57" s="426">
        <f t="shared" si="42"/>
        <v>28439.093000000001</v>
      </c>
      <c r="FP57" s="426">
        <f t="shared" si="43"/>
        <v>19700</v>
      </c>
      <c r="FT57" s="427" t="s">
        <v>553</v>
      </c>
      <c r="FU57" s="93" t="s">
        <v>587</v>
      </c>
      <c r="FV57" s="94">
        <v>0</v>
      </c>
      <c r="FW57" s="94">
        <v>0</v>
      </c>
      <c r="FX57" s="94">
        <v>0</v>
      </c>
      <c r="FY57" s="426">
        <f t="shared" si="44"/>
        <v>0</v>
      </c>
      <c r="FZ57" s="426">
        <f t="shared" si="45"/>
        <v>0</v>
      </c>
      <c r="GA57" s="426">
        <f t="shared" si="46"/>
        <v>0</v>
      </c>
      <c r="GG57" s="762" t="s">
        <v>554</v>
      </c>
      <c r="GH57" s="763" t="s">
        <v>374</v>
      </c>
      <c r="GI57" s="764">
        <v>48139093</v>
      </c>
      <c r="GJ57" s="764">
        <v>19700000</v>
      </c>
      <c r="GK57" s="764">
        <v>28439093</v>
      </c>
      <c r="GL57" s="764">
        <v>19700000</v>
      </c>
      <c r="GM57" s="764">
        <v>0</v>
      </c>
      <c r="GN57" s="426">
        <f t="shared" si="47"/>
        <v>48139.093000000001</v>
      </c>
      <c r="GO57" s="426">
        <f t="shared" si="48"/>
        <v>19700</v>
      </c>
      <c r="GP57" s="426">
        <f t="shared" si="49"/>
        <v>28439.093000000001</v>
      </c>
      <c r="GQ57" s="426">
        <f t="shared" si="50"/>
        <v>19700</v>
      </c>
      <c r="GR57" s="426">
        <f t="shared" si="51"/>
        <v>0</v>
      </c>
      <c r="GV57" s="780" t="s">
        <v>584</v>
      </c>
      <c r="GW57" s="779">
        <v>98881233</v>
      </c>
      <c r="GX57" s="426">
        <f t="shared" si="52"/>
        <v>98881.232999999993</v>
      </c>
      <c r="HB57" s="782" t="s">
        <v>624</v>
      </c>
      <c r="HC57" s="764">
        <v>95087000</v>
      </c>
      <c r="HD57" s="764">
        <v>92411445</v>
      </c>
      <c r="HE57" s="764">
        <v>2675555</v>
      </c>
      <c r="HF57" s="764">
        <v>92411445</v>
      </c>
      <c r="HG57" s="426">
        <f t="shared" si="53"/>
        <v>95087</v>
      </c>
      <c r="HH57" s="426">
        <f t="shared" si="54"/>
        <v>2675.5549999999998</v>
      </c>
      <c r="HI57" s="426">
        <f t="shared" si="55"/>
        <v>92411.445000000007</v>
      </c>
      <c r="HJ57" s="426">
        <f t="shared" si="56"/>
        <v>2675.5549999999998</v>
      </c>
      <c r="HK57" s="426">
        <f t="shared" si="57"/>
        <v>92411.445000000007</v>
      </c>
    </row>
    <row r="58" spans="1:219" ht="15" customHeight="1" x14ac:dyDescent="0.3">
      <c r="A58" s="287" t="s">
        <v>553</v>
      </c>
      <c r="B58" s="288" t="s">
        <v>584</v>
      </c>
      <c r="C58" s="289">
        <v>1170434000</v>
      </c>
      <c r="D58" s="290">
        <f t="shared" si="3"/>
        <v>1244171.3419999999</v>
      </c>
      <c r="E58" s="289">
        <v>102151378</v>
      </c>
      <c r="F58" s="289">
        <f t="shared" si="4"/>
        <v>108586.91481399999</v>
      </c>
      <c r="J58" s="291" t="s">
        <v>355</v>
      </c>
      <c r="K58" s="292" t="s">
        <v>387</v>
      </c>
      <c r="L58" s="293">
        <v>10847273</v>
      </c>
      <c r="M58" s="293">
        <f t="shared" si="5"/>
        <v>11530.651198999998</v>
      </c>
      <c r="Q58" s="291" t="s">
        <v>553</v>
      </c>
      <c r="R58" s="292" t="s">
        <v>584</v>
      </c>
      <c r="S58" s="293">
        <v>1170434000</v>
      </c>
      <c r="T58" s="293">
        <v>202949354</v>
      </c>
      <c r="U58" s="293">
        <f t="shared" si="6"/>
        <v>1244171.3419999999</v>
      </c>
      <c r="V58" s="293">
        <f t="shared" si="7"/>
        <v>215735.16330199997</v>
      </c>
      <c r="Z58" s="288" t="s">
        <v>381</v>
      </c>
      <c r="AA58" s="289">
        <v>3896443</v>
      </c>
      <c r="AB58" s="289">
        <f t="shared" si="8"/>
        <v>4141.918909</v>
      </c>
      <c r="AF58" s="288" t="s">
        <v>584</v>
      </c>
      <c r="AG58" s="289">
        <v>1170434000</v>
      </c>
      <c r="AH58" s="289">
        <f t="shared" si="59"/>
        <v>1244171.3419999999</v>
      </c>
      <c r="AI58" s="289">
        <v>304140556</v>
      </c>
      <c r="AL58" s="426"/>
      <c r="AN58" s="423" t="s">
        <v>355</v>
      </c>
      <c r="AO58" s="424" t="s">
        <v>379</v>
      </c>
      <c r="AP58" s="425">
        <v>0</v>
      </c>
      <c r="AQ58" s="425">
        <f t="shared" si="9"/>
        <v>0</v>
      </c>
      <c r="AU58" s="423" t="s">
        <v>553</v>
      </c>
      <c r="AV58" s="424" t="s">
        <v>584</v>
      </c>
      <c r="AW58" s="425">
        <v>1170434000</v>
      </c>
      <c r="AX58" s="425">
        <v>388899102</v>
      </c>
      <c r="AY58" s="425">
        <v>781534898</v>
      </c>
      <c r="AZ58" s="426">
        <f t="shared" si="10"/>
        <v>1244171.3419999999</v>
      </c>
      <c r="BA58" s="426">
        <f t="shared" si="11"/>
        <v>413399.74542599998</v>
      </c>
      <c r="BB58" s="426">
        <f t="shared" si="12"/>
        <v>830771.59657399997</v>
      </c>
      <c r="BF58" s="423" t="s">
        <v>553</v>
      </c>
      <c r="BG58" s="424" t="s">
        <v>386</v>
      </c>
      <c r="BH58" s="425">
        <v>13690</v>
      </c>
      <c r="BI58" s="426">
        <f t="shared" si="13"/>
        <v>14.55247</v>
      </c>
      <c r="BM58" s="427" t="s">
        <v>553</v>
      </c>
      <c r="BN58" s="93" t="s">
        <v>584</v>
      </c>
      <c r="BO58" s="94">
        <v>0</v>
      </c>
      <c r="BP58" s="94">
        <v>1170434000</v>
      </c>
      <c r="BQ58" s="94">
        <v>491391105</v>
      </c>
      <c r="BR58" s="94">
        <v>679042895</v>
      </c>
      <c r="BS58" s="94">
        <v>491391105</v>
      </c>
      <c r="BT58" s="426">
        <f t="shared" si="14"/>
        <v>1244171.3419999999</v>
      </c>
      <c r="BU58" s="426">
        <f t="shared" si="15"/>
        <v>522348.74461499997</v>
      </c>
      <c r="BV58" s="426">
        <f t="shared" si="16"/>
        <v>721822.59738499997</v>
      </c>
      <c r="BW58" s="426">
        <f t="shared" si="17"/>
        <v>522348.74461499997</v>
      </c>
      <c r="CA58" s="93" t="s">
        <v>378</v>
      </c>
      <c r="CB58" s="426">
        <v>162206433</v>
      </c>
      <c r="CC58" s="426">
        <f t="shared" si="18"/>
        <v>172425.43827899999</v>
      </c>
      <c r="CG58" s="424" t="s">
        <v>375</v>
      </c>
      <c r="CH58" s="425">
        <v>0</v>
      </c>
      <c r="CI58" s="425">
        <v>1202961308</v>
      </c>
      <c r="CJ58" s="425">
        <v>-1202961308</v>
      </c>
      <c r="CK58" s="425">
        <v>591378181</v>
      </c>
      <c r="CL58" s="425">
        <v>611583127</v>
      </c>
      <c r="CM58" s="425">
        <v>591378181</v>
      </c>
      <c r="CN58" s="425">
        <f t="shared" si="19"/>
        <v>1278747.8704039999</v>
      </c>
      <c r="CO58" s="425">
        <f t="shared" si="20"/>
        <v>628635.00640299998</v>
      </c>
      <c r="CP58" s="425">
        <f t="shared" si="21"/>
        <v>650112.86400099995</v>
      </c>
      <c r="CQ58" s="425">
        <f t="shared" si="22"/>
        <v>628635.00640299998</v>
      </c>
      <c r="CU58" s="424" t="s">
        <v>380</v>
      </c>
      <c r="CV58" s="425">
        <v>0</v>
      </c>
      <c r="CW58" s="425">
        <v>0</v>
      </c>
      <c r="CX58" s="426">
        <f t="shared" si="23"/>
        <v>0</v>
      </c>
      <c r="CY58" s="426">
        <f t="shared" si="24"/>
        <v>0</v>
      </c>
      <c r="DB58" s="568" t="s">
        <v>375</v>
      </c>
      <c r="DC58" s="569">
        <v>1202961308</v>
      </c>
      <c r="DD58" s="569">
        <v>672682319</v>
      </c>
      <c r="DE58" s="569">
        <v>530278989</v>
      </c>
      <c r="DF58" s="569">
        <v>672682319</v>
      </c>
      <c r="DG58" s="570">
        <f t="shared" si="25"/>
        <v>1278747.8704039999</v>
      </c>
      <c r="DH58" s="570">
        <f t="shared" si="26"/>
        <v>715061.30509699997</v>
      </c>
      <c r="DI58" s="570">
        <f t="shared" si="27"/>
        <v>563686.56530699995</v>
      </c>
      <c r="DJ58" s="570">
        <f t="shared" si="28"/>
        <v>715061.30509699997</v>
      </c>
      <c r="DN58" s="93" t="s">
        <v>592</v>
      </c>
      <c r="DO58" s="93">
        <v>0</v>
      </c>
      <c r="DP58" s="93">
        <v>0</v>
      </c>
      <c r="DQ58" s="626">
        <f t="shared" si="29"/>
        <v>0</v>
      </c>
      <c r="DR58" s="626">
        <f t="shared" si="30"/>
        <v>0</v>
      </c>
      <c r="DV58" s="93" t="s">
        <v>375</v>
      </c>
      <c r="DW58" s="94">
        <v>1202961308</v>
      </c>
      <c r="DX58" s="94">
        <v>749468223</v>
      </c>
      <c r="DY58" s="94">
        <v>453493085</v>
      </c>
      <c r="DZ58" s="94">
        <v>749468223</v>
      </c>
      <c r="EA58" s="94">
        <f t="shared" si="58"/>
        <v>1278747.8704039999</v>
      </c>
      <c r="EB58" s="94">
        <f t="shared" si="31"/>
        <v>796684.72104899993</v>
      </c>
      <c r="EC58" s="94">
        <f t="shared" si="32"/>
        <v>482063.149355</v>
      </c>
      <c r="ED58" s="94">
        <f t="shared" si="33"/>
        <v>796684.72104899993</v>
      </c>
      <c r="EH58" s="420" t="s">
        <v>502</v>
      </c>
      <c r="EI58" s="420">
        <v>30000000</v>
      </c>
      <c r="EJ58" s="426">
        <f t="shared" si="34"/>
        <v>31890</v>
      </c>
      <c r="EN58" s="420" t="s">
        <v>375</v>
      </c>
      <c r="EO58" s="426">
        <v>1202961308</v>
      </c>
      <c r="EP58" s="426">
        <v>843025962</v>
      </c>
      <c r="EQ58" s="426">
        <v>359935346</v>
      </c>
      <c r="ER58" s="426">
        <v>843025962</v>
      </c>
      <c r="ES58" s="700">
        <f t="shared" si="35"/>
        <v>1278747.8704039999</v>
      </c>
      <c r="ET58" s="700">
        <f t="shared" si="36"/>
        <v>896136.59760600002</v>
      </c>
      <c r="EU58" s="700">
        <f t="shared" si="37"/>
        <v>382611.27279800002</v>
      </c>
      <c r="EV58" s="700">
        <f t="shared" si="38"/>
        <v>896136.59760600002</v>
      </c>
      <c r="EZ58" s="730" t="s">
        <v>553</v>
      </c>
      <c r="FA58" s="731" t="s">
        <v>382</v>
      </c>
      <c r="FB58" s="420">
        <v>249543</v>
      </c>
      <c r="FC58" s="426">
        <f t="shared" si="39"/>
        <v>249.54300000000001</v>
      </c>
      <c r="FG58" s="735" t="s">
        <v>355</v>
      </c>
      <c r="FH58" s="734" t="s">
        <v>375</v>
      </c>
      <c r="FI58" s="732">
        <v>1202961308</v>
      </c>
      <c r="FJ58" s="733">
        <v>939183759</v>
      </c>
      <c r="FK58" s="733">
        <v>263777549</v>
      </c>
      <c r="FL58" s="733">
        <v>939183759</v>
      </c>
      <c r="FM58" s="426">
        <f t="shared" si="40"/>
        <v>1202961.308</v>
      </c>
      <c r="FN58" s="426">
        <f t="shared" si="41"/>
        <v>939183.75899999996</v>
      </c>
      <c r="FO58" s="426">
        <f t="shared" si="42"/>
        <v>263777.549</v>
      </c>
      <c r="FP58" s="426">
        <f t="shared" si="43"/>
        <v>939183.75899999996</v>
      </c>
      <c r="FT58" s="427" t="s">
        <v>553</v>
      </c>
      <c r="FU58" s="93" t="s">
        <v>588</v>
      </c>
      <c r="FV58" s="94">
        <v>-1216656</v>
      </c>
      <c r="FW58" s="94">
        <v>0</v>
      </c>
      <c r="FX58" s="94">
        <v>0</v>
      </c>
      <c r="FY58" s="426">
        <f t="shared" si="44"/>
        <v>-1216.6559999999999</v>
      </c>
      <c r="FZ58" s="426">
        <f t="shared" si="45"/>
        <v>0</v>
      </c>
      <c r="GA58" s="426">
        <f t="shared" si="46"/>
        <v>0</v>
      </c>
      <c r="GG58" s="762" t="s">
        <v>355</v>
      </c>
      <c r="GH58" s="763" t="s">
        <v>375</v>
      </c>
      <c r="GI58" s="764">
        <v>1222020308</v>
      </c>
      <c r="GJ58" s="764">
        <v>1030495484</v>
      </c>
      <c r="GK58" s="764">
        <v>191524824</v>
      </c>
      <c r="GL58" s="764">
        <v>1030495484</v>
      </c>
      <c r="GM58" s="764">
        <v>0</v>
      </c>
      <c r="GN58" s="426">
        <f t="shared" si="47"/>
        <v>1222020.308</v>
      </c>
      <c r="GO58" s="426">
        <f t="shared" si="48"/>
        <v>1030495.4840000001</v>
      </c>
      <c r="GP58" s="426">
        <f t="shared" si="49"/>
        <v>191524.82399999999</v>
      </c>
      <c r="GQ58" s="426">
        <f t="shared" si="50"/>
        <v>1030495.4840000001</v>
      </c>
      <c r="GR58" s="426">
        <f t="shared" si="51"/>
        <v>0</v>
      </c>
      <c r="GV58" s="780" t="s">
        <v>585</v>
      </c>
      <c r="GW58" s="779">
        <v>97442442</v>
      </c>
      <c r="GX58" s="426">
        <f t="shared" si="52"/>
        <v>97442.441999999995</v>
      </c>
      <c r="HB58" s="782" t="s">
        <v>372</v>
      </c>
      <c r="HC58" s="764">
        <v>142097157</v>
      </c>
      <c r="HD58" s="764">
        <v>135925287</v>
      </c>
      <c r="HE58" s="764">
        <v>6171870</v>
      </c>
      <c r="HF58" s="764">
        <v>135925287</v>
      </c>
      <c r="HG58" s="426">
        <f t="shared" si="53"/>
        <v>142097.15700000001</v>
      </c>
      <c r="HH58" s="426">
        <f t="shared" si="54"/>
        <v>6171.87</v>
      </c>
      <c r="HI58" s="426">
        <f t="shared" si="55"/>
        <v>135925.28700000001</v>
      </c>
      <c r="HJ58" s="426">
        <f t="shared" si="56"/>
        <v>6171.87</v>
      </c>
      <c r="HK58" s="426">
        <f t="shared" si="57"/>
        <v>135925.28700000001</v>
      </c>
    </row>
    <row r="59" spans="1:219" ht="15" customHeight="1" x14ac:dyDescent="0.3">
      <c r="A59" s="287" t="s">
        <v>554</v>
      </c>
      <c r="B59" s="288" t="s">
        <v>585</v>
      </c>
      <c r="C59" s="289">
        <v>1167904000</v>
      </c>
      <c r="D59" s="290">
        <f t="shared" si="3"/>
        <v>1241481.952</v>
      </c>
      <c r="E59" s="289">
        <v>101654445</v>
      </c>
      <c r="F59" s="289">
        <f t="shared" si="4"/>
        <v>108058.67503500001</v>
      </c>
      <c r="J59" s="291" t="s">
        <v>553</v>
      </c>
      <c r="K59" s="292" t="s">
        <v>388</v>
      </c>
      <c r="L59" s="293">
        <v>386100</v>
      </c>
      <c r="M59" s="293">
        <f t="shared" si="5"/>
        <v>410.42430000000002</v>
      </c>
      <c r="Q59" s="291" t="s">
        <v>554</v>
      </c>
      <c r="R59" s="292" t="s">
        <v>585</v>
      </c>
      <c r="S59" s="293">
        <v>1167904000</v>
      </c>
      <c r="T59" s="293">
        <v>202431459</v>
      </c>
      <c r="U59" s="293">
        <f t="shared" si="6"/>
        <v>1241481.952</v>
      </c>
      <c r="V59" s="293">
        <f t="shared" si="7"/>
        <v>215184.64091699998</v>
      </c>
      <c r="Z59" s="288" t="s">
        <v>382</v>
      </c>
      <c r="AA59" s="289">
        <v>236560</v>
      </c>
      <c r="AB59" s="289">
        <f t="shared" si="8"/>
        <v>251.46328</v>
      </c>
      <c r="AF59" s="288" t="s">
        <v>585</v>
      </c>
      <c r="AG59" s="289">
        <v>1168204000</v>
      </c>
      <c r="AH59" s="289">
        <f t="shared" si="59"/>
        <v>1241800.852</v>
      </c>
      <c r="AI59" s="289">
        <v>303577163</v>
      </c>
      <c r="AL59" s="426"/>
      <c r="AN59" s="423" t="s">
        <v>553</v>
      </c>
      <c r="AO59" s="424" t="s">
        <v>588</v>
      </c>
      <c r="AP59" s="425">
        <v>0</v>
      </c>
      <c r="AQ59" s="425">
        <f t="shared" si="9"/>
        <v>0</v>
      </c>
      <c r="AU59" s="423" t="s">
        <v>554</v>
      </c>
      <c r="AV59" s="424" t="s">
        <v>585</v>
      </c>
      <c r="AW59" s="425">
        <v>1165434000</v>
      </c>
      <c r="AX59" s="425">
        <v>387536109</v>
      </c>
      <c r="AY59" s="425">
        <v>777897891</v>
      </c>
      <c r="AZ59" s="426">
        <f t="shared" si="10"/>
        <v>1238856.3419999999</v>
      </c>
      <c r="BA59" s="426">
        <f t="shared" si="11"/>
        <v>411950.883867</v>
      </c>
      <c r="BB59" s="426">
        <f t="shared" si="12"/>
        <v>826905.45813299995</v>
      </c>
      <c r="BF59" s="423" t="s">
        <v>355</v>
      </c>
      <c r="BG59" s="424" t="s">
        <v>387</v>
      </c>
      <c r="BH59" s="425">
        <v>11031621</v>
      </c>
      <c r="BI59" s="426">
        <f t="shared" si="13"/>
        <v>11726.613122999999</v>
      </c>
      <c r="BM59" s="427" t="s">
        <v>554</v>
      </c>
      <c r="BN59" s="93" t="s">
        <v>585</v>
      </c>
      <c r="BO59" s="94">
        <v>0</v>
      </c>
      <c r="BP59" s="94">
        <v>1164820000</v>
      </c>
      <c r="BQ59" s="94">
        <v>488496291</v>
      </c>
      <c r="BR59" s="94">
        <v>676323709</v>
      </c>
      <c r="BS59" s="94">
        <v>488496291</v>
      </c>
      <c r="BT59" s="426">
        <f t="shared" si="14"/>
        <v>1238203.6599999999</v>
      </c>
      <c r="BU59" s="426">
        <f t="shared" si="15"/>
        <v>519271.557333</v>
      </c>
      <c r="BV59" s="426">
        <f t="shared" si="16"/>
        <v>718932.10266700003</v>
      </c>
      <c r="BW59" s="426">
        <f t="shared" si="17"/>
        <v>519271.557333</v>
      </c>
      <c r="CA59" s="93" t="s">
        <v>379</v>
      </c>
      <c r="CB59" s="426">
        <v>8504892</v>
      </c>
      <c r="CC59" s="426">
        <f t="shared" si="18"/>
        <v>9040.7001959999998</v>
      </c>
      <c r="CG59" s="424" t="s">
        <v>584</v>
      </c>
      <c r="CH59" s="425">
        <v>0</v>
      </c>
      <c r="CI59" s="425">
        <v>1170434000</v>
      </c>
      <c r="CJ59" s="425">
        <v>-1170434000</v>
      </c>
      <c r="CK59" s="425">
        <v>579439257</v>
      </c>
      <c r="CL59" s="425">
        <v>590994743</v>
      </c>
      <c r="CM59" s="425">
        <v>579439257</v>
      </c>
      <c r="CN59" s="425">
        <f t="shared" si="19"/>
        <v>1244171.3419999999</v>
      </c>
      <c r="CO59" s="425">
        <f t="shared" si="20"/>
        <v>615943.93019099999</v>
      </c>
      <c r="CP59" s="425">
        <f t="shared" si="21"/>
        <v>628227.41180899995</v>
      </c>
      <c r="CQ59" s="425">
        <f t="shared" si="22"/>
        <v>615943.93019099999</v>
      </c>
      <c r="CU59" s="424" t="s">
        <v>381</v>
      </c>
      <c r="CV59" s="425">
        <v>12512160</v>
      </c>
      <c r="CW59" s="425">
        <v>1318523</v>
      </c>
      <c r="CX59" s="426">
        <f t="shared" si="23"/>
        <v>13300.426079999999</v>
      </c>
      <c r="CY59" s="426">
        <f t="shared" si="24"/>
        <v>1401.5899489999999</v>
      </c>
      <c r="DB59" s="568" t="s">
        <v>584</v>
      </c>
      <c r="DC59" s="569">
        <v>1170434000</v>
      </c>
      <c r="DD59" s="569">
        <v>660743395</v>
      </c>
      <c r="DE59" s="569">
        <v>509690605</v>
      </c>
      <c r="DF59" s="569">
        <v>660743395</v>
      </c>
      <c r="DG59" s="570">
        <f t="shared" si="25"/>
        <v>1244171.3419999999</v>
      </c>
      <c r="DH59" s="570">
        <f t="shared" si="26"/>
        <v>702370.22888499999</v>
      </c>
      <c r="DI59" s="570">
        <f t="shared" si="27"/>
        <v>541801.11311499996</v>
      </c>
      <c r="DJ59" s="570">
        <f t="shared" si="28"/>
        <v>702370.22888499999</v>
      </c>
      <c r="DN59" s="93" t="s">
        <v>593</v>
      </c>
      <c r="DO59" s="93">
        <v>0</v>
      </c>
      <c r="DP59" s="93">
        <v>0</v>
      </c>
      <c r="DQ59" s="626">
        <f t="shared" si="29"/>
        <v>0</v>
      </c>
      <c r="DR59" s="626">
        <f t="shared" si="30"/>
        <v>0</v>
      </c>
      <c r="DV59" s="93" t="s">
        <v>584</v>
      </c>
      <c r="DW59" s="94">
        <v>1169858000</v>
      </c>
      <c r="DX59" s="94">
        <v>737529299</v>
      </c>
      <c r="DY59" s="94">
        <v>432328701</v>
      </c>
      <c r="DZ59" s="94">
        <v>737529299</v>
      </c>
      <c r="EA59" s="94">
        <f t="shared" si="58"/>
        <v>1243559.054</v>
      </c>
      <c r="EB59" s="94">
        <f t="shared" si="31"/>
        <v>783993.64483699994</v>
      </c>
      <c r="EC59" s="94">
        <f t="shared" si="32"/>
        <v>459565.409163</v>
      </c>
      <c r="ED59" s="94">
        <f t="shared" si="33"/>
        <v>783993.64483699994</v>
      </c>
      <c r="EH59" s="420" t="s">
        <v>503</v>
      </c>
      <c r="EI59" s="420">
        <v>30000000</v>
      </c>
      <c r="EJ59" s="426">
        <f t="shared" si="34"/>
        <v>31890</v>
      </c>
      <c r="EN59" s="420" t="s">
        <v>584</v>
      </c>
      <c r="EO59" s="426">
        <v>1169858000</v>
      </c>
      <c r="EP59" s="426">
        <v>826300780</v>
      </c>
      <c r="EQ59" s="426">
        <v>343557220</v>
      </c>
      <c r="ER59" s="426">
        <v>826300780</v>
      </c>
      <c r="ES59" s="700">
        <f t="shared" si="35"/>
        <v>1243559.054</v>
      </c>
      <c r="ET59" s="700">
        <f t="shared" si="36"/>
        <v>878357.72913999995</v>
      </c>
      <c r="EU59" s="700">
        <f t="shared" si="37"/>
        <v>365201.32485999994</v>
      </c>
      <c r="EV59" s="700">
        <f t="shared" si="38"/>
        <v>878357.72913999995</v>
      </c>
      <c r="EZ59" s="730" t="s">
        <v>553</v>
      </c>
      <c r="FA59" s="731" t="s">
        <v>882</v>
      </c>
      <c r="FB59" s="420">
        <v>0</v>
      </c>
      <c r="FC59" s="426">
        <f t="shared" si="39"/>
        <v>0</v>
      </c>
      <c r="FG59" s="735" t="s">
        <v>553</v>
      </c>
      <c r="FH59" s="734" t="s">
        <v>584</v>
      </c>
      <c r="FI59" s="732">
        <v>1169858000</v>
      </c>
      <c r="FJ59" s="733">
        <v>919456795</v>
      </c>
      <c r="FK59" s="733">
        <v>250401205</v>
      </c>
      <c r="FL59" s="733">
        <v>919456795</v>
      </c>
      <c r="FM59" s="426">
        <f t="shared" si="40"/>
        <v>1169858</v>
      </c>
      <c r="FN59" s="426">
        <f t="shared" si="41"/>
        <v>919456.79500000004</v>
      </c>
      <c r="FO59" s="426">
        <f t="shared" si="42"/>
        <v>250401.20499999999</v>
      </c>
      <c r="FP59" s="426">
        <f t="shared" si="43"/>
        <v>919456.79500000004</v>
      </c>
      <c r="FT59" s="427" t="s">
        <v>553</v>
      </c>
      <c r="FU59" s="93" t="s">
        <v>380</v>
      </c>
      <c r="FV59" s="94">
        <v>1319736</v>
      </c>
      <c r="FW59" s="94">
        <v>1319736</v>
      </c>
      <c r="FX59" s="94">
        <v>1319730</v>
      </c>
      <c r="FY59" s="426">
        <f t="shared" si="44"/>
        <v>1319.7360000000001</v>
      </c>
      <c r="FZ59" s="426">
        <f t="shared" si="45"/>
        <v>1319.7360000000001</v>
      </c>
      <c r="GA59" s="426">
        <f t="shared" si="46"/>
        <v>1319.73</v>
      </c>
      <c r="GG59" s="762" t="s">
        <v>553</v>
      </c>
      <c r="GH59" s="763" t="s">
        <v>584</v>
      </c>
      <c r="GI59" s="764">
        <v>1188917000</v>
      </c>
      <c r="GJ59" s="764">
        <v>1008484489</v>
      </c>
      <c r="GK59" s="764">
        <v>180432511</v>
      </c>
      <c r="GL59" s="764">
        <v>1008484489</v>
      </c>
      <c r="GM59" s="764">
        <v>0</v>
      </c>
      <c r="GN59" s="426">
        <f t="shared" si="47"/>
        <v>1188917</v>
      </c>
      <c r="GO59" s="426">
        <f t="shared" si="48"/>
        <v>1008484.4889999999</v>
      </c>
      <c r="GP59" s="426">
        <f t="shared" si="49"/>
        <v>180432.511</v>
      </c>
      <c r="GQ59" s="426">
        <f t="shared" si="50"/>
        <v>1008484.4889999999</v>
      </c>
      <c r="GR59" s="426">
        <f t="shared" si="51"/>
        <v>0</v>
      </c>
      <c r="GV59" s="780" t="s">
        <v>586</v>
      </c>
      <c r="GW59" s="779">
        <v>1438791</v>
      </c>
      <c r="GX59" s="426">
        <f t="shared" si="52"/>
        <v>1438.7909999999999</v>
      </c>
      <c r="HB59" s="782" t="s">
        <v>373</v>
      </c>
      <c r="HC59" s="764">
        <v>41401762</v>
      </c>
      <c r="HD59" s="764">
        <v>35558985</v>
      </c>
      <c r="HE59" s="764">
        <v>5842777</v>
      </c>
      <c r="HF59" s="764">
        <v>35558985</v>
      </c>
      <c r="HG59" s="426">
        <f t="shared" si="53"/>
        <v>41401.762000000002</v>
      </c>
      <c r="HH59" s="426">
        <f t="shared" si="54"/>
        <v>5842.777</v>
      </c>
      <c r="HI59" s="426">
        <f t="shared" si="55"/>
        <v>35558.985000000001</v>
      </c>
      <c r="HJ59" s="426">
        <f t="shared" si="56"/>
        <v>5842.777</v>
      </c>
      <c r="HK59" s="426">
        <f t="shared" si="57"/>
        <v>35558.985000000001</v>
      </c>
    </row>
    <row r="60" spans="1:219" ht="15" customHeight="1" x14ac:dyDescent="0.3">
      <c r="A60" s="287" t="s">
        <v>554</v>
      </c>
      <c r="B60" s="288" t="s">
        <v>586</v>
      </c>
      <c r="C60" s="289">
        <v>2530000</v>
      </c>
      <c r="D60" s="290">
        <f t="shared" si="3"/>
        <v>2689.39</v>
      </c>
      <c r="E60" s="289">
        <v>496933</v>
      </c>
      <c r="F60" s="289">
        <f t="shared" si="4"/>
        <v>528.239779</v>
      </c>
      <c r="J60" s="291" t="s">
        <v>553</v>
      </c>
      <c r="K60" s="292" t="s">
        <v>389</v>
      </c>
      <c r="L60" s="293">
        <v>570228</v>
      </c>
      <c r="M60" s="293">
        <f t="shared" si="5"/>
        <v>606.15236399999992</v>
      </c>
      <c r="Q60" s="291" t="s">
        <v>554</v>
      </c>
      <c r="R60" s="292" t="s">
        <v>586</v>
      </c>
      <c r="S60" s="293">
        <v>2530000</v>
      </c>
      <c r="T60" s="293">
        <v>517895</v>
      </c>
      <c r="U60" s="293">
        <f t="shared" si="6"/>
        <v>2689.39</v>
      </c>
      <c r="V60" s="293">
        <f t="shared" si="7"/>
        <v>550.52238499999999</v>
      </c>
      <c r="Z60" s="288" t="s">
        <v>383</v>
      </c>
      <c r="AA60" s="289">
        <v>0</v>
      </c>
      <c r="AB60" s="289">
        <f t="shared" si="8"/>
        <v>0</v>
      </c>
      <c r="AF60" s="288" t="s">
        <v>586</v>
      </c>
      <c r="AG60" s="289">
        <v>2230000</v>
      </c>
      <c r="AH60" s="289">
        <f t="shared" si="59"/>
        <v>2370.4899999999998</v>
      </c>
      <c r="AI60" s="289">
        <v>563393</v>
      </c>
      <c r="AL60" s="426"/>
      <c r="AN60" s="423" t="s">
        <v>355</v>
      </c>
      <c r="AO60" s="424" t="s">
        <v>381</v>
      </c>
      <c r="AP60" s="425">
        <v>5876643</v>
      </c>
      <c r="AQ60" s="425">
        <f t="shared" si="9"/>
        <v>6246.8715089999996</v>
      </c>
      <c r="AU60" s="423" t="s">
        <v>554</v>
      </c>
      <c r="AV60" s="424" t="s">
        <v>586</v>
      </c>
      <c r="AW60" s="425">
        <v>5000000</v>
      </c>
      <c r="AX60" s="425">
        <v>1362993</v>
      </c>
      <c r="AY60" s="425">
        <v>3637007</v>
      </c>
      <c r="AZ60" s="426">
        <f t="shared" si="10"/>
        <v>5315</v>
      </c>
      <c r="BA60" s="426">
        <f t="shared" si="11"/>
        <v>1448.8615589999999</v>
      </c>
      <c r="BB60" s="426">
        <f t="shared" si="12"/>
        <v>3866.1384410000001</v>
      </c>
      <c r="BF60" s="423" t="s">
        <v>553</v>
      </c>
      <c r="BG60" s="424" t="s">
        <v>388</v>
      </c>
      <c r="BH60" s="425">
        <v>495800</v>
      </c>
      <c r="BI60" s="426">
        <f t="shared" si="13"/>
        <v>527.03539999999998</v>
      </c>
      <c r="BM60" s="427" t="s">
        <v>554</v>
      </c>
      <c r="BN60" s="93" t="s">
        <v>586</v>
      </c>
      <c r="BO60" s="94">
        <v>0</v>
      </c>
      <c r="BP60" s="94">
        <v>5614000</v>
      </c>
      <c r="BQ60" s="94">
        <v>2894814</v>
      </c>
      <c r="BR60" s="94">
        <v>2719186</v>
      </c>
      <c r="BS60" s="94">
        <v>2894814</v>
      </c>
      <c r="BT60" s="426">
        <f t="shared" si="14"/>
        <v>5967.6819999999998</v>
      </c>
      <c r="BU60" s="426">
        <f t="shared" si="15"/>
        <v>3077.1872819999999</v>
      </c>
      <c r="BV60" s="426">
        <f t="shared" si="16"/>
        <v>2890.4947179999999</v>
      </c>
      <c r="BW60" s="426">
        <f t="shared" si="17"/>
        <v>3077.1872819999999</v>
      </c>
      <c r="CA60" s="93" t="s">
        <v>588</v>
      </c>
      <c r="CB60" s="426">
        <v>6960492</v>
      </c>
      <c r="CC60" s="426">
        <f t="shared" si="18"/>
        <v>7399.0029960000002</v>
      </c>
      <c r="CG60" s="424" t="s">
        <v>585</v>
      </c>
      <c r="CH60" s="425">
        <v>0</v>
      </c>
      <c r="CI60" s="425">
        <v>1163320000</v>
      </c>
      <c r="CJ60" s="425">
        <v>-1163320000</v>
      </c>
      <c r="CK60" s="425">
        <v>575348930</v>
      </c>
      <c r="CL60" s="425">
        <v>587971070</v>
      </c>
      <c r="CM60" s="425">
        <v>575348930</v>
      </c>
      <c r="CN60" s="425">
        <f t="shared" si="19"/>
        <v>1236609.1599999999</v>
      </c>
      <c r="CO60" s="425">
        <f t="shared" si="20"/>
        <v>611595.91259000008</v>
      </c>
      <c r="CP60" s="425">
        <f t="shared" si="21"/>
        <v>625013.24740999995</v>
      </c>
      <c r="CQ60" s="425">
        <f t="shared" si="22"/>
        <v>611595.91259000008</v>
      </c>
      <c r="CU60" s="424" t="s">
        <v>382</v>
      </c>
      <c r="CV60" s="425">
        <v>0</v>
      </c>
      <c r="CW60" s="425">
        <v>149250</v>
      </c>
      <c r="CX60" s="426">
        <f t="shared" si="23"/>
        <v>0</v>
      </c>
      <c r="CY60" s="426">
        <f t="shared" si="24"/>
        <v>158.65275</v>
      </c>
      <c r="DB60" s="568" t="s">
        <v>585</v>
      </c>
      <c r="DC60" s="569">
        <v>1160434000</v>
      </c>
      <c r="DD60" s="569">
        <v>654776177</v>
      </c>
      <c r="DE60" s="569">
        <v>505657823</v>
      </c>
      <c r="DF60" s="569">
        <v>654776177</v>
      </c>
      <c r="DG60" s="570">
        <f t="shared" si="25"/>
        <v>1233541.3419999999</v>
      </c>
      <c r="DH60" s="570">
        <f t="shared" si="26"/>
        <v>696027.07615099999</v>
      </c>
      <c r="DI60" s="570">
        <f t="shared" si="27"/>
        <v>537514.26584899996</v>
      </c>
      <c r="DJ60" s="570">
        <f t="shared" si="28"/>
        <v>696027.07615099999</v>
      </c>
      <c r="DN60" s="93" t="s">
        <v>594</v>
      </c>
      <c r="DO60" s="93">
        <v>553350</v>
      </c>
      <c r="DP60" s="93">
        <v>1501245</v>
      </c>
      <c r="DQ60" s="626">
        <f t="shared" si="29"/>
        <v>588.21105</v>
      </c>
      <c r="DR60" s="626">
        <f t="shared" si="30"/>
        <v>1595.8234349999998</v>
      </c>
      <c r="DV60" s="93" t="s">
        <v>585</v>
      </c>
      <c r="DW60" s="94">
        <v>1158358000</v>
      </c>
      <c r="DX60" s="94">
        <v>729573286</v>
      </c>
      <c r="DY60" s="94">
        <v>428784714</v>
      </c>
      <c r="DZ60" s="94">
        <v>729573286</v>
      </c>
      <c r="EA60" s="94">
        <f t="shared" si="58"/>
        <v>1231334.554</v>
      </c>
      <c r="EB60" s="94">
        <f t="shared" si="31"/>
        <v>775536.40301799995</v>
      </c>
      <c r="EC60" s="94">
        <f t="shared" si="32"/>
        <v>455798.15098199993</v>
      </c>
      <c r="ED60" s="94">
        <f t="shared" si="33"/>
        <v>775536.40301799995</v>
      </c>
      <c r="EH60" s="420" t="s">
        <v>381</v>
      </c>
      <c r="EI60" s="420">
        <v>12020491</v>
      </c>
      <c r="EJ60" s="426">
        <f t="shared" si="34"/>
        <v>12777.781933</v>
      </c>
      <c r="EN60" s="420" t="s">
        <v>585</v>
      </c>
      <c r="EO60" s="426">
        <v>1157808000</v>
      </c>
      <c r="EP60" s="426">
        <v>817319973</v>
      </c>
      <c r="EQ60" s="426">
        <v>340488027</v>
      </c>
      <c r="ER60" s="426">
        <v>817319973</v>
      </c>
      <c r="ES60" s="700">
        <f t="shared" si="35"/>
        <v>1230749.9039999999</v>
      </c>
      <c r="ET60" s="700">
        <f t="shared" si="36"/>
        <v>868811.131299</v>
      </c>
      <c r="EU60" s="700">
        <f t="shared" si="37"/>
        <v>361938.77270099998</v>
      </c>
      <c r="EV60" s="700">
        <f t="shared" si="38"/>
        <v>868811.131299</v>
      </c>
      <c r="EZ60" s="730" t="s">
        <v>553</v>
      </c>
      <c r="FA60" s="731" t="s">
        <v>589</v>
      </c>
      <c r="FB60" s="420">
        <v>0</v>
      </c>
      <c r="FC60" s="426">
        <f t="shared" si="39"/>
        <v>0</v>
      </c>
      <c r="FG60" s="735" t="s">
        <v>554</v>
      </c>
      <c r="FH60" s="734" t="s">
        <v>585</v>
      </c>
      <c r="FI60" s="732">
        <v>1156619310</v>
      </c>
      <c r="FJ60" s="733">
        <v>909414515</v>
      </c>
      <c r="FK60" s="733">
        <v>247204795</v>
      </c>
      <c r="FL60" s="733">
        <v>909414515</v>
      </c>
      <c r="FM60" s="426">
        <f t="shared" si="40"/>
        <v>1156619.31</v>
      </c>
      <c r="FN60" s="426">
        <f t="shared" si="41"/>
        <v>909414.51500000001</v>
      </c>
      <c r="FO60" s="426">
        <f t="shared" si="42"/>
        <v>247204.79500000001</v>
      </c>
      <c r="FP60" s="426">
        <f t="shared" si="43"/>
        <v>909414.51500000001</v>
      </c>
      <c r="FT60" s="427" t="s">
        <v>355</v>
      </c>
      <c r="FU60" s="93" t="s">
        <v>502</v>
      </c>
      <c r="FV60" s="94">
        <v>30000000</v>
      </c>
      <c r="FW60" s="94">
        <v>30000000</v>
      </c>
      <c r="FX60" s="94">
        <v>30000000</v>
      </c>
      <c r="FY60" s="426">
        <f t="shared" si="44"/>
        <v>30000</v>
      </c>
      <c r="FZ60" s="426">
        <f t="shared" si="45"/>
        <v>30000</v>
      </c>
      <c r="GA60" s="426">
        <f t="shared" si="46"/>
        <v>30000</v>
      </c>
      <c r="GG60" s="762" t="s">
        <v>554</v>
      </c>
      <c r="GH60" s="763" t="s">
        <v>585</v>
      </c>
      <c r="GI60" s="764">
        <v>1174410999</v>
      </c>
      <c r="GJ60" s="764">
        <v>997025149</v>
      </c>
      <c r="GK60" s="764">
        <v>177385850</v>
      </c>
      <c r="GL60" s="764">
        <v>997025149</v>
      </c>
      <c r="GM60" s="764">
        <v>0</v>
      </c>
      <c r="GN60" s="426">
        <f t="shared" si="47"/>
        <v>1174410.9990000001</v>
      </c>
      <c r="GO60" s="426">
        <f t="shared" si="48"/>
        <v>997025.14899999998</v>
      </c>
      <c r="GP60" s="426">
        <f t="shared" si="49"/>
        <v>177385.85</v>
      </c>
      <c r="GQ60" s="426">
        <f t="shared" si="50"/>
        <v>997025.14899999998</v>
      </c>
      <c r="GR60" s="426">
        <f t="shared" si="51"/>
        <v>0</v>
      </c>
      <c r="GV60" s="780" t="s">
        <v>376</v>
      </c>
      <c r="GW60" s="779">
        <v>4796458</v>
      </c>
      <c r="GX60" s="426">
        <f t="shared" si="52"/>
        <v>4796.4579999999996</v>
      </c>
      <c r="HB60" s="782" t="s">
        <v>482</v>
      </c>
      <c r="HC60" s="764">
        <v>15556302</v>
      </c>
      <c r="HD60" s="764">
        <v>15556302</v>
      </c>
      <c r="HE60" s="764">
        <v>0</v>
      </c>
      <c r="HF60" s="764">
        <v>15556302</v>
      </c>
      <c r="HG60" s="426">
        <f t="shared" si="53"/>
        <v>15556.302</v>
      </c>
      <c r="HH60" s="426">
        <f t="shared" si="54"/>
        <v>0</v>
      </c>
      <c r="HI60" s="426">
        <f t="shared" si="55"/>
        <v>15556.302</v>
      </c>
      <c r="HJ60" s="426">
        <f t="shared" si="56"/>
        <v>0</v>
      </c>
      <c r="HK60" s="426">
        <f t="shared" si="57"/>
        <v>15556.302</v>
      </c>
    </row>
    <row r="61" spans="1:219" ht="15" customHeight="1" x14ac:dyDescent="0.3">
      <c r="A61" s="287" t="s">
        <v>553</v>
      </c>
      <c r="B61" s="288" t="s">
        <v>376</v>
      </c>
      <c r="C61" s="289">
        <v>32527308</v>
      </c>
      <c r="D61" s="290">
        <f t="shared" si="3"/>
        <v>34576.528403999997</v>
      </c>
      <c r="E61" s="289">
        <v>4067017</v>
      </c>
      <c r="F61" s="289">
        <f t="shared" si="4"/>
        <v>4323.239071</v>
      </c>
      <c r="J61" s="291" t="s">
        <v>553</v>
      </c>
      <c r="K61" s="292" t="s">
        <v>390</v>
      </c>
      <c r="L61" s="293">
        <v>158350</v>
      </c>
      <c r="M61" s="293">
        <f t="shared" si="5"/>
        <v>168.32604999999998</v>
      </c>
      <c r="Q61" s="291" t="s">
        <v>553</v>
      </c>
      <c r="R61" s="292" t="s">
        <v>376</v>
      </c>
      <c r="S61" s="293">
        <v>32527308</v>
      </c>
      <c r="T61" s="293">
        <v>7267154</v>
      </c>
      <c r="U61" s="293">
        <f t="shared" si="6"/>
        <v>34576.528403999997</v>
      </c>
      <c r="V61" s="293">
        <f t="shared" si="7"/>
        <v>7724.9847019999997</v>
      </c>
      <c r="Z61" s="288" t="s">
        <v>589</v>
      </c>
      <c r="AA61" s="289">
        <v>468158</v>
      </c>
      <c r="AB61" s="289">
        <f t="shared" si="8"/>
        <v>497.65195399999999</v>
      </c>
      <c r="AF61" s="288" t="s">
        <v>376</v>
      </c>
      <c r="AG61" s="289">
        <v>32527308</v>
      </c>
      <c r="AH61" s="289">
        <f t="shared" si="59"/>
        <v>34576.528403999997</v>
      </c>
      <c r="AI61" s="289">
        <v>11938924</v>
      </c>
      <c r="AL61" s="426"/>
      <c r="AN61" s="423" t="s">
        <v>553</v>
      </c>
      <c r="AO61" s="424" t="s">
        <v>382</v>
      </c>
      <c r="AP61" s="425">
        <v>157941</v>
      </c>
      <c r="AQ61" s="425">
        <f t="shared" si="9"/>
        <v>167.89128299999999</v>
      </c>
      <c r="AU61" s="423" t="s">
        <v>553</v>
      </c>
      <c r="AV61" s="424" t="s">
        <v>376</v>
      </c>
      <c r="AW61" s="425">
        <v>32527308</v>
      </c>
      <c r="AX61" s="425">
        <v>11938924</v>
      </c>
      <c r="AY61" s="425">
        <v>20588384</v>
      </c>
      <c r="AZ61" s="426">
        <f t="shared" si="10"/>
        <v>34576.528403999997</v>
      </c>
      <c r="BA61" s="426">
        <f t="shared" si="11"/>
        <v>12691.076212</v>
      </c>
      <c r="BB61" s="426">
        <f t="shared" si="12"/>
        <v>21885.452191999997</v>
      </c>
      <c r="BF61" s="423" t="s">
        <v>553</v>
      </c>
      <c r="BG61" s="424" t="s">
        <v>389</v>
      </c>
      <c r="BH61" s="425">
        <v>865868</v>
      </c>
      <c r="BI61" s="426">
        <f t="shared" si="13"/>
        <v>920.41768400000001</v>
      </c>
      <c r="BM61" s="427" t="s">
        <v>553</v>
      </c>
      <c r="BN61" s="93" t="s">
        <v>376</v>
      </c>
      <c r="BO61" s="94">
        <v>0</v>
      </c>
      <c r="BP61" s="94">
        <v>32527308</v>
      </c>
      <c r="BQ61" s="94">
        <v>11938924</v>
      </c>
      <c r="BR61" s="94">
        <v>20588384</v>
      </c>
      <c r="BS61" s="94">
        <v>11938924</v>
      </c>
      <c r="BT61" s="426">
        <f t="shared" si="14"/>
        <v>34576.528403999997</v>
      </c>
      <c r="BU61" s="426">
        <f t="shared" si="15"/>
        <v>12691.076212</v>
      </c>
      <c r="BV61" s="426">
        <f t="shared" si="16"/>
        <v>21885.452191999997</v>
      </c>
      <c r="BW61" s="426">
        <f t="shared" si="17"/>
        <v>12691.076212</v>
      </c>
      <c r="CA61" s="93" t="s">
        <v>380</v>
      </c>
      <c r="CB61" s="426">
        <v>1544400</v>
      </c>
      <c r="CC61" s="426">
        <f t="shared" si="18"/>
        <v>1641.6972000000001</v>
      </c>
      <c r="CG61" s="424" t="s">
        <v>586</v>
      </c>
      <c r="CH61" s="425">
        <v>0</v>
      </c>
      <c r="CI61" s="425">
        <v>7114000</v>
      </c>
      <c r="CJ61" s="425">
        <v>-7114000</v>
      </c>
      <c r="CK61" s="425">
        <v>4090327</v>
      </c>
      <c r="CL61" s="425">
        <v>3023673</v>
      </c>
      <c r="CM61" s="425">
        <v>4090327</v>
      </c>
      <c r="CN61" s="425">
        <f t="shared" si="19"/>
        <v>7562.1819999999998</v>
      </c>
      <c r="CO61" s="425">
        <f t="shared" si="20"/>
        <v>4348.0176010000005</v>
      </c>
      <c r="CP61" s="425">
        <f t="shared" si="21"/>
        <v>3214.1643989999998</v>
      </c>
      <c r="CQ61" s="425">
        <f t="shared" si="22"/>
        <v>4348.0176010000005</v>
      </c>
      <c r="CU61" s="424" t="s">
        <v>383</v>
      </c>
      <c r="CV61" s="425">
        <v>0</v>
      </c>
      <c r="CW61" s="425">
        <v>0</v>
      </c>
      <c r="CX61" s="426">
        <f t="shared" si="23"/>
        <v>0</v>
      </c>
      <c r="CY61" s="426">
        <f t="shared" si="24"/>
        <v>0</v>
      </c>
      <c r="DB61" s="568" t="s">
        <v>586</v>
      </c>
      <c r="DC61" s="569">
        <v>10000000</v>
      </c>
      <c r="DD61" s="569">
        <v>5967218</v>
      </c>
      <c r="DE61" s="569">
        <v>4032782</v>
      </c>
      <c r="DF61" s="569">
        <v>5967218</v>
      </c>
      <c r="DG61" s="570">
        <f t="shared" si="25"/>
        <v>10630</v>
      </c>
      <c r="DH61" s="570">
        <f t="shared" si="26"/>
        <v>6343.1527339999993</v>
      </c>
      <c r="DI61" s="570">
        <f t="shared" si="27"/>
        <v>4286.8472659999998</v>
      </c>
      <c r="DJ61" s="570">
        <f t="shared" si="28"/>
        <v>6343.1527339999993</v>
      </c>
      <c r="DN61" s="93" t="s">
        <v>385</v>
      </c>
      <c r="DO61" s="93">
        <v>320504</v>
      </c>
      <c r="DP61" s="93">
        <v>894002</v>
      </c>
      <c r="DQ61" s="626">
        <f t="shared" si="29"/>
        <v>340.69575200000003</v>
      </c>
      <c r="DR61" s="626">
        <f t="shared" si="30"/>
        <v>950.32412599999986</v>
      </c>
      <c r="DV61" s="93" t="s">
        <v>586</v>
      </c>
      <c r="DW61" s="94">
        <v>11500000</v>
      </c>
      <c r="DX61" s="94">
        <v>7956013</v>
      </c>
      <c r="DY61" s="94">
        <v>3543987</v>
      </c>
      <c r="DZ61" s="94">
        <v>7956013</v>
      </c>
      <c r="EA61" s="94">
        <f t="shared" si="58"/>
        <v>12224.5</v>
      </c>
      <c r="EB61" s="94">
        <f t="shared" si="31"/>
        <v>8457.2418189999989</v>
      </c>
      <c r="EC61" s="94">
        <f t="shared" si="32"/>
        <v>3767.2581809999997</v>
      </c>
      <c r="ED61" s="94">
        <f t="shared" si="33"/>
        <v>8457.2418189999989</v>
      </c>
      <c r="EH61" s="420" t="s">
        <v>382</v>
      </c>
      <c r="EI61" s="420">
        <v>0</v>
      </c>
      <c r="EJ61" s="426">
        <f t="shared" si="34"/>
        <v>0</v>
      </c>
      <c r="EN61" s="420" t="s">
        <v>586</v>
      </c>
      <c r="EO61" s="426">
        <v>12050000</v>
      </c>
      <c r="EP61" s="426">
        <v>8980807</v>
      </c>
      <c r="EQ61" s="426">
        <v>3069193</v>
      </c>
      <c r="ER61" s="426">
        <v>8980807</v>
      </c>
      <c r="ES61" s="700">
        <f t="shared" si="35"/>
        <v>12809.15</v>
      </c>
      <c r="ET61" s="700">
        <f t="shared" si="36"/>
        <v>9546.5978410000007</v>
      </c>
      <c r="EU61" s="700">
        <f t="shared" si="37"/>
        <v>3262.5521589999998</v>
      </c>
      <c r="EV61" s="700">
        <f t="shared" si="38"/>
        <v>9546.5978410000007</v>
      </c>
      <c r="EZ61" s="730" t="s">
        <v>553</v>
      </c>
      <c r="FA61" s="731" t="s">
        <v>384</v>
      </c>
      <c r="FB61" s="420">
        <v>1795568</v>
      </c>
      <c r="FC61" s="426">
        <f t="shared" si="39"/>
        <v>1795.568</v>
      </c>
      <c r="FG61" s="735" t="s">
        <v>554</v>
      </c>
      <c r="FH61" s="734" t="s">
        <v>586</v>
      </c>
      <c r="FI61" s="732">
        <v>13238690</v>
      </c>
      <c r="FJ61" s="733">
        <v>10042280</v>
      </c>
      <c r="FK61" s="733">
        <v>3196410</v>
      </c>
      <c r="FL61" s="733">
        <v>10042280</v>
      </c>
      <c r="FM61" s="426">
        <f t="shared" si="40"/>
        <v>13238.69</v>
      </c>
      <c r="FN61" s="426">
        <f t="shared" si="41"/>
        <v>10042.280000000001</v>
      </c>
      <c r="FO61" s="426">
        <f t="shared" si="42"/>
        <v>3196.41</v>
      </c>
      <c r="FP61" s="426">
        <f t="shared" si="43"/>
        <v>10042.280000000001</v>
      </c>
      <c r="FT61" s="427" t="s">
        <v>553</v>
      </c>
      <c r="FU61" s="93" t="s">
        <v>503</v>
      </c>
      <c r="FV61" s="94">
        <v>30000000</v>
      </c>
      <c r="FW61" s="94">
        <v>30000000</v>
      </c>
      <c r="FX61" s="94">
        <v>30000000</v>
      </c>
      <c r="FY61" s="426">
        <f t="shared" si="44"/>
        <v>30000</v>
      </c>
      <c r="FZ61" s="426">
        <f t="shared" si="45"/>
        <v>30000</v>
      </c>
      <c r="GA61" s="426">
        <f t="shared" si="46"/>
        <v>30000</v>
      </c>
      <c r="GG61" s="762" t="s">
        <v>554</v>
      </c>
      <c r="GH61" s="763" t="s">
        <v>586</v>
      </c>
      <c r="GI61" s="764">
        <v>14506001</v>
      </c>
      <c r="GJ61" s="764">
        <v>11459340</v>
      </c>
      <c r="GK61" s="764">
        <v>3046661</v>
      </c>
      <c r="GL61" s="764">
        <v>11459340</v>
      </c>
      <c r="GM61" s="764">
        <v>0</v>
      </c>
      <c r="GN61" s="426">
        <f t="shared" si="47"/>
        <v>14506.001</v>
      </c>
      <c r="GO61" s="426">
        <f t="shared" si="48"/>
        <v>11459.34</v>
      </c>
      <c r="GP61" s="426">
        <f t="shared" si="49"/>
        <v>3046.6610000000001</v>
      </c>
      <c r="GQ61" s="426">
        <f t="shared" si="50"/>
        <v>11459.34</v>
      </c>
      <c r="GR61" s="426">
        <f t="shared" si="51"/>
        <v>0</v>
      </c>
      <c r="GV61" s="780" t="s">
        <v>378</v>
      </c>
      <c r="GW61" s="779">
        <v>539148867</v>
      </c>
      <c r="GX61" s="426">
        <f t="shared" si="52"/>
        <v>539148.86699999997</v>
      </c>
      <c r="HB61" s="782" t="s">
        <v>374</v>
      </c>
      <c r="HC61" s="764">
        <v>85139093</v>
      </c>
      <c r="HD61" s="764">
        <v>84810000</v>
      </c>
      <c r="HE61" s="764">
        <v>329093</v>
      </c>
      <c r="HF61" s="764">
        <v>84810000</v>
      </c>
      <c r="HG61" s="426">
        <f t="shared" si="53"/>
        <v>85139.092999999993</v>
      </c>
      <c r="HH61" s="426">
        <f t="shared" si="54"/>
        <v>329.09300000000002</v>
      </c>
      <c r="HI61" s="426">
        <f t="shared" si="55"/>
        <v>84810</v>
      </c>
      <c r="HJ61" s="426">
        <f t="shared" si="56"/>
        <v>329.09300000000002</v>
      </c>
      <c r="HK61" s="426">
        <f t="shared" si="57"/>
        <v>84810</v>
      </c>
    </row>
    <row r="62" spans="1:219" ht="15" customHeight="1" x14ac:dyDescent="0.3">
      <c r="A62" s="287" t="s">
        <v>449</v>
      </c>
      <c r="B62" s="288" t="s">
        <v>378</v>
      </c>
      <c r="C62" s="289">
        <v>2127733000</v>
      </c>
      <c r="D62" s="290">
        <f t="shared" si="3"/>
        <v>2261780.179</v>
      </c>
      <c r="E62" s="289">
        <v>39739663</v>
      </c>
      <c r="F62" s="289">
        <f t="shared" si="4"/>
        <v>42243.261768999997</v>
      </c>
      <c r="J62" s="291" t="s">
        <v>553</v>
      </c>
      <c r="K62" s="292" t="s">
        <v>391</v>
      </c>
      <c r="L62" s="293">
        <v>901712</v>
      </c>
      <c r="M62" s="293">
        <f t="shared" si="5"/>
        <v>958.51985599999989</v>
      </c>
      <c r="Q62" s="291" t="s">
        <v>449</v>
      </c>
      <c r="R62" s="292" t="s">
        <v>378</v>
      </c>
      <c r="S62" s="293">
        <v>2127733000</v>
      </c>
      <c r="T62" s="293">
        <v>93149049</v>
      </c>
      <c r="U62" s="293">
        <f t="shared" si="6"/>
        <v>2261780.179</v>
      </c>
      <c r="V62" s="293">
        <f t="shared" si="7"/>
        <v>99017.439086999992</v>
      </c>
      <c r="Z62" s="288" t="s">
        <v>384</v>
      </c>
      <c r="AA62" s="289">
        <v>2196519</v>
      </c>
      <c r="AB62" s="289">
        <f t="shared" si="8"/>
        <v>2334.8996969999998</v>
      </c>
      <c r="AF62" s="428" t="s">
        <v>378</v>
      </c>
      <c r="AG62" s="429">
        <v>2119283000</v>
      </c>
      <c r="AH62" s="429">
        <f t="shared" si="59"/>
        <v>2252797.8289999999</v>
      </c>
      <c r="AI62" s="289">
        <v>242622540</v>
      </c>
      <c r="AL62" s="426"/>
      <c r="AN62" s="423" t="s">
        <v>553</v>
      </c>
      <c r="AO62" s="424" t="s">
        <v>383</v>
      </c>
      <c r="AP62" s="425">
        <v>114240</v>
      </c>
      <c r="AQ62" s="425">
        <f t="shared" si="9"/>
        <v>121.43711999999999</v>
      </c>
      <c r="AU62" s="423" t="s">
        <v>449</v>
      </c>
      <c r="AV62" s="424" t="s">
        <v>378</v>
      </c>
      <c r="AW62" s="425">
        <v>2119283000</v>
      </c>
      <c r="AX62" s="425">
        <v>1814083255</v>
      </c>
      <c r="AY62" s="425">
        <v>305199745</v>
      </c>
      <c r="AZ62" s="426">
        <f t="shared" si="10"/>
        <v>2252797.8289999999</v>
      </c>
      <c r="BA62" s="426">
        <f t="shared" si="11"/>
        <v>1928370.5000649998</v>
      </c>
      <c r="BB62" s="426">
        <f t="shared" si="12"/>
        <v>324427.328935</v>
      </c>
      <c r="BF62" s="423" t="s">
        <v>553</v>
      </c>
      <c r="BG62" s="424" t="s">
        <v>390</v>
      </c>
      <c r="BH62" s="425">
        <v>116400</v>
      </c>
      <c r="BI62" s="426">
        <f t="shared" si="13"/>
        <v>123.7332</v>
      </c>
      <c r="BM62" s="427" t="s">
        <v>449</v>
      </c>
      <c r="BN62" s="93" t="s">
        <v>378</v>
      </c>
      <c r="BO62" s="94">
        <v>2119283000</v>
      </c>
      <c r="BP62" s="94">
        <v>2119282900</v>
      </c>
      <c r="BQ62" s="94">
        <v>1913270153</v>
      </c>
      <c r="BR62" s="94">
        <v>206012747</v>
      </c>
      <c r="BS62" s="94">
        <v>685373611</v>
      </c>
      <c r="BT62" s="426">
        <f t="shared" si="14"/>
        <v>2252797.7226999998</v>
      </c>
      <c r="BU62" s="426">
        <f t="shared" si="15"/>
        <v>2033806.1726389998</v>
      </c>
      <c r="BV62" s="426">
        <f t="shared" si="16"/>
        <v>218991.55006099999</v>
      </c>
      <c r="BW62" s="426">
        <f t="shared" si="17"/>
        <v>728552.14849299996</v>
      </c>
      <c r="CA62" s="93" t="s">
        <v>381</v>
      </c>
      <c r="CB62" s="426">
        <v>5848646</v>
      </c>
      <c r="CC62" s="426">
        <f t="shared" si="18"/>
        <v>6217.1106979999995</v>
      </c>
      <c r="CG62" s="424" t="s">
        <v>376</v>
      </c>
      <c r="CH62" s="425">
        <v>0</v>
      </c>
      <c r="CI62" s="425">
        <v>32527308</v>
      </c>
      <c r="CJ62" s="425">
        <v>-32527308</v>
      </c>
      <c r="CK62" s="425">
        <v>11938924</v>
      </c>
      <c r="CL62" s="425">
        <v>20588384</v>
      </c>
      <c r="CM62" s="425">
        <v>11938924</v>
      </c>
      <c r="CN62" s="425">
        <f t="shared" si="19"/>
        <v>34576.528403999997</v>
      </c>
      <c r="CO62" s="425">
        <f t="shared" si="20"/>
        <v>12691.076212</v>
      </c>
      <c r="CP62" s="425">
        <f t="shared" si="21"/>
        <v>21885.452191999997</v>
      </c>
      <c r="CQ62" s="425">
        <f t="shared" si="22"/>
        <v>12691.076212</v>
      </c>
      <c r="CU62" s="424" t="s">
        <v>589</v>
      </c>
      <c r="CV62" s="425">
        <v>0</v>
      </c>
      <c r="CW62" s="425">
        <v>0</v>
      </c>
      <c r="CX62" s="426">
        <f t="shared" si="23"/>
        <v>0</v>
      </c>
      <c r="CY62" s="426">
        <f t="shared" si="24"/>
        <v>0</v>
      </c>
      <c r="DB62" s="568" t="s">
        <v>376</v>
      </c>
      <c r="DC62" s="569">
        <v>32527308</v>
      </c>
      <c r="DD62" s="569">
        <v>11938924</v>
      </c>
      <c r="DE62" s="569">
        <v>20588384</v>
      </c>
      <c r="DF62" s="569">
        <v>11938924</v>
      </c>
      <c r="DG62" s="570">
        <f t="shared" si="25"/>
        <v>34576.528403999997</v>
      </c>
      <c r="DH62" s="570">
        <f t="shared" si="26"/>
        <v>12691.076212</v>
      </c>
      <c r="DI62" s="570">
        <f t="shared" si="27"/>
        <v>21885.452191999997</v>
      </c>
      <c r="DJ62" s="570">
        <f t="shared" si="28"/>
        <v>12691.076212</v>
      </c>
      <c r="DN62" s="93" t="s">
        <v>386</v>
      </c>
      <c r="DO62" s="93">
        <v>0</v>
      </c>
      <c r="DP62" s="93">
        <v>0</v>
      </c>
      <c r="DQ62" s="626">
        <f t="shared" si="29"/>
        <v>0</v>
      </c>
      <c r="DR62" s="626">
        <f t="shared" si="30"/>
        <v>0</v>
      </c>
      <c r="DV62" s="93" t="s">
        <v>376</v>
      </c>
      <c r="DW62" s="94">
        <v>32527308</v>
      </c>
      <c r="DX62" s="94">
        <v>11938924</v>
      </c>
      <c r="DY62" s="94">
        <v>20588384</v>
      </c>
      <c r="DZ62" s="94">
        <v>11938924</v>
      </c>
      <c r="EA62" s="94">
        <f t="shared" si="58"/>
        <v>34576.528403999997</v>
      </c>
      <c r="EB62" s="94">
        <f t="shared" si="31"/>
        <v>12691.076212</v>
      </c>
      <c r="EC62" s="94">
        <f t="shared" si="32"/>
        <v>21885.452191999997</v>
      </c>
      <c r="ED62" s="94">
        <f t="shared" si="33"/>
        <v>12691.076212</v>
      </c>
      <c r="EH62" s="420" t="s">
        <v>383</v>
      </c>
      <c r="EI62" s="420">
        <v>89840</v>
      </c>
      <c r="EJ62" s="426">
        <f t="shared" si="34"/>
        <v>95.499920000000003</v>
      </c>
      <c r="EN62" s="420" t="s">
        <v>376</v>
      </c>
      <c r="EO62" s="426">
        <v>32527308</v>
      </c>
      <c r="EP62" s="426">
        <v>16329182</v>
      </c>
      <c r="EQ62" s="426">
        <v>16198126</v>
      </c>
      <c r="ER62" s="426">
        <v>16329182</v>
      </c>
      <c r="ES62" s="700">
        <f t="shared" si="35"/>
        <v>34576.528403999997</v>
      </c>
      <c r="ET62" s="700">
        <f t="shared" si="36"/>
        <v>17357.920466</v>
      </c>
      <c r="EU62" s="700">
        <f t="shared" si="37"/>
        <v>17218.607938000001</v>
      </c>
      <c r="EV62" s="700">
        <f t="shared" si="38"/>
        <v>17357.920466</v>
      </c>
      <c r="EZ62" s="730" t="s">
        <v>553</v>
      </c>
      <c r="FA62" s="731" t="s">
        <v>591</v>
      </c>
      <c r="FB62" s="420">
        <v>1906730</v>
      </c>
      <c r="FC62" s="426">
        <f t="shared" si="39"/>
        <v>1906.73</v>
      </c>
      <c r="FG62" s="735" t="s">
        <v>553</v>
      </c>
      <c r="FH62" s="734" t="s">
        <v>376</v>
      </c>
      <c r="FI62" s="732">
        <v>32527308</v>
      </c>
      <c r="FJ62" s="733">
        <v>19330964</v>
      </c>
      <c r="FK62" s="733">
        <v>13196344</v>
      </c>
      <c r="FL62" s="733">
        <v>19330964</v>
      </c>
      <c r="FM62" s="426">
        <f t="shared" si="40"/>
        <v>32527.308000000001</v>
      </c>
      <c r="FN62" s="426">
        <f t="shared" si="41"/>
        <v>19330.964</v>
      </c>
      <c r="FO62" s="426">
        <f t="shared" si="42"/>
        <v>13196.343999999999</v>
      </c>
      <c r="FP62" s="426">
        <f t="shared" si="43"/>
        <v>19330.964</v>
      </c>
      <c r="FT62" s="427" t="s">
        <v>355</v>
      </c>
      <c r="FU62" s="93" t="s">
        <v>381</v>
      </c>
      <c r="FV62" s="94">
        <v>12071822</v>
      </c>
      <c r="FW62" s="94">
        <v>1380068</v>
      </c>
      <c r="FX62" s="94">
        <v>2792737</v>
      </c>
      <c r="FY62" s="426">
        <f t="shared" si="44"/>
        <v>12071.822</v>
      </c>
      <c r="FZ62" s="426">
        <f t="shared" si="45"/>
        <v>1380.068</v>
      </c>
      <c r="GA62" s="426">
        <f t="shared" si="46"/>
        <v>2792.7370000000001</v>
      </c>
      <c r="GG62" s="762" t="s">
        <v>553</v>
      </c>
      <c r="GH62" s="763" t="s">
        <v>376</v>
      </c>
      <c r="GI62" s="764">
        <v>32527308</v>
      </c>
      <c r="GJ62" s="764">
        <v>21614995</v>
      </c>
      <c r="GK62" s="764">
        <v>10912313</v>
      </c>
      <c r="GL62" s="764">
        <v>21614995</v>
      </c>
      <c r="GM62" s="764">
        <v>0</v>
      </c>
      <c r="GN62" s="426">
        <f t="shared" si="47"/>
        <v>32527.308000000001</v>
      </c>
      <c r="GO62" s="426">
        <f t="shared" si="48"/>
        <v>21614.994999999999</v>
      </c>
      <c r="GP62" s="426">
        <f t="shared" si="49"/>
        <v>10912.313</v>
      </c>
      <c r="GQ62" s="426">
        <f t="shared" si="50"/>
        <v>21614.994999999999</v>
      </c>
      <c r="GR62" s="426">
        <f t="shared" si="51"/>
        <v>0</v>
      </c>
      <c r="GV62" s="780" t="s">
        <v>379</v>
      </c>
      <c r="GW62" s="779">
        <v>8922144</v>
      </c>
      <c r="GX62" s="426">
        <f t="shared" si="52"/>
        <v>8922.1440000000002</v>
      </c>
      <c r="HB62" s="782" t="s">
        <v>375</v>
      </c>
      <c r="HC62" s="764">
        <v>1222020308</v>
      </c>
      <c r="HD62" s="764">
        <v>1134173175</v>
      </c>
      <c r="HE62" s="764">
        <v>87847133</v>
      </c>
      <c r="HF62" s="764">
        <v>1134173175</v>
      </c>
      <c r="HG62" s="426">
        <f t="shared" si="53"/>
        <v>1222020.308</v>
      </c>
      <c r="HH62" s="426">
        <f t="shared" si="54"/>
        <v>87847.133000000002</v>
      </c>
      <c r="HI62" s="426">
        <f t="shared" si="55"/>
        <v>1134173.175</v>
      </c>
      <c r="HJ62" s="426">
        <f t="shared" si="56"/>
        <v>87847.133000000002</v>
      </c>
      <c r="HK62" s="426">
        <f t="shared" si="57"/>
        <v>1134173.175</v>
      </c>
    </row>
    <row r="63" spans="1:219" ht="15" customHeight="1" x14ac:dyDescent="0.3">
      <c r="A63" s="287" t="s">
        <v>355</v>
      </c>
      <c r="B63" s="288" t="s">
        <v>379</v>
      </c>
      <c r="C63" s="289">
        <v>18829000</v>
      </c>
      <c r="D63" s="290">
        <f t="shared" si="3"/>
        <v>20015.226999999999</v>
      </c>
      <c r="E63" s="289">
        <v>0</v>
      </c>
      <c r="F63" s="289">
        <f t="shared" si="4"/>
        <v>0</v>
      </c>
      <c r="J63" s="291" t="s">
        <v>553</v>
      </c>
      <c r="K63" s="292" t="s">
        <v>392</v>
      </c>
      <c r="L63" s="293">
        <v>5465146</v>
      </c>
      <c r="M63" s="293">
        <f t="shared" si="5"/>
        <v>5809.4501979999995</v>
      </c>
      <c r="Q63" s="291" t="s">
        <v>355</v>
      </c>
      <c r="R63" s="292" t="s">
        <v>379</v>
      </c>
      <c r="S63" s="293">
        <v>18829000</v>
      </c>
      <c r="T63" s="293">
        <v>0</v>
      </c>
      <c r="U63" s="293">
        <f t="shared" si="6"/>
        <v>20015.226999999999</v>
      </c>
      <c r="V63" s="293">
        <f t="shared" si="7"/>
        <v>0</v>
      </c>
      <c r="Z63" s="288" t="s">
        <v>591</v>
      </c>
      <c r="AA63" s="289">
        <v>0</v>
      </c>
      <c r="AB63" s="289">
        <f t="shared" si="8"/>
        <v>0</v>
      </c>
      <c r="AF63" s="428" t="s">
        <v>379</v>
      </c>
      <c r="AG63" s="429">
        <v>18829000</v>
      </c>
      <c r="AH63" s="429">
        <f t="shared" si="59"/>
        <v>20015.226999999999</v>
      </c>
      <c r="AI63" s="289">
        <v>0</v>
      </c>
      <c r="AL63" s="426"/>
      <c r="AN63" s="423" t="s">
        <v>553</v>
      </c>
      <c r="AO63" s="424" t="s">
        <v>589</v>
      </c>
      <c r="AP63" s="425">
        <v>11600</v>
      </c>
      <c r="AQ63" s="425">
        <f t="shared" si="9"/>
        <v>12.330799999999998</v>
      </c>
      <c r="AU63" s="423" t="s">
        <v>355</v>
      </c>
      <c r="AV63" s="424" t="s">
        <v>379</v>
      </c>
      <c r="AW63" s="425">
        <v>10130061</v>
      </c>
      <c r="AX63" s="425">
        <v>0</v>
      </c>
      <c r="AY63" s="425">
        <v>10130061</v>
      </c>
      <c r="AZ63" s="426">
        <f t="shared" si="10"/>
        <v>10768.254842999999</v>
      </c>
      <c r="BA63" s="426">
        <f t="shared" si="11"/>
        <v>0</v>
      </c>
      <c r="BB63" s="426">
        <f t="shared" si="12"/>
        <v>10768.254842999999</v>
      </c>
      <c r="BF63" s="423" t="s">
        <v>553</v>
      </c>
      <c r="BG63" s="424" t="s">
        <v>391</v>
      </c>
      <c r="BH63" s="425">
        <v>722670</v>
      </c>
      <c r="BI63" s="426">
        <f t="shared" si="13"/>
        <v>768.1982099999999</v>
      </c>
      <c r="BM63" s="427" t="s">
        <v>355</v>
      </c>
      <c r="BN63" s="93" t="s">
        <v>379</v>
      </c>
      <c r="BO63" s="94">
        <v>0</v>
      </c>
      <c r="BP63" s="94">
        <v>11545030</v>
      </c>
      <c r="BQ63" s="94">
        <v>359380</v>
      </c>
      <c r="BR63" s="94">
        <v>11185650</v>
      </c>
      <c r="BS63" s="94">
        <v>0</v>
      </c>
      <c r="BT63" s="426">
        <f t="shared" si="14"/>
        <v>12272.366889999999</v>
      </c>
      <c r="BU63" s="426">
        <f t="shared" si="15"/>
        <v>382.02094</v>
      </c>
      <c r="BV63" s="426">
        <f t="shared" si="16"/>
        <v>11890.345949999999</v>
      </c>
      <c r="BW63" s="426">
        <f t="shared" si="17"/>
        <v>0</v>
      </c>
      <c r="CA63" s="93" t="s">
        <v>382</v>
      </c>
      <c r="CB63" s="426">
        <v>1197487</v>
      </c>
      <c r="CC63" s="426">
        <f t="shared" si="18"/>
        <v>1272.9286810000001</v>
      </c>
      <c r="CG63" s="424" t="s">
        <v>378</v>
      </c>
      <c r="CH63" s="425">
        <v>2169283000</v>
      </c>
      <c r="CI63" s="425">
        <v>2169283000</v>
      </c>
      <c r="CJ63" s="425">
        <v>0</v>
      </c>
      <c r="CK63" s="425">
        <v>2014297980</v>
      </c>
      <c r="CL63" s="425">
        <v>154985020</v>
      </c>
      <c r="CM63" s="425">
        <v>847580044</v>
      </c>
      <c r="CN63" s="425">
        <f t="shared" si="19"/>
        <v>2305947.8289999999</v>
      </c>
      <c r="CO63" s="425">
        <f t="shared" si="20"/>
        <v>2141198.7527399999</v>
      </c>
      <c r="CP63" s="425">
        <f t="shared" si="21"/>
        <v>164749.07625999997</v>
      </c>
      <c r="CQ63" s="425">
        <f t="shared" si="22"/>
        <v>900977.58677199995</v>
      </c>
      <c r="CU63" s="424" t="s">
        <v>384</v>
      </c>
      <c r="CV63" s="425">
        <v>6907078</v>
      </c>
      <c r="CW63" s="425">
        <v>18730</v>
      </c>
      <c r="CX63" s="426">
        <f t="shared" si="23"/>
        <v>7342.2239140000001</v>
      </c>
      <c r="CY63" s="426">
        <f t="shared" si="24"/>
        <v>19.909990000000001</v>
      </c>
      <c r="DB63" s="568" t="s">
        <v>378</v>
      </c>
      <c r="DC63" s="569">
        <v>2169283000</v>
      </c>
      <c r="DD63" s="569">
        <v>2021523711</v>
      </c>
      <c r="DE63" s="569">
        <v>147759289</v>
      </c>
      <c r="DF63" s="569">
        <v>1176941882</v>
      </c>
      <c r="DG63" s="570">
        <f t="shared" si="25"/>
        <v>2305947.8289999999</v>
      </c>
      <c r="DH63" s="570">
        <f t="shared" si="26"/>
        <v>2148879.7047929997</v>
      </c>
      <c r="DI63" s="570">
        <f t="shared" si="27"/>
        <v>157068.12420699999</v>
      </c>
      <c r="DJ63" s="570">
        <f t="shared" si="28"/>
        <v>1251089.2205659999</v>
      </c>
      <c r="DN63" s="93" t="s">
        <v>387</v>
      </c>
      <c r="DO63" s="93">
        <v>12804528</v>
      </c>
      <c r="DP63" s="93">
        <v>11562902</v>
      </c>
      <c r="DQ63" s="626">
        <f t="shared" si="29"/>
        <v>13611.213264</v>
      </c>
      <c r="DR63" s="626">
        <f t="shared" si="30"/>
        <v>12291.364825999999</v>
      </c>
      <c r="DV63" s="93" t="s">
        <v>377</v>
      </c>
      <c r="DW63" s="94">
        <v>576000</v>
      </c>
      <c r="DX63" s="94">
        <v>0</v>
      </c>
      <c r="DY63" s="94">
        <v>576000</v>
      </c>
      <c r="DZ63" s="94">
        <v>0</v>
      </c>
      <c r="EA63" s="94">
        <f t="shared" si="58"/>
        <v>612.28800000000001</v>
      </c>
      <c r="EB63" s="94">
        <f t="shared" si="31"/>
        <v>0</v>
      </c>
      <c r="EC63" s="94">
        <f t="shared" si="32"/>
        <v>612.28800000000001</v>
      </c>
      <c r="ED63" s="94">
        <f t="shared" si="33"/>
        <v>0</v>
      </c>
      <c r="EH63" s="420" t="s">
        <v>882</v>
      </c>
      <c r="EI63" s="420">
        <v>9350</v>
      </c>
      <c r="EJ63" s="426">
        <f t="shared" si="34"/>
        <v>9.9390499999999999</v>
      </c>
      <c r="EN63" s="420" t="s">
        <v>377</v>
      </c>
      <c r="EO63" s="426">
        <v>576000</v>
      </c>
      <c r="EP63" s="426">
        <v>396000</v>
      </c>
      <c r="EQ63" s="426">
        <v>180000</v>
      </c>
      <c r="ER63" s="426">
        <v>396000</v>
      </c>
      <c r="ES63" s="700">
        <f t="shared" si="35"/>
        <v>612.28800000000001</v>
      </c>
      <c r="ET63" s="700">
        <f t="shared" si="36"/>
        <v>420.94799999999998</v>
      </c>
      <c r="EU63" s="700">
        <f t="shared" si="37"/>
        <v>191.34</v>
      </c>
      <c r="EV63" s="700">
        <f t="shared" si="38"/>
        <v>420.94799999999998</v>
      </c>
      <c r="EZ63" s="730" t="s">
        <v>553</v>
      </c>
      <c r="FA63" s="731" t="s">
        <v>593</v>
      </c>
      <c r="FB63" s="420">
        <v>0</v>
      </c>
      <c r="FC63" s="426">
        <f t="shared" si="39"/>
        <v>0</v>
      </c>
      <c r="FG63" s="735" t="s">
        <v>553</v>
      </c>
      <c r="FH63" s="734" t="s">
        <v>377</v>
      </c>
      <c r="FI63" s="732">
        <v>576000</v>
      </c>
      <c r="FJ63" s="733">
        <v>396000</v>
      </c>
      <c r="FK63" s="733">
        <v>180000</v>
      </c>
      <c r="FL63" s="733">
        <v>396000</v>
      </c>
      <c r="FM63" s="426">
        <f t="shared" si="40"/>
        <v>576</v>
      </c>
      <c r="FN63" s="426">
        <f t="shared" si="41"/>
        <v>396</v>
      </c>
      <c r="FO63" s="426">
        <f t="shared" si="42"/>
        <v>180</v>
      </c>
      <c r="FP63" s="426">
        <f t="shared" si="43"/>
        <v>396</v>
      </c>
      <c r="FT63" s="427" t="s">
        <v>553</v>
      </c>
      <c r="FU63" s="93" t="s">
        <v>382</v>
      </c>
      <c r="FV63" s="94">
        <v>9800</v>
      </c>
      <c r="FW63" s="94">
        <v>9800</v>
      </c>
      <c r="FX63" s="94">
        <v>680960</v>
      </c>
      <c r="FY63" s="426">
        <f t="shared" si="44"/>
        <v>9.8000000000000007</v>
      </c>
      <c r="FZ63" s="426">
        <f t="shared" si="45"/>
        <v>9.8000000000000007</v>
      </c>
      <c r="GA63" s="426">
        <f t="shared" si="46"/>
        <v>680.96</v>
      </c>
      <c r="GG63" s="762" t="s">
        <v>553</v>
      </c>
      <c r="GH63" s="763" t="s">
        <v>377</v>
      </c>
      <c r="GI63" s="764">
        <v>576000</v>
      </c>
      <c r="GJ63" s="764">
        <v>396000</v>
      </c>
      <c r="GK63" s="764">
        <v>180000</v>
      </c>
      <c r="GL63" s="764">
        <v>396000</v>
      </c>
      <c r="GM63" s="764">
        <v>0</v>
      </c>
      <c r="GN63" s="426">
        <f t="shared" si="47"/>
        <v>576</v>
      </c>
      <c r="GO63" s="426">
        <f t="shared" si="48"/>
        <v>396</v>
      </c>
      <c r="GP63" s="426">
        <f t="shared" si="49"/>
        <v>180</v>
      </c>
      <c r="GQ63" s="426">
        <f t="shared" si="50"/>
        <v>396</v>
      </c>
      <c r="GR63" s="426">
        <f t="shared" si="51"/>
        <v>0</v>
      </c>
      <c r="GV63" s="780" t="s">
        <v>588</v>
      </c>
      <c r="GW63" s="779">
        <v>8922144</v>
      </c>
      <c r="GX63" s="426">
        <f t="shared" si="52"/>
        <v>8922.1440000000002</v>
      </c>
      <c r="HB63" s="782" t="s">
        <v>584</v>
      </c>
      <c r="HC63" s="764">
        <v>1188917000</v>
      </c>
      <c r="HD63" s="764">
        <v>1107365722</v>
      </c>
      <c r="HE63" s="764">
        <v>81551278</v>
      </c>
      <c r="HF63" s="764">
        <v>1107365722</v>
      </c>
      <c r="HG63" s="426">
        <f t="shared" si="53"/>
        <v>1188917</v>
      </c>
      <c r="HH63" s="426">
        <f t="shared" si="54"/>
        <v>81551.278000000006</v>
      </c>
      <c r="HI63" s="426">
        <f t="shared" si="55"/>
        <v>1107365.7220000001</v>
      </c>
      <c r="HJ63" s="426">
        <f t="shared" si="56"/>
        <v>81551.278000000006</v>
      </c>
      <c r="HK63" s="426">
        <f t="shared" si="57"/>
        <v>1107365.7220000001</v>
      </c>
    </row>
    <row r="64" spans="1:219" ht="15" customHeight="1" x14ac:dyDescent="0.3">
      <c r="A64" s="287" t="s">
        <v>553</v>
      </c>
      <c r="B64" s="288" t="s">
        <v>588</v>
      </c>
      <c r="C64" s="289">
        <v>15553000</v>
      </c>
      <c r="D64" s="290">
        <f t="shared" si="3"/>
        <v>16532.839</v>
      </c>
      <c r="E64" s="289">
        <v>0</v>
      </c>
      <c r="F64" s="289">
        <f t="shared" si="4"/>
        <v>0</v>
      </c>
      <c r="J64" s="291" t="s">
        <v>553</v>
      </c>
      <c r="K64" s="292" t="s">
        <v>393</v>
      </c>
      <c r="L64" s="293">
        <v>0</v>
      </c>
      <c r="M64" s="293">
        <f t="shared" si="5"/>
        <v>0</v>
      </c>
      <c r="Q64" s="291" t="s">
        <v>553</v>
      </c>
      <c r="R64" s="292" t="s">
        <v>588</v>
      </c>
      <c r="S64" s="293">
        <v>15553000</v>
      </c>
      <c r="T64" s="293">
        <v>0</v>
      </c>
      <c r="U64" s="293">
        <f t="shared" si="6"/>
        <v>16532.839</v>
      </c>
      <c r="V64" s="293">
        <f t="shared" si="7"/>
        <v>0</v>
      </c>
      <c r="Z64" s="288" t="s">
        <v>593</v>
      </c>
      <c r="AA64" s="289">
        <v>548956</v>
      </c>
      <c r="AB64" s="289">
        <f t="shared" si="8"/>
        <v>583.54022799999996</v>
      </c>
      <c r="AF64" s="428" t="s">
        <v>588</v>
      </c>
      <c r="AG64" s="429">
        <v>15553000</v>
      </c>
      <c r="AH64" s="429">
        <f t="shared" si="59"/>
        <v>16532.839</v>
      </c>
      <c r="AI64" s="289">
        <v>0</v>
      </c>
      <c r="AL64" s="426"/>
      <c r="AN64" s="423" t="s">
        <v>553</v>
      </c>
      <c r="AO64" s="424" t="s">
        <v>384</v>
      </c>
      <c r="AP64" s="425">
        <v>130874</v>
      </c>
      <c r="AQ64" s="425">
        <f t="shared" si="9"/>
        <v>139.11906199999999</v>
      </c>
      <c r="AU64" s="423" t="s">
        <v>553</v>
      </c>
      <c r="AV64" s="424" t="s">
        <v>588</v>
      </c>
      <c r="AW64" s="425">
        <v>6854061</v>
      </c>
      <c r="AX64" s="425">
        <v>0</v>
      </c>
      <c r="AY64" s="425">
        <v>6854061</v>
      </c>
      <c r="AZ64" s="426">
        <f t="shared" si="10"/>
        <v>7285.8668429999989</v>
      </c>
      <c r="BA64" s="426">
        <f t="shared" si="11"/>
        <v>0</v>
      </c>
      <c r="BB64" s="426">
        <f t="shared" si="12"/>
        <v>7285.8668429999989</v>
      </c>
      <c r="BF64" s="423" t="s">
        <v>553</v>
      </c>
      <c r="BG64" s="424" t="s">
        <v>392</v>
      </c>
      <c r="BH64" s="425">
        <v>5465146</v>
      </c>
      <c r="BI64" s="426">
        <f t="shared" si="13"/>
        <v>5809.4501979999995</v>
      </c>
      <c r="BM64" s="427" t="s">
        <v>553</v>
      </c>
      <c r="BN64" s="93" t="s">
        <v>587</v>
      </c>
      <c r="BO64" s="94">
        <v>0</v>
      </c>
      <c r="BP64" s="94">
        <v>359380</v>
      </c>
      <c r="BQ64" s="94">
        <v>359380</v>
      </c>
      <c r="BR64" s="94">
        <v>0</v>
      </c>
      <c r="BS64" s="94">
        <v>0</v>
      </c>
      <c r="BT64" s="426">
        <f t="shared" si="14"/>
        <v>382.02094</v>
      </c>
      <c r="BU64" s="426">
        <f t="shared" si="15"/>
        <v>382.02094</v>
      </c>
      <c r="BV64" s="426">
        <f t="shared" si="16"/>
        <v>0</v>
      </c>
      <c r="BW64" s="426">
        <f t="shared" si="17"/>
        <v>0</v>
      </c>
      <c r="CA64" s="93" t="s">
        <v>589</v>
      </c>
      <c r="CB64" s="426">
        <v>0</v>
      </c>
      <c r="CC64" s="426">
        <f t="shared" si="18"/>
        <v>0</v>
      </c>
      <c r="CG64" s="424" t="s">
        <v>379</v>
      </c>
      <c r="CH64" s="425">
        <v>0</v>
      </c>
      <c r="CI64" s="425">
        <v>11545030</v>
      </c>
      <c r="CJ64" s="425">
        <v>-11545030</v>
      </c>
      <c r="CK64" s="425">
        <v>8864272</v>
      </c>
      <c r="CL64" s="425">
        <v>2680758</v>
      </c>
      <c r="CM64" s="425">
        <v>8504892</v>
      </c>
      <c r="CN64" s="425">
        <f t="shared" si="19"/>
        <v>12272.366889999999</v>
      </c>
      <c r="CO64" s="425">
        <f t="shared" si="20"/>
        <v>9422.7211360000001</v>
      </c>
      <c r="CP64" s="425">
        <f t="shared" si="21"/>
        <v>2849.6457539999997</v>
      </c>
      <c r="CQ64" s="425">
        <f t="shared" si="22"/>
        <v>9040.7001959999998</v>
      </c>
      <c r="CU64" s="424" t="s">
        <v>592</v>
      </c>
      <c r="CV64" s="425">
        <v>0</v>
      </c>
      <c r="CW64" s="425">
        <v>310564</v>
      </c>
      <c r="CX64" s="426">
        <f t="shared" si="23"/>
        <v>0</v>
      </c>
      <c r="CY64" s="426">
        <f t="shared" si="24"/>
        <v>330.12953199999998</v>
      </c>
      <c r="DB64" s="568" t="s">
        <v>379</v>
      </c>
      <c r="DC64" s="569">
        <v>11545030</v>
      </c>
      <c r="DD64" s="569">
        <v>8864272</v>
      </c>
      <c r="DE64" s="569">
        <v>2680758</v>
      </c>
      <c r="DF64" s="569">
        <v>8504892</v>
      </c>
      <c r="DG64" s="570">
        <f t="shared" si="25"/>
        <v>12272.366889999999</v>
      </c>
      <c r="DH64" s="570">
        <f t="shared" si="26"/>
        <v>9422.7211360000001</v>
      </c>
      <c r="DI64" s="570">
        <f t="shared" si="27"/>
        <v>2849.6457539999997</v>
      </c>
      <c r="DJ64" s="570">
        <f t="shared" si="28"/>
        <v>9040.7001959999998</v>
      </c>
      <c r="DN64" s="93" t="s">
        <v>388</v>
      </c>
      <c r="DO64" s="93">
        <v>2100000</v>
      </c>
      <c r="DP64" s="93">
        <v>1259100</v>
      </c>
      <c r="DQ64" s="626">
        <f t="shared" si="29"/>
        <v>2232.2999999999997</v>
      </c>
      <c r="DR64" s="626">
        <f t="shared" si="30"/>
        <v>1338.4232999999999</v>
      </c>
      <c r="DV64" s="93" t="s">
        <v>378</v>
      </c>
      <c r="DW64" s="94">
        <v>2169280700</v>
      </c>
      <c r="DX64" s="94">
        <v>2081805942</v>
      </c>
      <c r="DY64" s="94">
        <v>87474758</v>
      </c>
      <c r="DZ64" s="94">
        <v>1380204317</v>
      </c>
      <c r="EA64" s="94">
        <f t="shared" si="58"/>
        <v>2305945.3840999999</v>
      </c>
      <c r="EB64" s="94">
        <f t="shared" si="31"/>
        <v>2212959.7163459999</v>
      </c>
      <c r="EC64" s="94">
        <f t="shared" si="32"/>
        <v>92985.667753999995</v>
      </c>
      <c r="ED64" s="94">
        <f t="shared" si="33"/>
        <v>1467157.188971</v>
      </c>
      <c r="EH64" s="420" t="s">
        <v>384</v>
      </c>
      <c r="EI64" s="420">
        <v>6888348</v>
      </c>
      <c r="EJ64" s="426">
        <f t="shared" si="34"/>
        <v>7322.3139239999991</v>
      </c>
      <c r="EN64" s="420" t="s">
        <v>378</v>
      </c>
      <c r="EO64" s="426">
        <v>2169283000</v>
      </c>
      <c r="EP64" s="426">
        <v>2000857038</v>
      </c>
      <c r="EQ64" s="426">
        <v>168425962</v>
      </c>
      <c r="ER64" s="426">
        <v>1661528933</v>
      </c>
      <c r="ES64" s="700">
        <f t="shared" si="35"/>
        <v>2305947.8289999999</v>
      </c>
      <c r="ET64" s="700">
        <f t="shared" si="36"/>
        <v>2126911.0313939997</v>
      </c>
      <c r="EU64" s="700">
        <f t="shared" si="37"/>
        <v>179036.79760599998</v>
      </c>
      <c r="EV64" s="700">
        <f t="shared" si="38"/>
        <v>1766205.2557789998</v>
      </c>
      <c r="EZ64" s="730" t="s">
        <v>553</v>
      </c>
      <c r="FA64" s="731" t="s">
        <v>594</v>
      </c>
      <c r="FB64" s="420">
        <v>168147</v>
      </c>
      <c r="FC64" s="426">
        <f t="shared" si="39"/>
        <v>168.14699999999999</v>
      </c>
      <c r="FG64" s="735" t="s">
        <v>449</v>
      </c>
      <c r="FH64" s="734" t="s">
        <v>378</v>
      </c>
      <c r="FI64" s="732">
        <v>2576163000</v>
      </c>
      <c r="FJ64" s="733">
        <v>2317989519</v>
      </c>
      <c r="FK64" s="733">
        <v>258173481</v>
      </c>
      <c r="FL64" s="733">
        <v>1875793106</v>
      </c>
      <c r="FM64" s="426">
        <f t="shared" si="40"/>
        <v>2576163</v>
      </c>
      <c r="FN64" s="426">
        <f t="shared" si="41"/>
        <v>2317989.5189999999</v>
      </c>
      <c r="FO64" s="426">
        <f t="shared" si="42"/>
        <v>258173.481</v>
      </c>
      <c r="FP64" s="426">
        <f t="shared" si="43"/>
        <v>1875793.1059999999</v>
      </c>
      <c r="FT64" s="427" t="s">
        <v>553</v>
      </c>
      <c r="FU64" s="93" t="s">
        <v>383</v>
      </c>
      <c r="FV64" s="94">
        <v>-10</v>
      </c>
      <c r="FW64" s="94">
        <v>-10</v>
      </c>
      <c r="FX64" s="94">
        <v>0</v>
      </c>
      <c r="FY64" s="426">
        <f t="shared" si="44"/>
        <v>-0.01</v>
      </c>
      <c r="FZ64" s="426">
        <f t="shared" si="45"/>
        <v>-0.01</v>
      </c>
      <c r="GA64" s="426">
        <f t="shared" si="46"/>
        <v>0</v>
      </c>
      <c r="GG64" s="762" t="s">
        <v>449</v>
      </c>
      <c r="GH64" s="763" t="s">
        <v>378</v>
      </c>
      <c r="GI64" s="764">
        <v>2655147000</v>
      </c>
      <c r="GJ64" s="764">
        <v>2491723802</v>
      </c>
      <c r="GK64" s="764">
        <v>163423198</v>
      </c>
      <c r="GL64" s="764">
        <v>2105007132</v>
      </c>
      <c r="GM64" s="764">
        <v>386716670</v>
      </c>
      <c r="GN64" s="426">
        <f t="shared" si="47"/>
        <v>2655147</v>
      </c>
      <c r="GO64" s="426">
        <f t="shared" si="48"/>
        <v>2491723.8020000001</v>
      </c>
      <c r="GP64" s="426">
        <f t="shared" si="49"/>
        <v>163423.198</v>
      </c>
      <c r="GQ64" s="426">
        <f t="shared" si="50"/>
        <v>2105007.1320000002</v>
      </c>
      <c r="GR64" s="426">
        <f t="shared" si="51"/>
        <v>386716.67</v>
      </c>
      <c r="GV64" s="780" t="s">
        <v>381</v>
      </c>
      <c r="GW64" s="779">
        <v>18032290</v>
      </c>
      <c r="GX64" s="426">
        <f t="shared" si="52"/>
        <v>18032.29</v>
      </c>
      <c r="HB64" s="782" t="s">
        <v>585</v>
      </c>
      <c r="HC64" s="764">
        <v>1173632999</v>
      </c>
      <c r="HD64" s="764">
        <v>1094467591</v>
      </c>
      <c r="HE64" s="764">
        <v>79165408</v>
      </c>
      <c r="HF64" s="764">
        <v>1094467591</v>
      </c>
      <c r="HG64" s="426">
        <f t="shared" si="53"/>
        <v>1173632.9990000001</v>
      </c>
      <c r="HH64" s="426">
        <f t="shared" si="54"/>
        <v>79165.407999999996</v>
      </c>
      <c r="HI64" s="426">
        <f t="shared" si="55"/>
        <v>1094467.591</v>
      </c>
      <c r="HJ64" s="426">
        <f t="shared" si="56"/>
        <v>79165.407999999996</v>
      </c>
      <c r="HK64" s="426">
        <f t="shared" si="57"/>
        <v>1094467.591</v>
      </c>
    </row>
    <row r="65" spans="1:219" ht="15" customHeight="1" x14ac:dyDescent="0.3">
      <c r="A65" s="287" t="s">
        <v>553</v>
      </c>
      <c r="B65" s="288" t="s">
        <v>380</v>
      </c>
      <c r="C65" s="289">
        <v>3276000</v>
      </c>
      <c r="D65" s="290">
        <f t="shared" si="3"/>
        <v>3482.3879999999999</v>
      </c>
      <c r="E65" s="289">
        <v>0</v>
      </c>
      <c r="F65" s="289">
        <f t="shared" si="4"/>
        <v>0</v>
      </c>
      <c r="J65" s="291" t="s">
        <v>553</v>
      </c>
      <c r="K65" s="292" t="s">
        <v>394</v>
      </c>
      <c r="L65" s="293">
        <v>479808</v>
      </c>
      <c r="M65" s="293">
        <f t="shared" si="5"/>
        <v>510.03590399999996</v>
      </c>
      <c r="Q65" s="291" t="s">
        <v>553</v>
      </c>
      <c r="R65" s="292" t="s">
        <v>380</v>
      </c>
      <c r="S65" s="293">
        <v>3276000</v>
      </c>
      <c r="T65" s="293">
        <v>0</v>
      </c>
      <c r="U65" s="293">
        <f t="shared" si="6"/>
        <v>3482.3879999999999</v>
      </c>
      <c r="V65" s="293">
        <f t="shared" si="7"/>
        <v>0</v>
      </c>
      <c r="Z65" s="288" t="s">
        <v>385</v>
      </c>
      <c r="AA65" s="289">
        <v>0</v>
      </c>
      <c r="AB65" s="289">
        <f t="shared" si="8"/>
        <v>0</v>
      </c>
      <c r="AF65" s="428" t="s">
        <v>380</v>
      </c>
      <c r="AG65" s="429">
        <v>3276000</v>
      </c>
      <c r="AH65" s="429">
        <f t="shared" si="59"/>
        <v>3482.3879999999999</v>
      </c>
      <c r="AI65" s="289">
        <v>0</v>
      </c>
      <c r="AL65" s="426"/>
      <c r="AN65" s="423" t="s">
        <v>553</v>
      </c>
      <c r="AO65" s="424" t="s">
        <v>590</v>
      </c>
      <c r="AP65" s="425">
        <v>0</v>
      </c>
      <c r="AQ65" s="425">
        <f t="shared" si="9"/>
        <v>0</v>
      </c>
      <c r="AU65" s="423" t="s">
        <v>553</v>
      </c>
      <c r="AV65" s="424" t="s">
        <v>380</v>
      </c>
      <c r="AW65" s="425">
        <v>3276000</v>
      </c>
      <c r="AX65" s="425">
        <v>0</v>
      </c>
      <c r="AY65" s="425">
        <v>3276000</v>
      </c>
      <c r="AZ65" s="426">
        <f t="shared" si="10"/>
        <v>3482.3879999999999</v>
      </c>
      <c r="BA65" s="426">
        <f t="shared" si="11"/>
        <v>0</v>
      </c>
      <c r="BB65" s="426">
        <f t="shared" si="12"/>
        <v>3482.3879999999999</v>
      </c>
      <c r="BF65" s="423" t="s">
        <v>553</v>
      </c>
      <c r="BG65" s="424" t="s">
        <v>393</v>
      </c>
      <c r="BH65" s="425">
        <v>0</v>
      </c>
      <c r="BI65" s="426">
        <f t="shared" si="13"/>
        <v>0</v>
      </c>
      <c r="BM65" s="427" t="s">
        <v>553</v>
      </c>
      <c r="BN65" s="93" t="s">
        <v>588</v>
      </c>
      <c r="BO65" s="94">
        <v>0</v>
      </c>
      <c r="BP65" s="94">
        <v>7909650</v>
      </c>
      <c r="BQ65" s="94">
        <v>0</v>
      </c>
      <c r="BR65" s="94">
        <v>7909650</v>
      </c>
      <c r="BS65" s="94">
        <v>0</v>
      </c>
      <c r="BT65" s="426">
        <f t="shared" si="14"/>
        <v>8407.95795</v>
      </c>
      <c r="BU65" s="426">
        <f t="shared" si="15"/>
        <v>0</v>
      </c>
      <c r="BV65" s="426">
        <f t="shared" si="16"/>
        <v>8407.95795</v>
      </c>
      <c r="BW65" s="426">
        <f t="shared" si="17"/>
        <v>0</v>
      </c>
      <c r="CA65" s="93" t="s">
        <v>384</v>
      </c>
      <c r="CB65" s="426">
        <v>4525757</v>
      </c>
      <c r="CC65" s="426">
        <f t="shared" si="18"/>
        <v>4810.8796909999992</v>
      </c>
      <c r="CG65" s="424" t="s">
        <v>587</v>
      </c>
      <c r="CH65" s="425">
        <v>0</v>
      </c>
      <c r="CI65" s="425">
        <v>359380</v>
      </c>
      <c r="CJ65" s="425">
        <v>-359380</v>
      </c>
      <c r="CK65" s="425">
        <v>359380</v>
      </c>
      <c r="CL65" s="425">
        <v>0</v>
      </c>
      <c r="CM65" s="425">
        <v>0</v>
      </c>
      <c r="CN65" s="425">
        <f t="shared" si="19"/>
        <v>382.02094</v>
      </c>
      <c r="CO65" s="425">
        <f t="shared" si="20"/>
        <v>382.02094</v>
      </c>
      <c r="CP65" s="425">
        <f t="shared" si="21"/>
        <v>0</v>
      </c>
      <c r="CQ65" s="425">
        <f t="shared" si="22"/>
        <v>0</v>
      </c>
      <c r="CU65" s="424" t="s">
        <v>593</v>
      </c>
      <c r="CV65" s="425">
        <v>220434</v>
      </c>
      <c r="CW65" s="425">
        <v>537799</v>
      </c>
      <c r="CX65" s="426">
        <f t="shared" si="23"/>
        <v>234.32134199999999</v>
      </c>
      <c r="CY65" s="426">
        <f t="shared" si="24"/>
        <v>571.68033699999989</v>
      </c>
      <c r="DB65" s="568" t="s">
        <v>587</v>
      </c>
      <c r="DC65" s="569">
        <v>359380</v>
      </c>
      <c r="DD65" s="569">
        <v>359380</v>
      </c>
      <c r="DE65" s="569">
        <v>0</v>
      </c>
      <c r="DF65" s="569">
        <v>0</v>
      </c>
      <c r="DG65" s="570">
        <f t="shared" si="25"/>
        <v>382.02094</v>
      </c>
      <c r="DH65" s="570">
        <f t="shared" si="26"/>
        <v>382.02094</v>
      </c>
      <c r="DI65" s="570">
        <f t="shared" si="27"/>
        <v>0</v>
      </c>
      <c r="DJ65" s="570">
        <f t="shared" si="28"/>
        <v>0</v>
      </c>
      <c r="DN65" s="93" t="s">
        <v>389</v>
      </c>
      <c r="DO65" s="93">
        <v>5615000</v>
      </c>
      <c r="DP65" s="93">
        <v>236516</v>
      </c>
      <c r="DQ65" s="626">
        <f t="shared" si="29"/>
        <v>5968.7449999999999</v>
      </c>
      <c r="DR65" s="626">
        <f t="shared" si="30"/>
        <v>251.41650799999996</v>
      </c>
      <c r="DV65" s="93" t="s">
        <v>379</v>
      </c>
      <c r="DW65" s="94">
        <v>8864272</v>
      </c>
      <c r="DX65" s="94">
        <v>8864272</v>
      </c>
      <c r="DY65" s="94">
        <v>0</v>
      </c>
      <c r="DZ65" s="94">
        <v>8504892</v>
      </c>
      <c r="EA65" s="94">
        <f t="shared" si="58"/>
        <v>9422.7211360000001</v>
      </c>
      <c r="EB65" s="94">
        <f t="shared" si="31"/>
        <v>9422.7211360000001</v>
      </c>
      <c r="EC65" s="94">
        <f t="shared" si="32"/>
        <v>0</v>
      </c>
      <c r="ED65" s="94">
        <f t="shared" si="33"/>
        <v>9040.7001959999998</v>
      </c>
      <c r="EH65" s="420" t="s">
        <v>591</v>
      </c>
      <c r="EI65" s="420">
        <v>534429</v>
      </c>
      <c r="EJ65" s="426">
        <f t="shared" si="34"/>
        <v>568.09802699999989</v>
      </c>
      <c r="EN65" s="420" t="s">
        <v>379</v>
      </c>
      <c r="EO65" s="426">
        <v>19003072</v>
      </c>
      <c r="EP65" s="426">
        <v>17786416</v>
      </c>
      <c r="EQ65" s="426">
        <v>1216656</v>
      </c>
      <c r="ER65" s="426">
        <v>8504892</v>
      </c>
      <c r="ES65" s="700">
        <f t="shared" si="35"/>
        <v>20200.265535999999</v>
      </c>
      <c r="ET65" s="700">
        <f t="shared" si="36"/>
        <v>18906.960208</v>
      </c>
      <c r="EU65" s="700">
        <f t="shared" si="37"/>
        <v>1293.3053279999999</v>
      </c>
      <c r="EV65" s="700">
        <f t="shared" si="38"/>
        <v>9040.7001959999998</v>
      </c>
      <c r="EZ65" s="730" t="s">
        <v>553</v>
      </c>
      <c r="FA65" s="731" t="s">
        <v>385</v>
      </c>
      <c r="FB65" s="420">
        <v>0</v>
      </c>
      <c r="FC65" s="426">
        <f t="shared" si="39"/>
        <v>0</v>
      </c>
      <c r="FG65" s="735" t="s">
        <v>355</v>
      </c>
      <c r="FH65" s="734" t="s">
        <v>379</v>
      </c>
      <c r="FI65" s="732">
        <v>19003072</v>
      </c>
      <c r="FJ65" s="733">
        <v>17786416</v>
      </c>
      <c r="FK65" s="733">
        <v>1216656</v>
      </c>
      <c r="FL65" s="733">
        <v>8864272</v>
      </c>
      <c r="FM65" s="426">
        <f t="shared" si="40"/>
        <v>19003.072</v>
      </c>
      <c r="FN65" s="426">
        <f t="shared" si="41"/>
        <v>17786.416000000001</v>
      </c>
      <c r="FO65" s="426">
        <f t="shared" si="42"/>
        <v>1216.6559999999999</v>
      </c>
      <c r="FP65" s="426">
        <f t="shared" si="43"/>
        <v>8864.2720000000008</v>
      </c>
      <c r="FT65" s="427" t="s">
        <v>553</v>
      </c>
      <c r="FU65" s="93" t="s">
        <v>882</v>
      </c>
      <c r="FV65" s="94">
        <v>0</v>
      </c>
      <c r="FW65" s="94">
        <v>0</v>
      </c>
      <c r="FX65" s="94">
        <v>0</v>
      </c>
      <c r="FY65" s="426">
        <f t="shared" si="44"/>
        <v>0</v>
      </c>
      <c r="FZ65" s="426">
        <f t="shared" si="45"/>
        <v>0</v>
      </c>
      <c r="GA65" s="426">
        <f t="shared" si="46"/>
        <v>0</v>
      </c>
      <c r="GG65" s="762" t="s">
        <v>355</v>
      </c>
      <c r="GH65" s="763" t="s">
        <v>379</v>
      </c>
      <c r="GI65" s="764">
        <v>19106152</v>
      </c>
      <c r="GJ65" s="764">
        <v>19106152</v>
      </c>
      <c r="GK65" s="764">
        <v>0</v>
      </c>
      <c r="GL65" s="764">
        <v>10184002</v>
      </c>
      <c r="GM65" s="764">
        <v>8922150</v>
      </c>
      <c r="GN65" s="426">
        <f t="shared" si="47"/>
        <v>19106.151999999998</v>
      </c>
      <c r="GO65" s="426">
        <f t="shared" si="48"/>
        <v>19106.151999999998</v>
      </c>
      <c r="GP65" s="426">
        <f t="shared" si="49"/>
        <v>0</v>
      </c>
      <c r="GQ65" s="426">
        <f t="shared" si="50"/>
        <v>10184.002</v>
      </c>
      <c r="GR65" s="426">
        <f t="shared" si="51"/>
        <v>8922.15</v>
      </c>
      <c r="GV65" s="780" t="s">
        <v>382</v>
      </c>
      <c r="GW65" s="779">
        <v>6399670</v>
      </c>
      <c r="GX65" s="426">
        <f t="shared" si="52"/>
        <v>6399.67</v>
      </c>
      <c r="HB65" s="782" t="s">
        <v>586</v>
      </c>
      <c r="HC65" s="764">
        <v>15284001</v>
      </c>
      <c r="HD65" s="764">
        <v>12898131</v>
      </c>
      <c r="HE65" s="764">
        <v>2385870</v>
      </c>
      <c r="HF65" s="764">
        <v>12898131</v>
      </c>
      <c r="HG65" s="426">
        <f t="shared" si="53"/>
        <v>15284.001</v>
      </c>
      <c r="HH65" s="426">
        <f t="shared" si="54"/>
        <v>2385.87</v>
      </c>
      <c r="HI65" s="426">
        <f t="shared" si="55"/>
        <v>12898.130999999999</v>
      </c>
      <c r="HJ65" s="426">
        <f t="shared" si="56"/>
        <v>2385.87</v>
      </c>
      <c r="HK65" s="426">
        <f t="shared" si="57"/>
        <v>12898.130999999999</v>
      </c>
    </row>
    <row r="66" spans="1:219" ht="15" customHeight="1" x14ac:dyDescent="0.3">
      <c r="A66" s="287" t="s">
        <v>355</v>
      </c>
      <c r="B66" s="288" t="s">
        <v>381</v>
      </c>
      <c r="C66" s="289">
        <v>27621360</v>
      </c>
      <c r="D66" s="290">
        <f t="shared" si="3"/>
        <v>29361.505679999998</v>
      </c>
      <c r="E66" s="289">
        <v>407971</v>
      </c>
      <c r="F66" s="289">
        <f t="shared" si="4"/>
        <v>433.67317299999996</v>
      </c>
      <c r="J66" s="291" t="s">
        <v>553</v>
      </c>
      <c r="K66" s="292" t="s">
        <v>595</v>
      </c>
      <c r="L66" s="293">
        <v>2885929</v>
      </c>
      <c r="M66" s="293">
        <f t="shared" si="5"/>
        <v>3067.7425269999999</v>
      </c>
      <c r="Q66" s="291" t="s">
        <v>355</v>
      </c>
      <c r="R66" s="292" t="s">
        <v>381</v>
      </c>
      <c r="S66" s="293">
        <v>28376205</v>
      </c>
      <c r="T66" s="293">
        <v>3029921</v>
      </c>
      <c r="U66" s="293">
        <f t="shared" si="6"/>
        <v>30163.905914999999</v>
      </c>
      <c r="V66" s="293">
        <f t="shared" si="7"/>
        <v>3220.8060229999996</v>
      </c>
      <c r="Z66" s="288" t="s">
        <v>386</v>
      </c>
      <c r="AA66" s="289">
        <v>446250</v>
      </c>
      <c r="AB66" s="289">
        <f t="shared" si="8"/>
        <v>474.36374999999998</v>
      </c>
      <c r="AF66" s="428" t="s">
        <v>381</v>
      </c>
      <c r="AG66" s="429">
        <v>29589152</v>
      </c>
      <c r="AH66" s="429">
        <f t="shared" si="59"/>
        <v>31453.268575999995</v>
      </c>
      <c r="AI66" s="289">
        <v>6926364</v>
      </c>
      <c r="AL66" s="426"/>
      <c r="AN66" s="423" t="s">
        <v>553</v>
      </c>
      <c r="AO66" s="424" t="s">
        <v>591</v>
      </c>
      <c r="AP66" s="425">
        <v>0</v>
      </c>
      <c r="AQ66" s="425">
        <f t="shared" si="9"/>
        <v>0</v>
      </c>
      <c r="AU66" s="423" t="s">
        <v>355</v>
      </c>
      <c r="AV66" s="424" t="s">
        <v>381</v>
      </c>
      <c r="AW66" s="425">
        <v>31985580</v>
      </c>
      <c r="AX66" s="425">
        <v>16406979</v>
      </c>
      <c r="AY66" s="425">
        <v>15578601</v>
      </c>
      <c r="AZ66" s="426">
        <f t="shared" si="10"/>
        <v>34000.671540000003</v>
      </c>
      <c r="BA66" s="426">
        <f t="shared" si="11"/>
        <v>17440.618676999999</v>
      </c>
      <c r="BB66" s="426">
        <f t="shared" si="12"/>
        <v>16560.052863000001</v>
      </c>
      <c r="BF66" s="423" t="s">
        <v>553</v>
      </c>
      <c r="BG66" s="424" t="s">
        <v>394</v>
      </c>
      <c r="BH66" s="425">
        <v>479808</v>
      </c>
      <c r="BI66" s="426">
        <f t="shared" si="13"/>
        <v>510.03590399999996</v>
      </c>
      <c r="BM66" s="427" t="s">
        <v>553</v>
      </c>
      <c r="BN66" s="93" t="s">
        <v>380</v>
      </c>
      <c r="BO66" s="94">
        <v>0</v>
      </c>
      <c r="BP66" s="94">
        <v>3276000</v>
      </c>
      <c r="BQ66" s="94">
        <v>0</v>
      </c>
      <c r="BR66" s="94">
        <v>3276000</v>
      </c>
      <c r="BS66" s="94">
        <v>0</v>
      </c>
      <c r="BT66" s="426">
        <f t="shared" si="14"/>
        <v>3482.3879999999999</v>
      </c>
      <c r="BU66" s="426">
        <f t="shared" si="15"/>
        <v>0</v>
      </c>
      <c r="BV66" s="426">
        <f t="shared" si="16"/>
        <v>3482.3879999999999</v>
      </c>
      <c r="BW66" s="426">
        <f t="shared" si="17"/>
        <v>0</v>
      </c>
      <c r="CA66" s="93" t="s">
        <v>591</v>
      </c>
      <c r="CB66" s="426">
        <v>0</v>
      </c>
      <c r="CC66" s="426">
        <f t="shared" si="18"/>
        <v>0</v>
      </c>
      <c r="CG66" s="424" t="s">
        <v>588</v>
      </c>
      <c r="CH66" s="425">
        <v>0</v>
      </c>
      <c r="CI66" s="425">
        <v>7909650</v>
      </c>
      <c r="CJ66" s="425">
        <v>-7909650</v>
      </c>
      <c r="CK66" s="425">
        <v>6960492</v>
      </c>
      <c r="CL66" s="425">
        <v>949158</v>
      </c>
      <c r="CM66" s="425">
        <v>6960492</v>
      </c>
      <c r="CN66" s="425">
        <f t="shared" si="19"/>
        <v>8407.95795</v>
      </c>
      <c r="CO66" s="425">
        <f t="shared" si="20"/>
        <v>7399.0029960000002</v>
      </c>
      <c r="CP66" s="425">
        <f t="shared" si="21"/>
        <v>1008.9549539999999</v>
      </c>
      <c r="CQ66" s="425">
        <f t="shared" si="22"/>
        <v>7399.0029960000002</v>
      </c>
      <c r="CU66" s="424" t="s">
        <v>594</v>
      </c>
      <c r="CV66" s="425">
        <v>947895</v>
      </c>
      <c r="CW66" s="425">
        <v>0</v>
      </c>
      <c r="CX66" s="426">
        <f t="shared" si="23"/>
        <v>1007.6123849999999</v>
      </c>
      <c r="CY66" s="426">
        <f t="shared" si="24"/>
        <v>0</v>
      </c>
      <c r="DB66" s="568" t="s">
        <v>588</v>
      </c>
      <c r="DC66" s="569">
        <v>7909650</v>
      </c>
      <c r="DD66" s="569">
        <v>6960492</v>
      </c>
      <c r="DE66" s="569">
        <v>949158</v>
      </c>
      <c r="DF66" s="569">
        <v>6960492</v>
      </c>
      <c r="DG66" s="570">
        <f t="shared" si="25"/>
        <v>8407.95795</v>
      </c>
      <c r="DH66" s="570">
        <f t="shared" si="26"/>
        <v>7399.0029960000002</v>
      </c>
      <c r="DI66" s="570">
        <f t="shared" si="27"/>
        <v>1008.9549539999999</v>
      </c>
      <c r="DJ66" s="570">
        <f t="shared" si="28"/>
        <v>7399.0029960000002</v>
      </c>
      <c r="DN66" s="93" t="s">
        <v>390</v>
      </c>
      <c r="DO66" s="93">
        <v>0</v>
      </c>
      <c r="DP66" s="93">
        <v>314500</v>
      </c>
      <c r="DQ66" s="626">
        <f t="shared" si="29"/>
        <v>0</v>
      </c>
      <c r="DR66" s="626">
        <f t="shared" si="30"/>
        <v>334.31349999999998</v>
      </c>
      <c r="DV66" s="93" t="s">
        <v>587</v>
      </c>
      <c r="DW66" s="94">
        <v>359380</v>
      </c>
      <c r="DX66" s="94">
        <v>359380</v>
      </c>
      <c r="DY66" s="94">
        <v>0</v>
      </c>
      <c r="DZ66" s="94">
        <v>0</v>
      </c>
      <c r="EA66" s="94">
        <f t="shared" si="58"/>
        <v>382.02094</v>
      </c>
      <c r="EB66" s="94">
        <f t="shared" si="31"/>
        <v>382.02094</v>
      </c>
      <c r="EC66" s="94">
        <f t="shared" si="32"/>
        <v>0</v>
      </c>
      <c r="ED66" s="94">
        <f t="shared" si="33"/>
        <v>0</v>
      </c>
      <c r="EH66" s="420" t="s">
        <v>593</v>
      </c>
      <c r="EI66" s="420">
        <v>762638</v>
      </c>
      <c r="EJ66" s="426">
        <f t="shared" si="34"/>
        <v>810.68419400000005</v>
      </c>
      <c r="EN66" s="420" t="s">
        <v>587</v>
      </c>
      <c r="EO66" s="426">
        <v>359380</v>
      </c>
      <c r="EP66" s="426">
        <v>359380</v>
      </c>
      <c r="EQ66" s="426">
        <v>0</v>
      </c>
      <c r="ER66" s="426">
        <v>0</v>
      </c>
      <c r="ES66" s="700">
        <f t="shared" si="35"/>
        <v>382.02094</v>
      </c>
      <c r="ET66" s="700">
        <f t="shared" si="36"/>
        <v>382.02094</v>
      </c>
      <c r="EU66" s="700">
        <f t="shared" si="37"/>
        <v>0</v>
      </c>
      <c r="EV66" s="700">
        <f t="shared" si="38"/>
        <v>0</v>
      </c>
      <c r="EZ66" s="730" t="s">
        <v>355</v>
      </c>
      <c r="FA66" s="731" t="s">
        <v>387</v>
      </c>
      <c r="FB66" s="420">
        <v>11700272</v>
      </c>
      <c r="FC66" s="426">
        <f t="shared" si="39"/>
        <v>11700.272000000001</v>
      </c>
      <c r="FG66" s="735" t="s">
        <v>553</v>
      </c>
      <c r="FH66" s="734" t="s">
        <v>587</v>
      </c>
      <c r="FI66" s="732">
        <v>359380</v>
      </c>
      <c r="FJ66" s="733">
        <v>359380</v>
      </c>
      <c r="FK66" s="733">
        <v>0</v>
      </c>
      <c r="FL66" s="733">
        <v>359380</v>
      </c>
      <c r="FM66" s="426">
        <f t="shared" si="40"/>
        <v>359.38</v>
      </c>
      <c r="FN66" s="426">
        <f t="shared" si="41"/>
        <v>359.38</v>
      </c>
      <c r="FO66" s="426">
        <f t="shared" si="42"/>
        <v>0</v>
      </c>
      <c r="FP66" s="426">
        <f t="shared" si="43"/>
        <v>359.38</v>
      </c>
      <c r="FT66" s="427" t="s">
        <v>553</v>
      </c>
      <c r="FU66" s="93" t="s">
        <v>589</v>
      </c>
      <c r="FV66" s="94">
        <v>1082290</v>
      </c>
      <c r="FW66" s="94">
        <v>-117710</v>
      </c>
      <c r="FX66" s="94">
        <v>618800</v>
      </c>
      <c r="FY66" s="426">
        <f t="shared" si="44"/>
        <v>1082.29</v>
      </c>
      <c r="FZ66" s="426">
        <f t="shared" si="45"/>
        <v>-117.71</v>
      </c>
      <c r="GA66" s="426">
        <f t="shared" si="46"/>
        <v>618.79999999999995</v>
      </c>
      <c r="GG66" s="762" t="s">
        <v>553</v>
      </c>
      <c r="GH66" s="763" t="s">
        <v>587</v>
      </c>
      <c r="GI66" s="764">
        <v>359380</v>
      </c>
      <c r="GJ66" s="764">
        <v>359380</v>
      </c>
      <c r="GK66" s="764">
        <v>0</v>
      </c>
      <c r="GL66" s="764">
        <v>359380</v>
      </c>
      <c r="GM66" s="764">
        <v>0</v>
      </c>
      <c r="GN66" s="426">
        <f t="shared" si="47"/>
        <v>359.38</v>
      </c>
      <c r="GO66" s="426">
        <f t="shared" si="48"/>
        <v>359.38</v>
      </c>
      <c r="GP66" s="426">
        <f t="shared" si="49"/>
        <v>0</v>
      </c>
      <c r="GQ66" s="426">
        <f t="shared" si="50"/>
        <v>359.38</v>
      </c>
      <c r="GR66" s="426">
        <f t="shared" si="51"/>
        <v>0</v>
      </c>
      <c r="GV66" s="780" t="s">
        <v>882</v>
      </c>
      <c r="GW66" s="779">
        <v>504560</v>
      </c>
      <c r="GX66" s="426">
        <f t="shared" si="52"/>
        <v>504.56</v>
      </c>
      <c r="HB66" s="782" t="s">
        <v>376</v>
      </c>
      <c r="HC66" s="764">
        <v>32527308</v>
      </c>
      <c r="HD66" s="764">
        <v>26411453</v>
      </c>
      <c r="HE66" s="764">
        <v>6115855</v>
      </c>
      <c r="HF66" s="764">
        <v>26411453</v>
      </c>
      <c r="HG66" s="426">
        <f t="shared" si="53"/>
        <v>32527.308000000001</v>
      </c>
      <c r="HH66" s="426">
        <f t="shared" si="54"/>
        <v>6115.8549999999996</v>
      </c>
      <c r="HI66" s="426">
        <f t="shared" si="55"/>
        <v>26411.453000000001</v>
      </c>
      <c r="HJ66" s="426">
        <f t="shared" si="56"/>
        <v>6115.8549999999996</v>
      </c>
      <c r="HK66" s="426">
        <f t="shared" si="57"/>
        <v>26411.453000000001</v>
      </c>
    </row>
    <row r="67" spans="1:219" ht="15" customHeight="1" x14ac:dyDescent="0.3">
      <c r="A67" s="287" t="s">
        <v>553</v>
      </c>
      <c r="B67" s="288" t="s">
        <v>382</v>
      </c>
      <c r="C67" s="289">
        <v>4000010</v>
      </c>
      <c r="D67" s="290">
        <f t="shared" si="3"/>
        <v>4252.0106299999998</v>
      </c>
      <c r="E67" s="289">
        <v>24590</v>
      </c>
      <c r="F67" s="289">
        <f t="shared" si="4"/>
        <v>26.13917</v>
      </c>
      <c r="J67" s="291" t="s">
        <v>355</v>
      </c>
      <c r="K67" s="292" t="s">
        <v>395</v>
      </c>
      <c r="L67" s="293">
        <v>692381</v>
      </c>
      <c r="M67" s="293">
        <f t="shared" si="5"/>
        <v>736.00100299999997</v>
      </c>
      <c r="Q67" s="291" t="s">
        <v>553</v>
      </c>
      <c r="R67" s="292" t="s">
        <v>382</v>
      </c>
      <c r="S67" s="293">
        <v>4000010</v>
      </c>
      <c r="T67" s="293">
        <v>24590</v>
      </c>
      <c r="U67" s="293">
        <f t="shared" si="6"/>
        <v>4252.0106299999998</v>
      </c>
      <c r="V67" s="293">
        <f t="shared" si="7"/>
        <v>26.13917</v>
      </c>
      <c r="Z67" s="288" t="s">
        <v>387</v>
      </c>
      <c r="AA67" s="289">
        <v>10356589</v>
      </c>
      <c r="AB67" s="289">
        <f t="shared" si="8"/>
        <v>11009.054107</v>
      </c>
      <c r="AF67" s="428" t="s">
        <v>382</v>
      </c>
      <c r="AG67" s="429">
        <v>3515430</v>
      </c>
      <c r="AH67" s="429">
        <f t="shared" ref="AH67:AH98" si="60">+AG67/$AJ$2*$AK$2</f>
        <v>3736.9020899999996</v>
      </c>
      <c r="AI67" s="289">
        <v>261150</v>
      </c>
      <c r="AL67" s="426"/>
      <c r="AN67" s="423" t="s">
        <v>553</v>
      </c>
      <c r="AO67" s="424" t="s">
        <v>592</v>
      </c>
      <c r="AP67" s="425">
        <v>19140</v>
      </c>
      <c r="AQ67" s="425">
        <f t="shared" si="9"/>
        <v>20.34582</v>
      </c>
      <c r="AU67" s="423" t="s">
        <v>553</v>
      </c>
      <c r="AV67" s="424" t="s">
        <v>382</v>
      </c>
      <c r="AW67" s="425">
        <v>3174064</v>
      </c>
      <c r="AX67" s="425">
        <v>1123795</v>
      </c>
      <c r="AY67" s="425">
        <v>2050269</v>
      </c>
      <c r="AZ67" s="426">
        <f t="shared" si="10"/>
        <v>3374.0300319999997</v>
      </c>
      <c r="BA67" s="426">
        <f t="shared" si="11"/>
        <v>1194.594085</v>
      </c>
      <c r="BB67" s="426">
        <f t="shared" si="12"/>
        <v>2179.4359469999995</v>
      </c>
      <c r="BF67" s="423" t="s">
        <v>553</v>
      </c>
      <c r="BG67" s="424" t="s">
        <v>595</v>
      </c>
      <c r="BH67" s="425">
        <v>2885929</v>
      </c>
      <c r="BI67" s="426">
        <f t="shared" si="13"/>
        <v>3067.7425269999999</v>
      </c>
      <c r="BM67" s="427" t="s">
        <v>355</v>
      </c>
      <c r="BN67" s="93" t="s">
        <v>381</v>
      </c>
      <c r="BO67" s="94">
        <v>0</v>
      </c>
      <c r="BP67" s="94">
        <v>33288322</v>
      </c>
      <c r="BQ67" s="94">
        <v>26641069</v>
      </c>
      <c r="BR67" s="94">
        <v>6647253</v>
      </c>
      <c r="BS67" s="94">
        <v>21086782</v>
      </c>
      <c r="BT67" s="426">
        <f t="shared" si="14"/>
        <v>35385.486285999999</v>
      </c>
      <c r="BU67" s="426">
        <f t="shared" si="15"/>
        <v>28319.456346999999</v>
      </c>
      <c r="BV67" s="426">
        <f t="shared" si="16"/>
        <v>7066.0299389999991</v>
      </c>
      <c r="BW67" s="426">
        <f t="shared" si="17"/>
        <v>22415.249265999999</v>
      </c>
      <c r="CA67" s="93" t="s">
        <v>592</v>
      </c>
      <c r="CB67" s="426">
        <v>0</v>
      </c>
      <c r="CC67" s="426">
        <f t="shared" si="18"/>
        <v>0</v>
      </c>
      <c r="CG67" s="424" t="s">
        <v>380</v>
      </c>
      <c r="CH67" s="425">
        <v>0</v>
      </c>
      <c r="CI67" s="425">
        <v>3276000</v>
      </c>
      <c r="CJ67" s="425">
        <v>-3276000</v>
      </c>
      <c r="CK67" s="425">
        <v>1544400</v>
      </c>
      <c r="CL67" s="425">
        <v>1731600</v>
      </c>
      <c r="CM67" s="425">
        <v>1544400</v>
      </c>
      <c r="CN67" s="425">
        <f t="shared" si="19"/>
        <v>3482.3879999999999</v>
      </c>
      <c r="CO67" s="425">
        <f t="shared" si="20"/>
        <v>1641.6972000000001</v>
      </c>
      <c r="CP67" s="425">
        <f t="shared" si="21"/>
        <v>1840.6907999999999</v>
      </c>
      <c r="CQ67" s="425">
        <f t="shared" si="22"/>
        <v>1641.6972000000001</v>
      </c>
      <c r="CU67" s="424" t="s">
        <v>385</v>
      </c>
      <c r="CV67" s="425">
        <v>4429763</v>
      </c>
      <c r="CW67" s="425">
        <v>295190</v>
      </c>
      <c r="CX67" s="426">
        <f t="shared" si="23"/>
        <v>4708.8380689999995</v>
      </c>
      <c r="CY67" s="426">
        <f t="shared" si="24"/>
        <v>313.78697</v>
      </c>
      <c r="DB67" s="568" t="s">
        <v>380</v>
      </c>
      <c r="DC67" s="569">
        <v>3276000</v>
      </c>
      <c r="DD67" s="569">
        <v>1544400</v>
      </c>
      <c r="DE67" s="569">
        <v>1731600</v>
      </c>
      <c r="DF67" s="569">
        <v>1544400</v>
      </c>
      <c r="DG67" s="570">
        <f t="shared" si="25"/>
        <v>3482.3879999999999</v>
      </c>
      <c r="DH67" s="570">
        <f t="shared" si="26"/>
        <v>1641.6972000000001</v>
      </c>
      <c r="DI67" s="570">
        <f t="shared" si="27"/>
        <v>1840.6907999999999</v>
      </c>
      <c r="DJ67" s="570">
        <f t="shared" si="28"/>
        <v>1641.6972000000001</v>
      </c>
      <c r="DN67" s="93" t="s">
        <v>391</v>
      </c>
      <c r="DO67" s="93">
        <v>-5844088</v>
      </c>
      <c r="DP67" s="93">
        <v>921903</v>
      </c>
      <c r="DQ67" s="626">
        <f t="shared" si="29"/>
        <v>-6212.265543999999</v>
      </c>
      <c r="DR67" s="626">
        <f t="shared" si="30"/>
        <v>979.982889</v>
      </c>
      <c r="DV67" s="93" t="s">
        <v>588</v>
      </c>
      <c r="DW67" s="94">
        <v>6960492</v>
      </c>
      <c r="DX67" s="94">
        <v>6960492</v>
      </c>
      <c r="DY67" s="94">
        <v>0</v>
      </c>
      <c r="DZ67" s="94">
        <v>6960492</v>
      </c>
      <c r="EA67" s="94">
        <f t="shared" si="58"/>
        <v>7399.0029960000002</v>
      </c>
      <c r="EB67" s="94">
        <f t="shared" si="31"/>
        <v>7399.0029960000002</v>
      </c>
      <c r="EC67" s="94">
        <f t="shared" si="32"/>
        <v>0</v>
      </c>
      <c r="ED67" s="94">
        <f t="shared" si="33"/>
        <v>7399.0029960000002</v>
      </c>
      <c r="EH67" s="420" t="s">
        <v>594</v>
      </c>
      <c r="EI67" s="420">
        <v>0</v>
      </c>
      <c r="EJ67" s="426">
        <f t="shared" si="34"/>
        <v>0</v>
      </c>
      <c r="EN67" s="420" t="s">
        <v>588</v>
      </c>
      <c r="EO67" s="426">
        <v>17099292</v>
      </c>
      <c r="EP67" s="426">
        <v>15882636</v>
      </c>
      <c r="EQ67" s="426">
        <v>1216656</v>
      </c>
      <c r="ER67" s="426">
        <v>6960492</v>
      </c>
      <c r="ES67" s="700">
        <f t="shared" si="35"/>
        <v>18176.547396000002</v>
      </c>
      <c r="ET67" s="700">
        <f t="shared" si="36"/>
        <v>16883.242068</v>
      </c>
      <c r="EU67" s="700">
        <f t="shared" si="37"/>
        <v>1293.3053279999999</v>
      </c>
      <c r="EV67" s="700">
        <f t="shared" si="38"/>
        <v>7399.0029960000002</v>
      </c>
      <c r="EZ67" s="730" t="s">
        <v>553</v>
      </c>
      <c r="FA67" s="731" t="s">
        <v>388</v>
      </c>
      <c r="FB67" s="420">
        <v>948500</v>
      </c>
      <c r="FC67" s="426">
        <f t="shared" si="39"/>
        <v>948.5</v>
      </c>
      <c r="FG67" s="735" t="s">
        <v>553</v>
      </c>
      <c r="FH67" s="734" t="s">
        <v>588</v>
      </c>
      <c r="FI67" s="732">
        <v>17099292</v>
      </c>
      <c r="FJ67" s="733">
        <v>15882636</v>
      </c>
      <c r="FK67" s="733">
        <v>1216656</v>
      </c>
      <c r="FL67" s="733">
        <v>6960492</v>
      </c>
      <c r="FM67" s="426">
        <f t="shared" si="40"/>
        <v>17099.292000000001</v>
      </c>
      <c r="FN67" s="426">
        <f t="shared" si="41"/>
        <v>15882.636</v>
      </c>
      <c r="FO67" s="426">
        <f t="shared" si="42"/>
        <v>1216.6559999999999</v>
      </c>
      <c r="FP67" s="426">
        <f t="shared" si="43"/>
        <v>6960.4920000000002</v>
      </c>
      <c r="FT67" s="427" t="s">
        <v>553</v>
      </c>
      <c r="FU67" s="93" t="s">
        <v>384</v>
      </c>
      <c r="FV67" s="94">
        <v>913195</v>
      </c>
      <c r="FW67" s="94">
        <v>931068</v>
      </c>
      <c r="FX67" s="94">
        <v>666400</v>
      </c>
      <c r="FY67" s="426">
        <f t="shared" si="44"/>
        <v>913.19500000000005</v>
      </c>
      <c r="FZ67" s="426">
        <f t="shared" si="45"/>
        <v>931.06799999999998</v>
      </c>
      <c r="GA67" s="426">
        <f t="shared" si="46"/>
        <v>666.4</v>
      </c>
      <c r="GG67" s="762" t="s">
        <v>553</v>
      </c>
      <c r="GH67" s="763" t="s">
        <v>588</v>
      </c>
      <c r="GI67" s="764">
        <v>15882636</v>
      </c>
      <c r="GJ67" s="764">
        <v>15882636</v>
      </c>
      <c r="GK67" s="764">
        <v>0</v>
      </c>
      <c r="GL67" s="764">
        <v>6960492</v>
      </c>
      <c r="GM67" s="764">
        <v>8922144</v>
      </c>
      <c r="GN67" s="426">
        <f t="shared" si="47"/>
        <v>15882.636</v>
      </c>
      <c r="GO67" s="426">
        <f t="shared" si="48"/>
        <v>15882.636</v>
      </c>
      <c r="GP67" s="426">
        <f t="shared" si="49"/>
        <v>0</v>
      </c>
      <c r="GQ67" s="426">
        <f t="shared" si="50"/>
        <v>6960.4920000000002</v>
      </c>
      <c r="GR67" s="426">
        <f t="shared" si="51"/>
        <v>8922.1440000000002</v>
      </c>
      <c r="GV67" s="780" t="s">
        <v>589</v>
      </c>
      <c r="GW67" s="779">
        <v>910725</v>
      </c>
      <c r="GX67" s="426">
        <f t="shared" si="52"/>
        <v>910.72500000000002</v>
      </c>
      <c r="HB67" s="782" t="s">
        <v>377</v>
      </c>
      <c r="HC67" s="764">
        <v>576000</v>
      </c>
      <c r="HD67" s="764">
        <v>396000</v>
      </c>
      <c r="HE67" s="764">
        <v>180000</v>
      </c>
      <c r="HF67" s="764">
        <v>396000</v>
      </c>
      <c r="HG67" s="426">
        <f t="shared" si="53"/>
        <v>576</v>
      </c>
      <c r="HH67" s="426">
        <f t="shared" si="54"/>
        <v>180</v>
      </c>
      <c r="HI67" s="426">
        <f t="shared" si="55"/>
        <v>396</v>
      </c>
      <c r="HJ67" s="426">
        <f t="shared" si="56"/>
        <v>180</v>
      </c>
      <c r="HK67" s="426">
        <f t="shared" si="57"/>
        <v>396</v>
      </c>
    </row>
    <row r="68" spans="1:219" ht="15" customHeight="1" x14ac:dyDescent="0.3">
      <c r="A68" s="287" t="s">
        <v>553</v>
      </c>
      <c r="B68" s="288" t="s">
        <v>589</v>
      </c>
      <c r="C68" s="289">
        <v>8347652</v>
      </c>
      <c r="D68" s="290">
        <f t="shared" ref="D68:D131" si="61">+C68/$G$2*$H$2</f>
        <v>8873.5540760000004</v>
      </c>
      <c r="E68" s="289">
        <v>99525</v>
      </c>
      <c r="F68" s="289">
        <f t="shared" ref="F68:F131" si="62">+E68/$G$2*$H$2</f>
        <v>105.795075</v>
      </c>
      <c r="J68" s="291" t="s">
        <v>553</v>
      </c>
      <c r="K68" s="292" t="s">
        <v>597</v>
      </c>
      <c r="L68" s="293">
        <v>271320</v>
      </c>
      <c r="M68" s="293">
        <f t="shared" ref="M68:M99" si="63">+L68/$N$2*$O$2</f>
        <v>288.41316</v>
      </c>
      <c r="Q68" s="291" t="s">
        <v>553</v>
      </c>
      <c r="R68" s="292" t="s">
        <v>589</v>
      </c>
      <c r="S68" s="293">
        <v>8347652</v>
      </c>
      <c r="T68" s="293">
        <v>865048</v>
      </c>
      <c r="U68" s="293">
        <f t="shared" ref="U68:U131" si="64">+S68/$W$2*$X$2</f>
        <v>8873.5540760000004</v>
      </c>
      <c r="V68" s="293">
        <f t="shared" ref="V68:V131" si="65">+T68/$W$2*$X$2</f>
        <v>919.54602399999999</v>
      </c>
      <c r="Z68" s="288" t="s">
        <v>388</v>
      </c>
      <c r="AA68" s="289">
        <v>249700</v>
      </c>
      <c r="AB68" s="289">
        <f t="shared" ref="AB68:AB118" si="66">+AA68/$AC$2*$AD$2</f>
        <v>265.43109999999996</v>
      </c>
      <c r="AF68" s="428" t="s">
        <v>383</v>
      </c>
      <c r="AG68" s="429">
        <v>114240</v>
      </c>
      <c r="AH68" s="429">
        <f t="shared" si="60"/>
        <v>121.43711999999999</v>
      </c>
      <c r="AI68" s="289">
        <v>0</v>
      </c>
      <c r="AL68" s="426"/>
      <c r="AN68" s="423" t="s">
        <v>553</v>
      </c>
      <c r="AO68" s="424" t="s">
        <v>593</v>
      </c>
      <c r="AP68" s="425">
        <v>0</v>
      </c>
      <c r="AQ68" s="425">
        <f t="shared" ref="AQ68:AQ123" si="67">+AP68/$AR$2*$AS$2</f>
        <v>0</v>
      </c>
      <c r="AU68" s="423" t="s">
        <v>553</v>
      </c>
      <c r="AV68" s="424" t="s">
        <v>383</v>
      </c>
      <c r="AW68" s="425">
        <v>114240</v>
      </c>
      <c r="AX68" s="425">
        <v>114240</v>
      </c>
      <c r="AY68" s="425">
        <v>0</v>
      </c>
      <c r="AZ68" s="426">
        <f t="shared" ref="AZ68:AZ131" si="68">+AW68/$BC$2*$BD$2</f>
        <v>121.43711999999999</v>
      </c>
      <c r="BA68" s="426">
        <f t="shared" ref="BA68:BA131" si="69">+AX68/$BC$2*$BD$2</f>
        <v>121.43711999999999</v>
      </c>
      <c r="BB68" s="426">
        <f t="shared" ref="BB68:BB131" si="70">+AY68/$BC$2*$BD$2</f>
        <v>0</v>
      </c>
      <c r="BF68" s="423" t="s">
        <v>355</v>
      </c>
      <c r="BG68" s="424" t="s">
        <v>395</v>
      </c>
      <c r="BH68" s="425">
        <v>1234677</v>
      </c>
      <c r="BI68" s="426">
        <f t="shared" ref="BI68:BI102" si="71">+BH68/$BJ$2*$BK$2</f>
        <v>1312.4616509999998</v>
      </c>
      <c r="BM68" s="427" t="s">
        <v>553</v>
      </c>
      <c r="BN68" s="93" t="s">
        <v>382</v>
      </c>
      <c r="BO68" s="94">
        <v>0</v>
      </c>
      <c r="BP68" s="94">
        <v>2261271</v>
      </c>
      <c r="BQ68" s="94">
        <v>1800576</v>
      </c>
      <c r="BR68" s="94">
        <v>460695</v>
      </c>
      <c r="BS68" s="94">
        <v>656139</v>
      </c>
      <c r="BT68" s="426">
        <f t="shared" ref="BT68:BT131" si="72">+BP68/$BX$2*$BY$2</f>
        <v>2403.7310729999999</v>
      </c>
      <c r="BU68" s="426">
        <f t="shared" ref="BU68:BU131" si="73">+BQ68/$BX$2*$BY$2</f>
        <v>1914.0122879999999</v>
      </c>
      <c r="BV68" s="426">
        <f t="shared" ref="BV68:BV131" si="74">+BR68/$BX$2*$BY$2</f>
        <v>489.71878499999997</v>
      </c>
      <c r="BW68" s="426">
        <f t="shared" ref="BW68:BW131" si="75">+BS68/$BX$2*$BY$2</f>
        <v>697.47575699999993</v>
      </c>
      <c r="CA68" s="93" t="s">
        <v>593</v>
      </c>
      <c r="CB68" s="426">
        <v>0</v>
      </c>
      <c r="CC68" s="426">
        <f t="shared" ref="CC68:CC121" si="76">+CB68/$CD$2*$CE$2</f>
        <v>0</v>
      </c>
      <c r="CG68" s="424" t="s">
        <v>381</v>
      </c>
      <c r="CH68" s="425">
        <v>0</v>
      </c>
      <c r="CI68" s="425">
        <v>31653053</v>
      </c>
      <c r="CJ68" s="425">
        <v>-31653053</v>
      </c>
      <c r="CK68" s="425">
        <v>28709645</v>
      </c>
      <c r="CL68" s="425">
        <v>2943408</v>
      </c>
      <c r="CM68" s="425">
        <v>26935428</v>
      </c>
      <c r="CN68" s="425">
        <f t="shared" ref="CN68:CN131" si="77">+CI68/$CR$2*$CS$2</f>
        <v>33647.195338999998</v>
      </c>
      <c r="CO68" s="425">
        <f t="shared" ref="CO68:CO131" si="78">+CK68/$CR$2*$CS$2</f>
        <v>30518.352634999999</v>
      </c>
      <c r="CP68" s="425">
        <f t="shared" ref="CP68:CP131" si="79">+CL68/$CR$2*$CS$2</f>
        <v>3128.8427039999997</v>
      </c>
      <c r="CQ68" s="425">
        <f t="shared" ref="CQ68:CQ131" si="80">+CM68/$CR$2*$CS$2</f>
        <v>28632.359963999999</v>
      </c>
      <c r="CU68" s="424" t="s">
        <v>386</v>
      </c>
      <c r="CV68" s="425">
        <v>6990</v>
      </c>
      <c r="CW68" s="425">
        <v>6990</v>
      </c>
      <c r="CX68" s="426">
        <f t="shared" ref="CX68:CX121" si="81">+CV68/$CZ$2*$DA$2</f>
        <v>7.4303699999999999</v>
      </c>
      <c r="CY68" s="426">
        <f t="shared" ref="CY68:CY121" si="82">+CW68/$CZ$2*$DA$2</f>
        <v>7.4303699999999999</v>
      </c>
      <c r="DB68" s="568" t="s">
        <v>381</v>
      </c>
      <c r="DC68" s="569">
        <v>46888107</v>
      </c>
      <c r="DD68" s="569">
        <v>41221805</v>
      </c>
      <c r="DE68" s="569">
        <v>5666302</v>
      </c>
      <c r="DF68" s="569">
        <v>28253951</v>
      </c>
      <c r="DG68" s="570">
        <f t="shared" ref="DG68:DG131" si="83">+DC68/$DK$2*$DL$2</f>
        <v>49842.057741000004</v>
      </c>
      <c r="DH68" s="570">
        <f t="shared" ref="DH68:DH131" si="84">+DD68/$DK$2*$DL$2</f>
        <v>43818.778715</v>
      </c>
      <c r="DI68" s="570">
        <f t="shared" ref="DI68:DI131" si="85">+DE68/$DK$2*$DL$2</f>
        <v>6023.2790259999992</v>
      </c>
      <c r="DJ68" s="570">
        <f t="shared" ref="DJ68:DJ131" si="86">+DF68/$DK$2*$DL$2</f>
        <v>30033.949913</v>
      </c>
      <c r="DN68" s="93" t="s">
        <v>392</v>
      </c>
      <c r="DO68" s="93">
        <v>0</v>
      </c>
      <c r="DP68" s="93">
        <v>5465146</v>
      </c>
      <c r="DQ68" s="626">
        <f t="shared" ref="DQ68:DQ109" si="87">+DO68/$DS$2*$DT$2</f>
        <v>0</v>
      </c>
      <c r="DR68" s="626">
        <f t="shared" ref="DR68:DR109" si="88">+DP68/$DS$2*$DT$2</f>
        <v>5809.4501979999995</v>
      </c>
      <c r="DV68" s="93" t="s">
        <v>380</v>
      </c>
      <c r="DW68" s="94">
        <v>1544400</v>
      </c>
      <c r="DX68" s="94">
        <v>1544400</v>
      </c>
      <c r="DY68" s="94">
        <v>0</v>
      </c>
      <c r="DZ68" s="94">
        <v>1544400</v>
      </c>
      <c r="EA68" s="94">
        <f t="shared" ref="EA68:EA131" si="89">+DW68/$EE$2*$EF$2</f>
        <v>1641.6972000000001</v>
      </c>
      <c r="EB68" s="94">
        <f t="shared" ref="EB68:EB131" si="90">+DX68/$EE$2*$EF$2</f>
        <v>1641.6972000000001</v>
      </c>
      <c r="EC68" s="94">
        <f t="shared" ref="EC68:EC131" si="91">+DY68/$EE$2*$EF$2</f>
        <v>0</v>
      </c>
      <c r="ED68" s="94">
        <f t="shared" ref="ED68:ED131" si="92">+DZ68/$EE$2*$EF$2</f>
        <v>1641.6972000000001</v>
      </c>
      <c r="EH68" s="420" t="s">
        <v>385</v>
      </c>
      <c r="EI68" s="420">
        <v>3735886</v>
      </c>
      <c r="EJ68" s="426">
        <f t="shared" ref="EJ68:EJ117" si="93">+EI68/$EK$2*$EL$2</f>
        <v>3971.2468179999996</v>
      </c>
      <c r="EN68" s="420" t="s">
        <v>380</v>
      </c>
      <c r="EO68" s="426">
        <v>1544400</v>
      </c>
      <c r="EP68" s="426">
        <v>1544400</v>
      </c>
      <c r="EQ68" s="426">
        <v>0</v>
      </c>
      <c r="ER68" s="426">
        <v>1544400</v>
      </c>
      <c r="ES68" s="700">
        <f t="shared" ref="ES68:ES131" si="94">+EO68/$EW$2*$EX$2</f>
        <v>1641.6972000000001</v>
      </c>
      <c r="ET68" s="700">
        <f t="shared" ref="ET68:ET131" si="95">+EP68/$EW$2*$EX$2</f>
        <v>1641.6972000000001</v>
      </c>
      <c r="EU68" s="700">
        <f t="shared" ref="EU68:EU131" si="96">+EQ68/$EW$2*$EX$2</f>
        <v>0</v>
      </c>
      <c r="EV68" s="700">
        <f t="shared" ref="EV68:EV131" si="97">+ER68/$EW$2*$EX$2</f>
        <v>1641.6972000000001</v>
      </c>
      <c r="EZ68" s="730" t="s">
        <v>553</v>
      </c>
      <c r="FA68" s="731" t="s">
        <v>389</v>
      </c>
      <c r="FB68" s="420">
        <v>770698</v>
      </c>
      <c r="FC68" s="426">
        <f t="shared" ref="FC68:FC119" si="98">+FB68/$FD$2*$FE$2</f>
        <v>770.69799999999998</v>
      </c>
      <c r="FG68" s="735" t="s">
        <v>553</v>
      </c>
      <c r="FH68" s="734" t="s">
        <v>380</v>
      </c>
      <c r="FI68" s="732">
        <v>1544400</v>
      </c>
      <c r="FJ68" s="733">
        <v>1544400</v>
      </c>
      <c r="FK68" s="733">
        <v>0</v>
      </c>
      <c r="FL68" s="733">
        <v>1544400</v>
      </c>
      <c r="FM68" s="426">
        <f t="shared" ref="FM68:FM131" si="99">+FI68/$FQ$2*$FR$2</f>
        <v>1544.4</v>
      </c>
      <c r="FN68" s="426">
        <f t="shared" ref="FN68:FN131" si="100">+FJ68/$FQ$2*$FR$2</f>
        <v>1544.4</v>
      </c>
      <c r="FO68" s="426">
        <f t="shared" ref="FO68:FO131" si="101">+FK68/$FQ$2*$FR$2</f>
        <v>0</v>
      </c>
      <c r="FP68" s="426">
        <f t="shared" ref="FP68:FP131" si="102">+FL68/$FQ$2*$FR$2</f>
        <v>1544.4</v>
      </c>
      <c r="FT68" s="427" t="s">
        <v>553</v>
      </c>
      <c r="FU68" s="93" t="s">
        <v>591</v>
      </c>
      <c r="FV68" s="94">
        <v>8849879</v>
      </c>
      <c r="FW68" s="94">
        <v>0</v>
      </c>
      <c r="FX68" s="94">
        <v>262675</v>
      </c>
      <c r="FY68" s="426">
        <f t="shared" ref="FY68:FY122" si="103">+FV68/$GB$2*$GC$2</f>
        <v>8849.8790000000008</v>
      </c>
      <c r="FZ68" s="426">
        <f t="shared" ref="FZ68:FZ122" si="104">+FW68/$GB$2*$GC$2</f>
        <v>0</v>
      </c>
      <c r="GA68" s="426">
        <f t="shared" ref="GA68:GA122" si="105">+FX68/$GB$2*$GC$2</f>
        <v>262.67500000000001</v>
      </c>
      <c r="GG68" s="762" t="s">
        <v>553</v>
      </c>
      <c r="GH68" s="763" t="s">
        <v>380</v>
      </c>
      <c r="GI68" s="764">
        <v>2864136</v>
      </c>
      <c r="GJ68" s="764">
        <v>2864136</v>
      </c>
      <c r="GK68" s="764">
        <v>0</v>
      </c>
      <c r="GL68" s="764">
        <v>2864130</v>
      </c>
      <c r="GM68" s="764">
        <v>6</v>
      </c>
      <c r="GN68" s="426">
        <f t="shared" ref="GN68:GN131" si="106">+GI68/$GS$2*$GT$2</f>
        <v>2864.136</v>
      </c>
      <c r="GO68" s="426">
        <f t="shared" ref="GO68:GO131" si="107">+GJ68/$GS$2*$GT$2</f>
        <v>2864.136</v>
      </c>
      <c r="GP68" s="426">
        <f t="shared" ref="GP68:GP131" si="108">+GK68/$GS$2*$GT$2</f>
        <v>0</v>
      </c>
      <c r="GQ68" s="426">
        <f t="shared" ref="GQ68:GQ131" si="109">+GL68/$GS$2*$GT$2</f>
        <v>2864.13</v>
      </c>
      <c r="GR68" s="426">
        <f t="shared" ref="GR68:GR131" si="110">+GM68/$GS$2*$GT$2</f>
        <v>6.0000000000000001E-3</v>
      </c>
      <c r="GV68" s="780" t="s">
        <v>384</v>
      </c>
      <c r="GW68" s="779">
        <v>931068</v>
      </c>
      <c r="GX68" s="426">
        <f t="shared" ref="GX68:GX131" si="111">+GW68/$GY$2*$GZ$2</f>
        <v>931.06799999999998</v>
      </c>
      <c r="HB68" s="782" t="s">
        <v>378</v>
      </c>
      <c r="HC68" s="764">
        <v>2648147000</v>
      </c>
      <c r="HD68" s="764">
        <v>2648147000</v>
      </c>
      <c r="HE68" s="764">
        <v>0</v>
      </c>
      <c r="HF68" s="764">
        <v>2644155999</v>
      </c>
      <c r="HG68" s="426">
        <f t="shared" ref="HG68:HG131" si="112">+HC68/$HL$2*$HM$2</f>
        <v>2648147</v>
      </c>
      <c r="HH68" s="426">
        <f t="shared" ref="HH68:HH131" si="113">+HE68/$HL$2*$HM$2</f>
        <v>0</v>
      </c>
      <c r="HI68" s="426">
        <f t="shared" ref="HI68:HI131" si="114">+HD68/$HL$2*$HM$2</f>
        <v>2648147</v>
      </c>
      <c r="HJ68" s="426">
        <f t="shared" ref="HJ68:HJ131" si="115">+HE68/$HL$2*$HM$2</f>
        <v>0</v>
      </c>
      <c r="HK68" s="426">
        <f t="shared" ref="HK68:HK131" si="116">+HF68/$HL$2*$HM$2</f>
        <v>2644155.9989999998</v>
      </c>
    </row>
    <row r="69" spans="1:219" ht="15" customHeight="1" x14ac:dyDescent="0.3">
      <c r="A69" s="287" t="s">
        <v>553</v>
      </c>
      <c r="B69" s="288" t="s">
        <v>384</v>
      </c>
      <c r="C69" s="289">
        <v>3000000</v>
      </c>
      <c r="D69" s="290">
        <f t="shared" si="61"/>
        <v>3189</v>
      </c>
      <c r="E69" s="289">
        <v>114246</v>
      </c>
      <c r="F69" s="289">
        <f t="shared" si="62"/>
        <v>121.44349799999999</v>
      </c>
      <c r="J69" s="291" t="s">
        <v>553</v>
      </c>
      <c r="K69" s="292" t="s">
        <v>600</v>
      </c>
      <c r="L69" s="293">
        <v>421061</v>
      </c>
      <c r="M69" s="293">
        <f t="shared" si="63"/>
        <v>447.58784299999996</v>
      </c>
      <c r="Q69" s="291" t="s">
        <v>553</v>
      </c>
      <c r="R69" s="292" t="s">
        <v>384</v>
      </c>
      <c r="S69" s="293">
        <v>3000000</v>
      </c>
      <c r="T69" s="293">
        <v>1876667</v>
      </c>
      <c r="U69" s="293">
        <f t="shared" si="64"/>
        <v>3189</v>
      </c>
      <c r="V69" s="293">
        <f t="shared" si="65"/>
        <v>1994.8970209999998</v>
      </c>
      <c r="Z69" s="288" t="s">
        <v>389</v>
      </c>
      <c r="AA69" s="289">
        <v>353244</v>
      </c>
      <c r="AB69" s="289">
        <f t="shared" si="66"/>
        <v>375.49837200000002</v>
      </c>
      <c r="AF69" s="428" t="s">
        <v>589</v>
      </c>
      <c r="AG69" s="429">
        <v>8293692</v>
      </c>
      <c r="AH69" s="429">
        <f t="shared" si="60"/>
        <v>8816.1945959999994</v>
      </c>
      <c r="AI69" s="289">
        <v>1333206</v>
      </c>
      <c r="AL69" s="426"/>
      <c r="AN69" s="423" t="s">
        <v>553</v>
      </c>
      <c r="AO69" s="424" t="s">
        <v>594</v>
      </c>
      <c r="AP69" s="425">
        <v>0</v>
      </c>
      <c r="AQ69" s="425">
        <f t="shared" si="67"/>
        <v>0</v>
      </c>
      <c r="AU69" s="423" t="s">
        <v>553</v>
      </c>
      <c r="AV69" s="424" t="s">
        <v>589</v>
      </c>
      <c r="AW69" s="425">
        <v>7548544</v>
      </c>
      <c r="AX69" s="425">
        <v>2894424</v>
      </c>
      <c r="AY69" s="425">
        <v>4654120</v>
      </c>
      <c r="AZ69" s="426">
        <f t="shared" si="68"/>
        <v>8024.1022719999992</v>
      </c>
      <c r="BA69" s="426">
        <f t="shared" si="69"/>
        <v>3076.772712</v>
      </c>
      <c r="BB69" s="426">
        <f t="shared" si="70"/>
        <v>4947.3295599999992</v>
      </c>
      <c r="BF69" s="423" t="s">
        <v>553</v>
      </c>
      <c r="BG69" s="424" t="s">
        <v>596</v>
      </c>
      <c r="BH69" s="425">
        <v>81490</v>
      </c>
      <c r="BI69" s="426">
        <f t="shared" si="71"/>
        <v>86.623869999999997</v>
      </c>
      <c r="BM69" s="427" t="s">
        <v>553</v>
      </c>
      <c r="BN69" s="93" t="s">
        <v>383</v>
      </c>
      <c r="BO69" s="94">
        <v>0</v>
      </c>
      <c r="BP69" s="94">
        <v>126240</v>
      </c>
      <c r="BQ69" s="94">
        <v>126240</v>
      </c>
      <c r="BR69" s="94">
        <v>0</v>
      </c>
      <c r="BS69" s="94">
        <v>126240</v>
      </c>
      <c r="BT69" s="426">
        <f t="shared" si="72"/>
        <v>134.19311999999999</v>
      </c>
      <c r="BU69" s="426">
        <f t="shared" si="73"/>
        <v>134.19311999999999</v>
      </c>
      <c r="BV69" s="426">
        <f t="shared" si="74"/>
        <v>0</v>
      </c>
      <c r="BW69" s="426">
        <f t="shared" si="75"/>
        <v>134.19311999999999</v>
      </c>
      <c r="CA69" s="93" t="s">
        <v>385</v>
      </c>
      <c r="CB69" s="426">
        <v>125402</v>
      </c>
      <c r="CC69" s="426">
        <f t="shared" si="76"/>
        <v>133.30232599999999</v>
      </c>
      <c r="CG69" s="424" t="s">
        <v>382</v>
      </c>
      <c r="CH69" s="425">
        <v>0</v>
      </c>
      <c r="CI69" s="425">
        <v>2340836</v>
      </c>
      <c r="CJ69" s="425">
        <v>-2340836</v>
      </c>
      <c r="CK69" s="425">
        <v>2340408</v>
      </c>
      <c r="CL69" s="425">
        <v>428</v>
      </c>
      <c r="CM69" s="425">
        <v>1853626</v>
      </c>
      <c r="CN69" s="425">
        <f t="shared" si="77"/>
        <v>2488.3086679999997</v>
      </c>
      <c r="CO69" s="425">
        <f t="shared" si="78"/>
        <v>2487.8537039999997</v>
      </c>
      <c r="CP69" s="425">
        <f t="shared" si="79"/>
        <v>0.45496399999999998</v>
      </c>
      <c r="CQ69" s="425">
        <f t="shared" si="80"/>
        <v>1970.4044379999998</v>
      </c>
      <c r="CU69" s="424" t="s">
        <v>387</v>
      </c>
      <c r="CV69" s="425">
        <v>1740679</v>
      </c>
      <c r="CW69" s="425">
        <v>13456777</v>
      </c>
      <c r="CX69" s="426">
        <f t="shared" si="81"/>
        <v>1850.3417770000001</v>
      </c>
      <c r="CY69" s="426">
        <f t="shared" si="82"/>
        <v>14304.553951</v>
      </c>
      <c r="DB69" s="568" t="s">
        <v>382</v>
      </c>
      <c r="DC69" s="569">
        <v>4142496</v>
      </c>
      <c r="DD69" s="569">
        <v>2340408</v>
      </c>
      <c r="DE69" s="569">
        <v>1802088</v>
      </c>
      <c r="DF69" s="569">
        <v>2002876</v>
      </c>
      <c r="DG69" s="570">
        <f t="shared" si="83"/>
        <v>4403.4732480000002</v>
      </c>
      <c r="DH69" s="570">
        <f t="shared" si="84"/>
        <v>2487.8537039999997</v>
      </c>
      <c r="DI69" s="570">
        <f t="shared" si="85"/>
        <v>1915.6195439999999</v>
      </c>
      <c r="DJ69" s="570">
        <f t="shared" si="86"/>
        <v>2129.0571879999998</v>
      </c>
      <c r="DN69" s="93" t="s">
        <v>393</v>
      </c>
      <c r="DO69" s="93">
        <v>-450000</v>
      </c>
      <c r="DP69" s="93">
        <v>0</v>
      </c>
      <c r="DQ69" s="626">
        <f t="shared" si="87"/>
        <v>-478.34999999999997</v>
      </c>
      <c r="DR69" s="626">
        <f t="shared" si="88"/>
        <v>0</v>
      </c>
      <c r="DV69" s="93" t="s">
        <v>381</v>
      </c>
      <c r="DW69" s="94">
        <v>45859010</v>
      </c>
      <c r="DX69" s="94">
        <v>44359009</v>
      </c>
      <c r="DY69" s="94">
        <v>1500001</v>
      </c>
      <c r="DZ69" s="94">
        <v>33145340</v>
      </c>
      <c r="EA69" s="94">
        <f t="shared" si="89"/>
        <v>48748.127630000003</v>
      </c>
      <c r="EB69" s="94">
        <f t="shared" si="90"/>
        <v>47153.626566999992</v>
      </c>
      <c r="EC69" s="94">
        <f t="shared" si="91"/>
        <v>1594.5010629999999</v>
      </c>
      <c r="ED69" s="94">
        <f t="shared" si="92"/>
        <v>35233.496419999996</v>
      </c>
      <c r="EH69" s="420" t="s">
        <v>387</v>
      </c>
      <c r="EI69" s="420">
        <v>12729731</v>
      </c>
      <c r="EJ69" s="426">
        <f t="shared" si="93"/>
        <v>13531.704052999999</v>
      </c>
      <c r="EN69" s="420" t="s">
        <v>502</v>
      </c>
      <c r="EO69" s="426">
        <v>30000000</v>
      </c>
      <c r="EP69" s="426">
        <v>30000000</v>
      </c>
      <c r="EQ69" s="426">
        <v>0</v>
      </c>
      <c r="ER69" s="426">
        <v>30000000</v>
      </c>
      <c r="ES69" s="700">
        <f t="shared" si="94"/>
        <v>31890</v>
      </c>
      <c r="ET69" s="700">
        <f t="shared" si="95"/>
        <v>31890</v>
      </c>
      <c r="EU69" s="700">
        <f t="shared" si="96"/>
        <v>0</v>
      </c>
      <c r="EV69" s="700">
        <f t="shared" si="97"/>
        <v>31890</v>
      </c>
      <c r="EZ69" s="730" t="s">
        <v>553</v>
      </c>
      <c r="FA69" s="731" t="s">
        <v>391</v>
      </c>
      <c r="FB69" s="420">
        <v>990028</v>
      </c>
      <c r="FC69" s="426">
        <f t="shared" si="98"/>
        <v>990.02800000000002</v>
      </c>
      <c r="FG69" s="735" t="s">
        <v>355</v>
      </c>
      <c r="FH69" s="734" t="s">
        <v>502</v>
      </c>
      <c r="FI69" s="732">
        <v>30000000</v>
      </c>
      <c r="FJ69" s="733">
        <v>30000000</v>
      </c>
      <c r="FK69" s="733">
        <v>0</v>
      </c>
      <c r="FL69" s="733">
        <v>30000000</v>
      </c>
      <c r="FM69" s="426">
        <f t="shared" si="99"/>
        <v>30000</v>
      </c>
      <c r="FN69" s="426">
        <f t="shared" si="100"/>
        <v>30000</v>
      </c>
      <c r="FO69" s="426">
        <f t="shared" si="101"/>
        <v>0</v>
      </c>
      <c r="FP69" s="426">
        <f t="shared" si="102"/>
        <v>30000</v>
      </c>
      <c r="FT69" s="427" t="s">
        <v>553</v>
      </c>
      <c r="FU69" s="93" t="s">
        <v>593</v>
      </c>
      <c r="FV69" s="94">
        <v>437920</v>
      </c>
      <c r="FW69" s="94">
        <v>437920</v>
      </c>
      <c r="FX69" s="94">
        <v>563902</v>
      </c>
      <c r="FY69" s="426">
        <f t="shared" si="103"/>
        <v>437.92</v>
      </c>
      <c r="FZ69" s="426">
        <f t="shared" si="104"/>
        <v>437.92</v>
      </c>
      <c r="GA69" s="426">
        <f t="shared" si="105"/>
        <v>563.90200000000004</v>
      </c>
      <c r="GG69" s="762" t="s">
        <v>355</v>
      </c>
      <c r="GH69" s="763" t="s">
        <v>502</v>
      </c>
      <c r="GI69" s="764">
        <v>60000000</v>
      </c>
      <c r="GJ69" s="764">
        <v>60000000</v>
      </c>
      <c r="GK69" s="764">
        <v>0</v>
      </c>
      <c r="GL69" s="764">
        <v>60000000</v>
      </c>
      <c r="GM69" s="764">
        <v>0</v>
      </c>
      <c r="GN69" s="426">
        <f t="shared" si="106"/>
        <v>60000</v>
      </c>
      <c r="GO69" s="426">
        <f t="shared" si="107"/>
        <v>60000</v>
      </c>
      <c r="GP69" s="426">
        <f t="shared" si="108"/>
        <v>0</v>
      </c>
      <c r="GQ69" s="426">
        <f t="shared" si="109"/>
        <v>60000</v>
      </c>
      <c r="GR69" s="426">
        <f t="shared" si="110"/>
        <v>0</v>
      </c>
      <c r="GV69" s="780" t="s">
        <v>591</v>
      </c>
      <c r="GW69" s="779">
        <v>6755809</v>
      </c>
      <c r="GX69" s="426">
        <f t="shared" si="111"/>
        <v>6755.8090000000002</v>
      </c>
      <c r="HB69" s="782" t="s">
        <v>379</v>
      </c>
      <c r="HC69" s="764">
        <v>19106146</v>
      </c>
      <c r="HD69" s="764">
        <v>19106146</v>
      </c>
      <c r="HE69" s="764">
        <v>0</v>
      </c>
      <c r="HF69" s="764">
        <v>19106146</v>
      </c>
      <c r="HG69" s="426">
        <f t="shared" si="112"/>
        <v>19106.146000000001</v>
      </c>
      <c r="HH69" s="426">
        <f t="shared" si="113"/>
        <v>0</v>
      </c>
      <c r="HI69" s="426">
        <f t="shared" si="114"/>
        <v>19106.146000000001</v>
      </c>
      <c r="HJ69" s="426">
        <f t="shared" si="115"/>
        <v>0</v>
      </c>
      <c r="HK69" s="426">
        <f t="shared" si="116"/>
        <v>19106.146000000001</v>
      </c>
    </row>
    <row r="70" spans="1:219" ht="15" customHeight="1" x14ac:dyDescent="0.3">
      <c r="A70" s="287" t="s">
        <v>553</v>
      </c>
      <c r="B70" s="288" t="s">
        <v>591</v>
      </c>
      <c r="C70" s="289">
        <v>5400000</v>
      </c>
      <c r="D70" s="290">
        <f t="shared" si="61"/>
        <v>5740.2</v>
      </c>
      <c r="E70" s="289">
        <v>0</v>
      </c>
      <c r="F70" s="289">
        <f t="shared" si="62"/>
        <v>0</v>
      </c>
      <c r="J70" s="291" t="s">
        <v>355</v>
      </c>
      <c r="K70" s="292" t="s">
        <v>397</v>
      </c>
      <c r="L70" s="293">
        <v>1107070</v>
      </c>
      <c r="M70" s="293">
        <f t="shared" si="63"/>
        <v>1176.8154099999999</v>
      </c>
      <c r="Q70" s="291" t="s">
        <v>553</v>
      </c>
      <c r="R70" s="292" t="s">
        <v>590</v>
      </c>
      <c r="S70" s="293">
        <v>226624</v>
      </c>
      <c r="T70" s="293">
        <v>0</v>
      </c>
      <c r="U70" s="293">
        <f t="shared" si="64"/>
        <v>240.90131199999999</v>
      </c>
      <c r="V70" s="293">
        <f t="shared" si="65"/>
        <v>0</v>
      </c>
      <c r="Z70" s="288" t="s">
        <v>390</v>
      </c>
      <c r="AA70" s="289">
        <v>84900</v>
      </c>
      <c r="AB70" s="289">
        <f t="shared" si="66"/>
        <v>90.248699999999999</v>
      </c>
      <c r="AF70" s="428" t="s">
        <v>384</v>
      </c>
      <c r="AG70" s="429">
        <v>4111997</v>
      </c>
      <c r="AH70" s="429">
        <f t="shared" si="60"/>
        <v>4371.0528110000005</v>
      </c>
      <c r="AI70" s="289">
        <v>4073186</v>
      </c>
      <c r="AL70" s="426"/>
      <c r="AN70" s="423" t="s">
        <v>553</v>
      </c>
      <c r="AO70" s="424" t="s">
        <v>385</v>
      </c>
      <c r="AP70" s="425">
        <v>1637228</v>
      </c>
      <c r="AQ70" s="425">
        <f t="shared" si="67"/>
        <v>1740.373364</v>
      </c>
      <c r="AU70" s="423" t="s">
        <v>553</v>
      </c>
      <c r="AV70" s="424" t="s">
        <v>384</v>
      </c>
      <c r="AW70" s="425">
        <v>4769167</v>
      </c>
      <c r="AX70" s="425">
        <v>4204060</v>
      </c>
      <c r="AY70" s="425">
        <v>565107</v>
      </c>
      <c r="AZ70" s="426">
        <f t="shared" si="68"/>
        <v>5069.6245209999997</v>
      </c>
      <c r="BA70" s="426">
        <f t="shared" si="69"/>
        <v>4468.9157800000003</v>
      </c>
      <c r="BB70" s="426">
        <f t="shared" si="70"/>
        <v>600.70874099999992</v>
      </c>
      <c r="BF70" s="423" t="s">
        <v>553</v>
      </c>
      <c r="BG70" s="424" t="s">
        <v>597</v>
      </c>
      <c r="BH70" s="425">
        <v>1153187</v>
      </c>
      <c r="BI70" s="426">
        <f t="shared" si="71"/>
        <v>1225.8377809999997</v>
      </c>
      <c r="BM70" s="427" t="s">
        <v>553</v>
      </c>
      <c r="BN70" s="93" t="s">
        <v>589</v>
      </c>
      <c r="BO70" s="94">
        <v>0</v>
      </c>
      <c r="BP70" s="94">
        <v>6619440</v>
      </c>
      <c r="BQ70" s="94">
        <v>5424192</v>
      </c>
      <c r="BR70" s="94">
        <v>1195248</v>
      </c>
      <c r="BS70" s="94">
        <v>5424192</v>
      </c>
      <c r="BT70" s="426">
        <f t="shared" si="72"/>
        <v>7036.464719999999</v>
      </c>
      <c r="BU70" s="426">
        <f t="shared" si="73"/>
        <v>5765.9160959999999</v>
      </c>
      <c r="BV70" s="426">
        <f t="shared" si="74"/>
        <v>1270.548624</v>
      </c>
      <c r="BW70" s="426">
        <f t="shared" si="75"/>
        <v>5765.9160959999999</v>
      </c>
      <c r="CA70" s="93" t="s">
        <v>386</v>
      </c>
      <c r="CB70" s="426">
        <v>0</v>
      </c>
      <c r="CC70" s="426">
        <f t="shared" si="76"/>
        <v>0</v>
      </c>
      <c r="CG70" s="424" t="s">
        <v>383</v>
      </c>
      <c r="CH70" s="425">
        <v>0</v>
      </c>
      <c r="CI70" s="425">
        <v>126240</v>
      </c>
      <c r="CJ70" s="425">
        <v>-126240</v>
      </c>
      <c r="CK70" s="425">
        <v>126240</v>
      </c>
      <c r="CL70" s="425">
        <v>0</v>
      </c>
      <c r="CM70" s="425">
        <v>126240</v>
      </c>
      <c r="CN70" s="425">
        <f t="shared" si="77"/>
        <v>134.19311999999999</v>
      </c>
      <c r="CO70" s="425">
        <f t="shared" si="78"/>
        <v>134.19311999999999</v>
      </c>
      <c r="CP70" s="425">
        <f t="shared" si="79"/>
        <v>0</v>
      </c>
      <c r="CQ70" s="425">
        <f t="shared" si="80"/>
        <v>134.19311999999999</v>
      </c>
      <c r="CU70" s="424" t="s">
        <v>388</v>
      </c>
      <c r="CV70" s="425">
        <v>0</v>
      </c>
      <c r="CW70" s="425">
        <v>1133600</v>
      </c>
      <c r="CX70" s="426">
        <f t="shared" si="81"/>
        <v>0</v>
      </c>
      <c r="CY70" s="426">
        <f t="shared" si="82"/>
        <v>1205.0167999999999</v>
      </c>
      <c r="DB70" s="568" t="s">
        <v>383</v>
      </c>
      <c r="DC70" s="569">
        <v>726240</v>
      </c>
      <c r="DD70" s="569">
        <v>126240</v>
      </c>
      <c r="DE70" s="569">
        <v>600000</v>
      </c>
      <c r="DF70" s="569">
        <v>126240</v>
      </c>
      <c r="DG70" s="570">
        <f t="shared" si="83"/>
        <v>771.99311999999998</v>
      </c>
      <c r="DH70" s="570">
        <f t="shared" si="84"/>
        <v>134.19311999999999</v>
      </c>
      <c r="DI70" s="570">
        <f t="shared" si="85"/>
        <v>637.79999999999995</v>
      </c>
      <c r="DJ70" s="570">
        <f t="shared" si="86"/>
        <v>134.19311999999999</v>
      </c>
      <c r="DN70" s="93" t="s">
        <v>394</v>
      </c>
      <c r="DO70" s="93">
        <v>11383616</v>
      </c>
      <c r="DP70" s="93">
        <v>479808</v>
      </c>
      <c r="DQ70" s="626">
        <f t="shared" si="87"/>
        <v>12100.783808</v>
      </c>
      <c r="DR70" s="626">
        <f t="shared" si="88"/>
        <v>510.03590399999996</v>
      </c>
      <c r="DV70" s="93" t="s">
        <v>382</v>
      </c>
      <c r="DW70" s="94">
        <v>4475059</v>
      </c>
      <c r="DX70" s="94">
        <v>4475058</v>
      </c>
      <c r="DY70" s="94">
        <v>1</v>
      </c>
      <c r="DZ70" s="94">
        <v>4475058</v>
      </c>
      <c r="EA70" s="94">
        <f t="shared" si="89"/>
        <v>4756.987717</v>
      </c>
      <c r="EB70" s="94">
        <f t="shared" si="90"/>
        <v>4756.9866539999994</v>
      </c>
      <c r="EC70" s="94">
        <f t="shared" si="91"/>
        <v>1.0629999999999999E-3</v>
      </c>
      <c r="ED70" s="94">
        <f t="shared" si="92"/>
        <v>4756.9866539999994</v>
      </c>
      <c r="EH70" s="420" t="s">
        <v>388</v>
      </c>
      <c r="EI70" s="420">
        <v>1111900</v>
      </c>
      <c r="EJ70" s="426">
        <f t="shared" si="93"/>
        <v>1181.9497000000001</v>
      </c>
      <c r="EN70" s="420" t="s">
        <v>503</v>
      </c>
      <c r="EO70" s="426">
        <v>30000000</v>
      </c>
      <c r="EP70" s="426">
        <v>30000000</v>
      </c>
      <c r="EQ70" s="426">
        <v>0</v>
      </c>
      <c r="ER70" s="426">
        <v>30000000</v>
      </c>
      <c r="ES70" s="700">
        <f t="shared" si="94"/>
        <v>31890</v>
      </c>
      <c r="ET70" s="700">
        <f t="shared" si="95"/>
        <v>31890</v>
      </c>
      <c r="EU70" s="700">
        <f t="shared" si="96"/>
        <v>0</v>
      </c>
      <c r="EV70" s="700">
        <f t="shared" si="97"/>
        <v>31890</v>
      </c>
      <c r="EZ70" s="730" t="s">
        <v>553</v>
      </c>
      <c r="FA70" s="731" t="s">
        <v>392</v>
      </c>
      <c r="FB70" s="420">
        <v>5465146</v>
      </c>
      <c r="FC70" s="426">
        <f t="shared" si="98"/>
        <v>5465.1459999999997</v>
      </c>
      <c r="FG70" s="735" t="s">
        <v>553</v>
      </c>
      <c r="FH70" s="734" t="s">
        <v>503</v>
      </c>
      <c r="FI70" s="732">
        <v>30000000</v>
      </c>
      <c r="FJ70" s="733">
        <v>30000000</v>
      </c>
      <c r="FK70" s="733">
        <v>0</v>
      </c>
      <c r="FL70" s="733">
        <v>30000000</v>
      </c>
      <c r="FM70" s="426">
        <f t="shared" si="99"/>
        <v>30000</v>
      </c>
      <c r="FN70" s="426">
        <f t="shared" si="100"/>
        <v>30000</v>
      </c>
      <c r="FO70" s="426">
        <f t="shared" si="101"/>
        <v>0</v>
      </c>
      <c r="FP70" s="426">
        <f t="shared" si="102"/>
        <v>30000</v>
      </c>
      <c r="FT70" s="427" t="s">
        <v>553</v>
      </c>
      <c r="FU70" s="93" t="s">
        <v>594</v>
      </c>
      <c r="FV70" s="94">
        <v>331308</v>
      </c>
      <c r="FW70" s="94">
        <v>0</v>
      </c>
      <c r="FX70" s="94">
        <v>0</v>
      </c>
      <c r="FY70" s="426">
        <f t="shared" si="103"/>
        <v>331.30799999999999</v>
      </c>
      <c r="FZ70" s="426">
        <f t="shared" si="104"/>
        <v>0</v>
      </c>
      <c r="GA70" s="426">
        <f t="shared" si="105"/>
        <v>0</v>
      </c>
      <c r="GG70" s="762" t="s">
        <v>553</v>
      </c>
      <c r="GH70" s="763" t="s">
        <v>503</v>
      </c>
      <c r="GI70" s="764">
        <v>60000000</v>
      </c>
      <c r="GJ70" s="764">
        <v>60000000</v>
      </c>
      <c r="GK70" s="764">
        <v>0</v>
      </c>
      <c r="GL70" s="764">
        <v>60000000</v>
      </c>
      <c r="GM70" s="764">
        <v>0</v>
      </c>
      <c r="GN70" s="426">
        <f t="shared" si="106"/>
        <v>60000</v>
      </c>
      <c r="GO70" s="426">
        <f t="shared" si="107"/>
        <v>60000</v>
      </c>
      <c r="GP70" s="426">
        <f t="shared" si="108"/>
        <v>0</v>
      </c>
      <c r="GQ70" s="426">
        <f t="shared" si="109"/>
        <v>60000</v>
      </c>
      <c r="GR70" s="426">
        <f t="shared" si="110"/>
        <v>0</v>
      </c>
      <c r="GV70" s="780" t="s">
        <v>592</v>
      </c>
      <c r="GW70" s="779">
        <v>77670</v>
      </c>
      <c r="GX70" s="426">
        <f t="shared" si="111"/>
        <v>77.67</v>
      </c>
      <c r="HB70" s="782" t="s">
        <v>587</v>
      </c>
      <c r="HC70" s="764">
        <v>359380</v>
      </c>
      <c r="HD70" s="764">
        <v>359380</v>
      </c>
      <c r="HE70" s="764">
        <v>0</v>
      </c>
      <c r="HF70" s="764">
        <v>359380</v>
      </c>
      <c r="HG70" s="426">
        <f t="shared" si="112"/>
        <v>359.38</v>
      </c>
      <c r="HH70" s="426">
        <f t="shared" si="113"/>
        <v>0</v>
      </c>
      <c r="HI70" s="426">
        <f t="shared" si="114"/>
        <v>359.38</v>
      </c>
      <c r="HJ70" s="426">
        <f t="shared" si="115"/>
        <v>0</v>
      </c>
      <c r="HK70" s="426">
        <f t="shared" si="116"/>
        <v>359.38</v>
      </c>
    </row>
    <row r="71" spans="1:219" ht="15" customHeight="1" x14ac:dyDescent="0.3">
      <c r="A71" s="287" t="s">
        <v>553</v>
      </c>
      <c r="B71" s="288" t="s">
        <v>592</v>
      </c>
      <c r="C71" s="289">
        <v>500000</v>
      </c>
      <c r="D71" s="290">
        <f t="shared" si="61"/>
        <v>531.5</v>
      </c>
      <c r="E71" s="289">
        <v>0</v>
      </c>
      <c r="F71" s="289">
        <f t="shared" si="62"/>
        <v>0</v>
      </c>
      <c r="J71" s="291" t="s">
        <v>553</v>
      </c>
      <c r="K71" s="292" t="s">
        <v>398</v>
      </c>
      <c r="L71" s="293">
        <v>1107070</v>
      </c>
      <c r="M71" s="293">
        <f t="shared" si="63"/>
        <v>1176.8154099999999</v>
      </c>
      <c r="Q71" s="291" t="s">
        <v>553</v>
      </c>
      <c r="R71" s="292" t="s">
        <v>591</v>
      </c>
      <c r="S71" s="293">
        <v>5400000</v>
      </c>
      <c r="T71" s="293">
        <v>0</v>
      </c>
      <c r="U71" s="293">
        <f t="shared" si="64"/>
        <v>5740.2</v>
      </c>
      <c r="V71" s="293">
        <f t="shared" si="65"/>
        <v>0</v>
      </c>
      <c r="Z71" s="288" t="s">
        <v>391</v>
      </c>
      <c r="AA71" s="289">
        <v>713124</v>
      </c>
      <c r="AB71" s="289">
        <f t="shared" si="66"/>
        <v>758.05081199999995</v>
      </c>
      <c r="AF71" s="428" t="s">
        <v>590</v>
      </c>
      <c r="AG71" s="429">
        <v>226624</v>
      </c>
      <c r="AH71" s="429">
        <f t="shared" si="60"/>
        <v>240.90131199999999</v>
      </c>
      <c r="AI71" s="289">
        <v>0</v>
      </c>
      <c r="AL71" s="426"/>
      <c r="AN71" s="423" t="s">
        <v>553</v>
      </c>
      <c r="AO71" s="424" t="s">
        <v>386</v>
      </c>
      <c r="AP71" s="425">
        <v>3805620</v>
      </c>
      <c r="AQ71" s="425">
        <f t="shared" si="67"/>
        <v>4045.3740599999996</v>
      </c>
      <c r="AU71" s="423" t="s">
        <v>553</v>
      </c>
      <c r="AV71" s="424" t="s">
        <v>590</v>
      </c>
      <c r="AW71" s="425">
        <v>0</v>
      </c>
      <c r="AX71" s="425">
        <v>0</v>
      </c>
      <c r="AY71" s="425">
        <v>0</v>
      </c>
      <c r="AZ71" s="426">
        <f t="shared" si="68"/>
        <v>0</v>
      </c>
      <c r="BA71" s="426">
        <f t="shared" si="69"/>
        <v>0</v>
      </c>
      <c r="BB71" s="426">
        <f t="shared" si="70"/>
        <v>0</v>
      </c>
      <c r="BF71" s="423" t="s">
        <v>553</v>
      </c>
      <c r="BG71" s="424" t="s">
        <v>717</v>
      </c>
      <c r="BH71" s="425">
        <v>0</v>
      </c>
      <c r="BI71" s="426">
        <f t="shared" si="71"/>
        <v>0</v>
      </c>
      <c r="BM71" s="427" t="s">
        <v>553</v>
      </c>
      <c r="BN71" s="93" t="s">
        <v>384</v>
      </c>
      <c r="BO71" s="94">
        <v>0</v>
      </c>
      <c r="BP71" s="94">
        <v>10106426</v>
      </c>
      <c r="BQ71" s="94">
        <v>9889763</v>
      </c>
      <c r="BR71" s="94">
        <v>216663</v>
      </c>
      <c r="BS71" s="94">
        <v>5563212</v>
      </c>
      <c r="BT71" s="426">
        <f t="shared" si="72"/>
        <v>10743.130837999999</v>
      </c>
      <c r="BU71" s="426">
        <f t="shared" si="73"/>
        <v>10512.818069000001</v>
      </c>
      <c r="BV71" s="426">
        <f t="shared" si="74"/>
        <v>230.312769</v>
      </c>
      <c r="BW71" s="426">
        <f t="shared" si="75"/>
        <v>5913.694356</v>
      </c>
      <c r="CA71" s="93" t="s">
        <v>387</v>
      </c>
      <c r="CB71" s="426">
        <v>12116412</v>
      </c>
      <c r="CC71" s="426">
        <f t="shared" si="76"/>
        <v>12879.745955999999</v>
      </c>
      <c r="CG71" s="424" t="s">
        <v>589</v>
      </c>
      <c r="CH71" s="425">
        <v>0</v>
      </c>
      <c r="CI71" s="425">
        <v>6619022</v>
      </c>
      <c r="CJ71" s="425">
        <v>-6619022</v>
      </c>
      <c r="CK71" s="425">
        <v>5424192</v>
      </c>
      <c r="CL71" s="425">
        <v>1194830</v>
      </c>
      <c r="CM71" s="425">
        <v>5424192</v>
      </c>
      <c r="CN71" s="425">
        <f t="shared" si="77"/>
        <v>7036.0203859999992</v>
      </c>
      <c r="CO71" s="425">
        <f t="shared" si="78"/>
        <v>5765.9160959999999</v>
      </c>
      <c r="CP71" s="425">
        <f t="shared" si="79"/>
        <v>1270.1042899999998</v>
      </c>
      <c r="CQ71" s="425">
        <f t="shared" si="80"/>
        <v>5765.9160959999999</v>
      </c>
      <c r="CU71" s="424" t="s">
        <v>389</v>
      </c>
      <c r="CV71" s="425">
        <v>980574</v>
      </c>
      <c r="CW71" s="425">
        <v>1595616</v>
      </c>
      <c r="CX71" s="426">
        <f t="shared" si="81"/>
        <v>1042.350162</v>
      </c>
      <c r="CY71" s="426">
        <f t="shared" si="82"/>
        <v>1696.1398079999999</v>
      </c>
      <c r="DB71" s="568" t="s">
        <v>589</v>
      </c>
      <c r="DC71" s="569">
        <v>5930199</v>
      </c>
      <c r="DD71" s="569">
        <v>5424192</v>
      </c>
      <c r="DE71" s="569">
        <v>506007</v>
      </c>
      <c r="DF71" s="569">
        <v>5424192</v>
      </c>
      <c r="DG71" s="570">
        <f t="shared" si="83"/>
        <v>6303.8015369999994</v>
      </c>
      <c r="DH71" s="570">
        <f t="shared" si="84"/>
        <v>5765.9160959999999</v>
      </c>
      <c r="DI71" s="570">
        <f t="shared" si="85"/>
        <v>537.88544100000001</v>
      </c>
      <c r="DJ71" s="570">
        <f t="shared" si="86"/>
        <v>5765.9160959999999</v>
      </c>
      <c r="DN71" s="93" t="s">
        <v>595</v>
      </c>
      <c r="DO71" s="93">
        <v>0</v>
      </c>
      <c r="DP71" s="93">
        <v>2885929</v>
      </c>
      <c r="DQ71" s="626">
        <f t="shared" si="87"/>
        <v>0</v>
      </c>
      <c r="DR71" s="626">
        <f t="shared" si="88"/>
        <v>3067.7425269999999</v>
      </c>
      <c r="DV71" s="93" t="s">
        <v>383</v>
      </c>
      <c r="DW71" s="94">
        <v>126240</v>
      </c>
      <c r="DX71" s="94">
        <v>126240</v>
      </c>
      <c r="DY71" s="94">
        <v>0</v>
      </c>
      <c r="DZ71" s="94">
        <v>126240</v>
      </c>
      <c r="EA71" s="94">
        <f t="shared" si="89"/>
        <v>134.19311999999999</v>
      </c>
      <c r="EB71" s="94">
        <f t="shared" si="90"/>
        <v>134.19311999999999</v>
      </c>
      <c r="EC71" s="94">
        <f t="shared" si="91"/>
        <v>0</v>
      </c>
      <c r="ED71" s="94">
        <f t="shared" si="92"/>
        <v>134.19311999999999</v>
      </c>
      <c r="EH71" s="420" t="s">
        <v>389</v>
      </c>
      <c r="EI71" s="420">
        <v>1145654</v>
      </c>
      <c r="EJ71" s="426">
        <f t="shared" si="93"/>
        <v>1217.8302019999999</v>
      </c>
      <c r="EN71" s="420" t="s">
        <v>381</v>
      </c>
      <c r="EO71" s="426">
        <v>49465773</v>
      </c>
      <c r="EP71" s="426">
        <v>48314181</v>
      </c>
      <c r="EQ71" s="426">
        <v>1151592</v>
      </c>
      <c r="ER71" s="426">
        <v>45165831</v>
      </c>
      <c r="ES71" s="700">
        <f t="shared" si="94"/>
        <v>52582.116698999998</v>
      </c>
      <c r="ET71" s="700">
        <f t="shared" si="95"/>
        <v>51357.974402999993</v>
      </c>
      <c r="EU71" s="700">
        <f t="shared" si="96"/>
        <v>1224.142296</v>
      </c>
      <c r="EV71" s="700">
        <f t="shared" si="97"/>
        <v>48011.278352999994</v>
      </c>
      <c r="EZ71" s="730" t="s">
        <v>553</v>
      </c>
      <c r="FA71" s="731" t="s">
        <v>393</v>
      </c>
      <c r="FB71" s="420">
        <v>160163</v>
      </c>
      <c r="FC71" s="426">
        <f t="shared" si="98"/>
        <v>160.16300000000001</v>
      </c>
      <c r="FG71" s="735" t="s">
        <v>355</v>
      </c>
      <c r="FH71" s="734" t="s">
        <v>381</v>
      </c>
      <c r="FI71" s="732">
        <v>58077128</v>
      </c>
      <c r="FJ71" s="733">
        <v>57206358</v>
      </c>
      <c r="FK71" s="733">
        <v>870770</v>
      </c>
      <c r="FL71" s="733">
        <v>49285819</v>
      </c>
      <c r="FM71" s="426">
        <f t="shared" si="99"/>
        <v>58077.127999999997</v>
      </c>
      <c r="FN71" s="426">
        <f t="shared" si="100"/>
        <v>57206.358</v>
      </c>
      <c r="FO71" s="426">
        <f t="shared" si="101"/>
        <v>870.77</v>
      </c>
      <c r="FP71" s="426">
        <f t="shared" si="102"/>
        <v>49285.819000000003</v>
      </c>
      <c r="FT71" s="427" t="s">
        <v>553</v>
      </c>
      <c r="FU71" s="93" t="s">
        <v>385</v>
      </c>
      <c r="FV71" s="94">
        <v>447440</v>
      </c>
      <c r="FW71" s="94">
        <v>119000</v>
      </c>
      <c r="FX71" s="94">
        <v>0</v>
      </c>
      <c r="FY71" s="426">
        <f t="shared" si="103"/>
        <v>447.44</v>
      </c>
      <c r="FZ71" s="426">
        <f t="shared" si="104"/>
        <v>119</v>
      </c>
      <c r="GA71" s="426">
        <f t="shared" si="105"/>
        <v>0</v>
      </c>
      <c r="GG71" s="762" t="s">
        <v>355</v>
      </c>
      <c r="GH71" s="763" t="s">
        <v>381</v>
      </c>
      <c r="GI71" s="764">
        <v>70148950</v>
      </c>
      <c r="GJ71" s="764">
        <v>58586426</v>
      </c>
      <c r="GK71" s="764">
        <v>11562524</v>
      </c>
      <c r="GL71" s="764">
        <v>52078556</v>
      </c>
      <c r="GM71" s="764">
        <v>6507870</v>
      </c>
      <c r="GN71" s="426">
        <f t="shared" si="106"/>
        <v>70148.95</v>
      </c>
      <c r="GO71" s="426">
        <f t="shared" si="107"/>
        <v>58586.425999999999</v>
      </c>
      <c r="GP71" s="426">
        <f t="shared" si="108"/>
        <v>11562.523999999999</v>
      </c>
      <c r="GQ71" s="426">
        <f t="shared" si="109"/>
        <v>52078.555999999997</v>
      </c>
      <c r="GR71" s="426">
        <f t="shared" si="110"/>
        <v>6507.87</v>
      </c>
      <c r="GV71" s="780" t="s">
        <v>593</v>
      </c>
      <c r="GW71" s="779">
        <v>869521</v>
      </c>
      <c r="GX71" s="426">
        <f t="shared" si="111"/>
        <v>869.52099999999996</v>
      </c>
      <c r="HB71" s="782" t="s">
        <v>588</v>
      </c>
      <c r="HC71" s="764">
        <v>15882636</v>
      </c>
      <c r="HD71" s="764">
        <v>15882636</v>
      </c>
      <c r="HE71" s="764">
        <v>0</v>
      </c>
      <c r="HF71" s="764">
        <v>15882636</v>
      </c>
      <c r="HG71" s="426">
        <f t="shared" si="112"/>
        <v>15882.636</v>
      </c>
      <c r="HH71" s="426">
        <f t="shared" si="113"/>
        <v>0</v>
      </c>
      <c r="HI71" s="426">
        <f t="shared" si="114"/>
        <v>15882.636</v>
      </c>
      <c r="HJ71" s="426">
        <f t="shared" si="115"/>
        <v>0</v>
      </c>
      <c r="HK71" s="426">
        <f t="shared" si="116"/>
        <v>15882.636</v>
      </c>
    </row>
    <row r="72" spans="1:219" ht="15" customHeight="1" x14ac:dyDescent="0.3">
      <c r="A72" s="287" t="s">
        <v>553</v>
      </c>
      <c r="B72" s="288" t="s">
        <v>593</v>
      </c>
      <c r="C72" s="289">
        <v>4000000</v>
      </c>
      <c r="D72" s="290">
        <f t="shared" si="61"/>
        <v>4252</v>
      </c>
      <c r="E72" s="289">
        <v>85680</v>
      </c>
      <c r="F72" s="289">
        <f t="shared" si="62"/>
        <v>91.077840000000009</v>
      </c>
      <c r="J72" s="291" t="s">
        <v>553</v>
      </c>
      <c r="K72" s="292" t="s">
        <v>399</v>
      </c>
      <c r="L72" s="293">
        <v>0</v>
      </c>
      <c r="M72" s="293">
        <f t="shared" si="63"/>
        <v>0</v>
      </c>
      <c r="Q72" s="291" t="s">
        <v>553</v>
      </c>
      <c r="R72" s="292" t="s">
        <v>592</v>
      </c>
      <c r="S72" s="293">
        <v>500000</v>
      </c>
      <c r="T72" s="293">
        <v>0</v>
      </c>
      <c r="U72" s="293">
        <f t="shared" si="64"/>
        <v>531.5</v>
      </c>
      <c r="V72" s="293">
        <f t="shared" si="65"/>
        <v>0</v>
      </c>
      <c r="Z72" s="288" t="s">
        <v>392</v>
      </c>
      <c r="AA72" s="289">
        <v>5465146</v>
      </c>
      <c r="AB72" s="289">
        <f t="shared" si="66"/>
        <v>5809.4501979999995</v>
      </c>
      <c r="AF72" s="428" t="s">
        <v>591</v>
      </c>
      <c r="AG72" s="429">
        <v>5400000</v>
      </c>
      <c r="AH72" s="429">
        <f t="shared" si="60"/>
        <v>5740.2</v>
      </c>
      <c r="AI72" s="289">
        <v>0</v>
      </c>
      <c r="AL72" s="426"/>
      <c r="AN72" s="423" t="s">
        <v>355</v>
      </c>
      <c r="AO72" s="424" t="s">
        <v>387</v>
      </c>
      <c r="AP72" s="425">
        <v>14001166</v>
      </c>
      <c r="AQ72" s="425">
        <f t="shared" si="67"/>
        <v>14883.239457999998</v>
      </c>
      <c r="AU72" s="423" t="s">
        <v>553</v>
      </c>
      <c r="AV72" s="424" t="s">
        <v>591</v>
      </c>
      <c r="AW72" s="425">
        <v>5400000</v>
      </c>
      <c r="AX72" s="425">
        <v>1349650</v>
      </c>
      <c r="AY72" s="425">
        <v>4050350</v>
      </c>
      <c r="AZ72" s="426">
        <f t="shared" si="68"/>
        <v>5740.2</v>
      </c>
      <c r="BA72" s="426">
        <f t="shared" si="69"/>
        <v>1434.67795</v>
      </c>
      <c r="BB72" s="426">
        <f t="shared" si="70"/>
        <v>4305.5220499999996</v>
      </c>
      <c r="BF72" s="423" t="s">
        <v>553</v>
      </c>
      <c r="BG72" s="424" t="s">
        <v>600</v>
      </c>
      <c r="BH72" s="425">
        <v>0</v>
      </c>
      <c r="BI72" s="426">
        <f t="shared" si="71"/>
        <v>0</v>
      </c>
      <c r="BM72" s="427" t="s">
        <v>553</v>
      </c>
      <c r="BN72" s="93" t="s">
        <v>590</v>
      </c>
      <c r="BO72" s="94">
        <v>0</v>
      </c>
      <c r="BP72" s="94">
        <v>0</v>
      </c>
      <c r="BQ72" s="94">
        <v>0</v>
      </c>
      <c r="BR72" s="94">
        <v>0</v>
      </c>
      <c r="BS72" s="94">
        <v>0</v>
      </c>
      <c r="BT72" s="426">
        <f t="shared" si="72"/>
        <v>0</v>
      </c>
      <c r="BU72" s="426">
        <f t="shared" si="73"/>
        <v>0</v>
      </c>
      <c r="BV72" s="426">
        <f t="shared" si="74"/>
        <v>0</v>
      </c>
      <c r="BW72" s="426">
        <f t="shared" si="75"/>
        <v>0</v>
      </c>
      <c r="CA72" s="93" t="s">
        <v>388</v>
      </c>
      <c r="CB72" s="426">
        <v>939000</v>
      </c>
      <c r="CC72" s="426">
        <f t="shared" si="76"/>
        <v>998.15699999999993</v>
      </c>
      <c r="CG72" s="424" t="s">
        <v>384</v>
      </c>
      <c r="CH72" s="425">
        <v>0</v>
      </c>
      <c r="CI72" s="425">
        <v>10311582</v>
      </c>
      <c r="CJ72" s="425">
        <v>-10311582</v>
      </c>
      <c r="CK72" s="425">
        <v>10088969</v>
      </c>
      <c r="CL72" s="425">
        <v>222613</v>
      </c>
      <c r="CM72" s="425">
        <v>10088969</v>
      </c>
      <c r="CN72" s="425">
        <f t="shared" si="77"/>
        <v>10961.211665999999</v>
      </c>
      <c r="CO72" s="425">
        <f t="shared" si="78"/>
        <v>10724.574046999998</v>
      </c>
      <c r="CP72" s="425">
        <f t="shared" si="79"/>
        <v>236.637619</v>
      </c>
      <c r="CQ72" s="425">
        <f t="shared" si="80"/>
        <v>10724.574046999998</v>
      </c>
      <c r="CU72" s="424" t="s">
        <v>390</v>
      </c>
      <c r="CV72" s="425">
        <v>517805</v>
      </c>
      <c r="CW72" s="425">
        <v>1174191</v>
      </c>
      <c r="CX72" s="426">
        <f t="shared" si="81"/>
        <v>550.42671499999994</v>
      </c>
      <c r="CY72" s="426">
        <f t="shared" si="82"/>
        <v>1248.165033</v>
      </c>
      <c r="DB72" s="568" t="s">
        <v>384</v>
      </c>
      <c r="DC72" s="569">
        <v>17219930</v>
      </c>
      <c r="DD72" s="569">
        <v>16996047</v>
      </c>
      <c r="DE72" s="569">
        <v>223883</v>
      </c>
      <c r="DF72" s="569">
        <v>10107699</v>
      </c>
      <c r="DG72" s="570">
        <f t="shared" si="83"/>
        <v>18304.78559</v>
      </c>
      <c r="DH72" s="570">
        <f t="shared" si="84"/>
        <v>18066.797960999997</v>
      </c>
      <c r="DI72" s="570">
        <f t="shared" si="85"/>
        <v>237.987629</v>
      </c>
      <c r="DJ72" s="570">
        <f t="shared" si="86"/>
        <v>10744.484037</v>
      </c>
      <c r="DN72" s="93" t="s">
        <v>395</v>
      </c>
      <c r="DO72" s="93">
        <v>9662354</v>
      </c>
      <c r="DP72" s="93">
        <v>10262411</v>
      </c>
      <c r="DQ72" s="626">
        <f t="shared" si="87"/>
        <v>10271.082301999999</v>
      </c>
      <c r="DR72" s="626">
        <f t="shared" si="88"/>
        <v>10908.942892999999</v>
      </c>
      <c r="DV72" s="93" t="s">
        <v>589</v>
      </c>
      <c r="DW72" s="94">
        <v>5541902</v>
      </c>
      <c r="DX72" s="94">
        <v>5541902</v>
      </c>
      <c r="DY72" s="94">
        <v>0</v>
      </c>
      <c r="DZ72" s="94">
        <v>5424192</v>
      </c>
      <c r="EA72" s="94">
        <f t="shared" si="89"/>
        <v>5891.0418259999997</v>
      </c>
      <c r="EB72" s="94">
        <f t="shared" si="90"/>
        <v>5891.0418259999997</v>
      </c>
      <c r="EC72" s="94">
        <f t="shared" si="91"/>
        <v>0</v>
      </c>
      <c r="ED72" s="94">
        <f t="shared" si="92"/>
        <v>5765.9160959999999</v>
      </c>
      <c r="EH72" s="420" t="s">
        <v>390</v>
      </c>
      <c r="EI72" s="420">
        <v>0</v>
      </c>
      <c r="EJ72" s="426">
        <f t="shared" si="93"/>
        <v>0</v>
      </c>
      <c r="EN72" s="420" t="s">
        <v>382</v>
      </c>
      <c r="EO72" s="426">
        <v>5146219</v>
      </c>
      <c r="EP72" s="426">
        <v>5146218</v>
      </c>
      <c r="EQ72" s="426">
        <v>1</v>
      </c>
      <c r="ER72" s="426">
        <v>4475058</v>
      </c>
      <c r="ES72" s="700">
        <f t="shared" si="94"/>
        <v>5470.430797</v>
      </c>
      <c r="ET72" s="700">
        <f t="shared" si="95"/>
        <v>5470.4297339999994</v>
      </c>
      <c r="EU72" s="700">
        <f t="shared" si="96"/>
        <v>1.0629999999999999E-3</v>
      </c>
      <c r="EV72" s="700">
        <f t="shared" si="97"/>
        <v>4756.9866539999994</v>
      </c>
      <c r="EZ72" s="730" t="s">
        <v>553</v>
      </c>
      <c r="FA72" s="731" t="s">
        <v>394</v>
      </c>
      <c r="FB72" s="420">
        <v>479808</v>
      </c>
      <c r="FC72" s="426">
        <f t="shared" si="98"/>
        <v>479.80799999999999</v>
      </c>
      <c r="FG72" s="735" t="s">
        <v>553</v>
      </c>
      <c r="FH72" s="734" t="s">
        <v>382</v>
      </c>
      <c r="FI72" s="732">
        <v>9855644</v>
      </c>
      <c r="FJ72" s="733">
        <v>9855643</v>
      </c>
      <c r="FK72" s="733">
        <v>1</v>
      </c>
      <c r="FL72" s="733">
        <v>4724601</v>
      </c>
      <c r="FM72" s="426">
        <f t="shared" si="99"/>
        <v>9855.6440000000002</v>
      </c>
      <c r="FN72" s="426">
        <f t="shared" si="100"/>
        <v>9855.643</v>
      </c>
      <c r="FO72" s="426">
        <f t="shared" si="101"/>
        <v>1E-3</v>
      </c>
      <c r="FP72" s="426">
        <f t="shared" si="102"/>
        <v>4724.6009999999997</v>
      </c>
      <c r="FT72" s="427" t="s">
        <v>355</v>
      </c>
      <c r="FU72" s="93" t="s">
        <v>387</v>
      </c>
      <c r="FV72" s="94">
        <v>-4293720</v>
      </c>
      <c r="FW72" s="94">
        <v>-638342</v>
      </c>
      <c r="FX72" s="94">
        <v>10214295</v>
      </c>
      <c r="FY72" s="426">
        <f t="shared" si="103"/>
        <v>-4293.72</v>
      </c>
      <c r="FZ72" s="426">
        <f t="shared" si="104"/>
        <v>-638.34199999999998</v>
      </c>
      <c r="GA72" s="426">
        <f t="shared" si="105"/>
        <v>10214.295</v>
      </c>
      <c r="GG72" s="762" t="s">
        <v>553</v>
      </c>
      <c r="GH72" s="763" t="s">
        <v>382</v>
      </c>
      <c r="GI72" s="764">
        <v>9865444</v>
      </c>
      <c r="GJ72" s="764">
        <v>9865443</v>
      </c>
      <c r="GK72" s="764">
        <v>1</v>
      </c>
      <c r="GL72" s="764">
        <v>5405561</v>
      </c>
      <c r="GM72" s="764">
        <v>4459882</v>
      </c>
      <c r="GN72" s="426">
        <f t="shared" si="106"/>
        <v>9865.4439999999995</v>
      </c>
      <c r="GO72" s="426">
        <f t="shared" si="107"/>
        <v>9865.4429999999993</v>
      </c>
      <c r="GP72" s="426">
        <f t="shared" si="108"/>
        <v>1E-3</v>
      </c>
      <c r="GQ72" s="426">
        <f t="shared" si="109"/>
        <v>5405.5609999999997</v>
      </c>
      <c r="GR72" s="426">
        <f t="shared" si="110"/>
        <v>4459.8819999999996</v>
      </c>
      <c r="GV72" s="780" t="s">
        <v>594</v>
      </c>
      <c r="GW72" s="779">
        <v>558007</v>
      </c>
      <c r="GX72" s="426">
        <f t="shared" si="111"/>
        <v>558.00699999999995</v>
      </c>
      <c r="HB72" s="782" t="s">
        <v>380</v>
      </c>
      <c r="HC72" s="764">
        <v>2864130</v>
      </c>
      <c r="HD72" s="764">
        <v>2864130</v>
      </c>
      <c r="HE72" s="764">
        <v>0</v>
      </c>
      <c r="HF72" s="764">
        <v>2864130</v>
      </c>
      <c r="HG72" s="426">
        <f t="shared" si="112"/>
        <v>2864.13</v>
      </c>
      <c r="HH72" s="426">
        <f t="shared" si="113"/>
        <v>0</v>
      </c>
      <c r="HI72" s="426">
        <f t="shared" si="114"/>
        <v>2864.13</v>
      </c>
      <c r="HJ72" s="426">
        <f t="shared" si="115"/>
        <v>0</v>
      </c>
      <c r="HK72" s="426">
        <f t="shared" si="116"/>
        <v>2864.13</v>
      </c>
    </row>
    <row r="73" spans="1:219" ht="15" customHeight="1" x14ac:dyDescent="0.3">
      <c r="A73" s="287" t="s">
        <v>553</v>
      </c>
      <c r="B73" s="288" t="s">
        <v>594</v>
      </c>
      <c r="C73" s="289">
        <v>500000</v>
      </c>
      <c r="D73" s="290">
        <f t="shared" si="61"/>
        <v>531.5</v>
      </c>
      <c r="E73" s="289">
        <v>6580</v>
      </c>
      <c r="F73" s="289">
        <f t="shared" si="62"/>
        <v>6.9945399999999998</v>
      </c>
      <c r="J73" s="291" t="s">
        <v>355</v>
      </c>
      <c r="K73" s="292" t="s">
        <v>400</v>
      </c>
      <c r="L73" s="293">
        <v>13838697</v>
      </c>
      <c r="M73" s="293">
        <f t="shared" si="63"/>
        <v>14710.534910999999</v>
      </c>
      <c r="Q73" s="291" t="s">
        <v>553</v>
      </c>
      <c r="R73" s="292" t="s">
        <v>593</v>
      </c>
      <c r="S73" s="293">
        <v>4000000</v>
      </c>
      <c r="T73" s="293">
        <v>85680</v>
      </c>
      <c r="U73" s="293">
        <f t="shared" si="64"/>
        <v>4252</v>
      </c>
      <c r="V73" s="293">
        <f t="shared" si="65"/>
        <v>91.077840000000009</v>
      </c>
      <c r="Z73" s="288" t="s">
        <v>393</v>
      </c>
      <c r="AA73" s="289">
        <v>124738</v>
      </c>
      <c r="AB73" s="289">
        <f t="shared" si="66"/>
        <v>132.59649399999998</v>
      </c>
      <c r="AF73" s="428" t="s">
        <v>592</v>
      </c>
      <c r="AG73" s="429">
        <v>500000</v>
      </c>
      <c r="AH73" s="429">
        <f t="shared" si="60"/>
        <v>531.5</v>
      </c>
      <c r="AI73" s="289">
        <v>0</v>
      </c>
      <c r="AL73" s="426"/>
      <c r="AN73" s="423" t="s">
        <v>553</v>
      </c>
      <c r="AO73" s="424" t="s">
        <v>388</v>
      </c>
      <c r="AP73" s="425">
        <v>1194500</v>
      </c>
      <c r="AQ73" s="425">
        <f t="shared" si="67"/>
        <v>1269.7535</v>
      </c>
      <c r="AU73" s="423" t="s">
        <v>553</v>
      </c>
      <c r="AV73" s="424" t="s">
        <v>592</v>
      </c>
      <c r="AW73" s="425">
        <v>500000</v>
      </c>
      <c r="AX73" s="425">
        <v>19140</v>
      </c>
      <c r="AY73" s="425">
        <v>480860</v>
      </c>
      <c r="AZ73" s="426">
        <f t="shared" si="68"/>
        <v>531.5</v>
      </c>
      <c r="BA73" s="426">
        <f t="shared" si="69"/>
        <v>20.34582</v>
      </c>
      <c r="BB73" s="426">
        <f t="shared" si="70"/>
        <v>511.15418</v>
      </c>
      <c r="BF73" s="423" t="s">
        <v>355</v>
      </c>
      <c r="BG73" s="424" t="s">
        <v>397</v>
      </c>
      <c r="BH73" s="425">
        <v>917597</v>
      </c>
      <c r="BI73" s="426">
        <f t="shared" si="71"/>
        <v>975.40561099999991</v>
      </c>
      <c r="BM73" s="427" t="s">
        <v>553</v>
      </c>
      <c r="BN73" s="93" t="s">
        <v>591</v>
      </c>
      <c r="BO73" s="94">
        <v>0</v>
      </c>
      <c r="BP73" s="94">
        <v>4894535</v>
      </c>
      <c r="BQ73" s="94">
        <v>1378640</v>
      </c>
      <c r="BR73" s="94">
        <v>3515895</v>
      </c>
      <c r="BS73" s="94">
        <v>1378640</v>
      </c>
      <c r="BT73" s="426">
        <f t="shared" si="72"/>
        <v>5202.8907049999998</v>
      </c>
      <c r="BU73" s="426">
        <f t="shared" si="73"/>
        <v>1465.49432</v>
      </c>
      <c r="BV73" s="426">
        <f t="shared" si="74"/>
        <v>3737.396385</v>
      </c>
      <c r="BW73" s="426">
        <f t="shared" si="75"/>
        <v>1465.49432</v>
      </c>
      <c r="CA73" s="93" t="s">
        <v>389</v>
      </c>
      <c r="CB73" s="426">
        <v>185923</v>
      </c>
      <c r="CC73" s="426">
        <f t="shared" si="76"/>
        <v>197.63614899999999</v>
      </c>
      <c r="CG73" s="424" t="s">
        <v>590</v>
      </c>
      <c r="CH73" s="425">
        <v>0</v>
      </c>
      <c r="CI73" s="425">
        <v>0</v>
      </c>
      <c r="CJ73" s="425">
        <v>0</v>
      </c>
      <c r="CK73" s="425">
        <v>0</v>
      </c>
      <c r="CL73" s="425">
        <v>0</v>
      </c>
      <c r="CM73" s="425">
        <v>0</v>
      </c>
      <c r="CN73" s="425">
        <f t="shared" si="77"/>
        <v>0</v>
      </c>
      <c r="CO73" s="425">
        <f t="shared" si="78"/>
        <v>0</v>
      </c>
      <c r="CP73" s="425">
        <f t="shared" si="79"/>
        <v>0</v>
      </c>
      <c r="CQ73" s="425">
        <f t="shared" si="80"/>
        <v>0</v>
      </c>
      <c r="CU73" s="424" t="s">
        <v>391</v>
      </c>
      <c r="CV73" s="425">
        <v>40000</v>
      </c>
      <c r="CW73" s="425">
        <v>520187</v>
      </c>
      <c r="CX73" s="426">
        <f t="shared" si="81"/>
        <v>42.519999999999996</v>
      </c>
      <c r="CY73" s="426">
        <f t="shared" si="82"/>
        <v>552.95878099999993</v>
      </c>
      <c r="DB73" s="568" t="s">
        <v>590</v>
      </c>
      <c r="DC73" s="569">
        <v>0</v>
      </c>
      <c r="DD73" s="569">
        <v>0</v>
      </c>
      <c r="DE73" s="569">
        <v>0</v>
      </c>
      <c r="DF73" s="569">
        <v>0</v>
      </c>
      <c r="DG73" s="570">
        <f t="shared" si="83"/>
        <v>0</v>
      </c>
      <c r="DH73" s="570">
        <f t="shared" si="84"/>
        <v>0</v>
      </c>
      <c r="DI73" s="570">
        <f t="shared" si="85"/>
        <v>0</v>
      </c>
      <c r="DJ73" s="570">
        <f t="shared" si="86"/>
        <v>0</v>
      </c>
      <c r="DN73" s="93" t="s">
        <v>596</v>
      </c>
      <c r="DO73" s="93">
        <v>2036864</v>
      </c>
      <c r="DP73" s="93">
        <v>2332533</v>
      </c>
      <c r="DQ73" s="626">
        <f t="shared" si="87"/>
        <v>2165.186432</v>
      </c>
      <c r="DR73" s="626">
        <f t="shared" si="88"/>
        <v>2479.482579</v>
      </c>
      <c r="DV73" s="93" t="s">
        <v>384</v>
      </c>
      <c r="DW73" s="94">
        <v>16996047</v>
      </c>
      <c r="DX73" s="94">
        <v>16996047</v>
      </c>
      <c r="DY73" s="94">
        <v>0</v>
      </c>
      <c r="DZ73" s="94">
        <v>10107699</v>
      </c>
      <c r="EA73" s="94">
        <f t="shared" si="89"/>
        <v>18066.797960999997</v>
      </c>
      <c r="EB73" s="94">
        <f t="shared" si="90"/>
        <v>18066.797960999997</v>
      </c>
      <c r="EC73" s="94">
        <f t="shared" si="91"/>
        <v>0</v>
      </c>
      <c r="ED73" s="94">
        <f t="shared" si="92"/>
        <v>10744.484037</v>
      </c>
      <c r="EH73" s="420" t="s">
        <v>391</v>
      </c>
      <c r="EI73" s="420">
        <v>1024495</v>
      </c>
      <c r="EJ73" s="426">
        <f t="shared" si="93"/>
        <v>1089.0381849999999</v>
      </c>
      <c r="EN73" s="420" t="s">
        <v>383</v>
      </c>
      <c r="EO73" s="426">
        <v>216090</v>
      </c>
      <c r="EP73" s="426">
        <v>216090</v>
      </c>
      <c r="EQ73" s="426">
        <v>0</v>
      </c>
      <c r="ER73" s="426">
        <v>216080</v>
      </c>
      <c r="ES73" s="700">
        <f t="shared" si="94"/>
        <v>229.70366999999999</v>
      </c>
      <c r="ET73" s="700">
        <f t="shared" si="95"/>
        <v>229.70366999999999</v>
      </c>
      <c r="EU73" s="700">
        <f t="shared" si="96"/>
        <v>0</v>
      </c>
      <c r="EV73" s="700">
        <f t="shared" si="97"/>
        <v>229.69304</v>
      </c>
      <c r="EZ73" s="730" t="s">
        <v>553</v>
      </c>
      <c r="FA73" s="731" t="s">
        <v>595</v>
      </c>
      <c r="FB73" s="420">
        <v>2885929</v>
      </c>
      <c r="FC73" s="426">
        <f t="shared" si="98"/>
        <v>2885.9290000000001</v>
      </c>
      <c r="FG73" s="735" t="s">
        <v>553</v>
      </c>
      <c r="FH73" s="734" t="s">
        <v>383</v>
      </c>
      <c r="FI73" s="732">
        <v>216090</v>
      </c>
      <c r="FJ73" s="733">
        <v>216090</v>
      </c>
      <c r="FK73" s="733">
        <v>0</v>
      </c>
      <c r="FL73" s="733">
        <v>216080</v>
      </c>
      <c r="FM73" s="426">
        <f t="shared" si="99"/>
        <v>216.09</v>
      </c>
      <c r="FN73" s="426">
        <f t="shared" si="100"/>
        <v>216.09</v>
      </c>
      <c r="FO73" s="426">
        <f t="shared" si="101"/>
        <v>0</v>
      </c>
      <c r="FP73" s="426">
        <f t="shared" si="102"/>
        <v>216.08</v>
      </c>
      <c r="FT73" s="427" t="s">
        <v>553</v>
      </c>
      <c r="FU73" s="93" t="s">
        <v>388</v>
      </c>
      <c r="FV73" s="94">
        <v>551500</v>
      </c>
      <c r="FW73" s="94">
        <v>551500</v>
      </c>
      <c r="FX73" s="94">
        <v>631600</v>
      </c>
      <c r="FY73" s="426">
        <f t="shared" si="103"/>
        <v>551.5</v>
      </c>
      <c r="FZ73" s="426">
        <f t="shared" si="104"/>
        <v>551.5</v>
      </c>
      <c r="GA73" s="426">
        <f t="shared" si="105"/>
        <v>631.6</v>
      </c>
      <c r="GG73" s="762" t="s">
        <v>553</v>
      </c>
      <c r="GH73" s="763" t="s">
        <v>383</v>
      </c>
      <c r="GI73" s="764">
        <v>216080</v>
      </c>
      <c r="GJ73" s="764">
        <v>216080</v>
      </c>
      <c r="GK73" s="764">
        <v>0</v>
      </c>
      <c r="GL73" s="764">
        <v>216080</v>
      </c>
      <c r="GM73" s="764">
        <v>0</v>
      </c>
      <c r="GN73" s="426">
        <f t="shared" si="106"/>
        <v>216.08</v>
      </c>
      <c r="GO73" s="426">
        <f t="shared" si="107"/>
        <v>216.08</v>
      </c>
      <c r="GP73" s="426">
        <f t="shared" si="108"/>
        <v>0</v>
      </c>
      <c r="GQ73" s="426">
        <f t="shared" si="109"/>
        <v>216.08</v>
      </c>
      <c r="GR73" s="426">
        <f t="shared" si="110"/>
        <v>0</v>
      </c>
      <c r="GV73" s="780" t="s">
        <v>385</v>
      </c>
      <c r="GW73" s="779">
        <v>662390</v>
      </c>
      <c r="GX73" s="426">
        <f t="shared" si="111"/>
        <v>662.39</v>
      </c>
      <c r="HB73" s="782" t="s">
        <v>502</v>
      </c>
      <c r="HC73" s="764">
        <v>60000000</v>
      </c>
      <c r="HD73" s="764">
        <v>60000000</v>
      </c>
      <c r="HE73" s="764">
        <v>0</v>
      </c>
      <c r="HF73" s="764">
        <v>60000000</v>
      </c>
      <c r="HG73" s="426">
        <f t="shared" si="112"/>
        <v>60000</v>
      </c>
      <c r="HH73" s="426">
        <f t="shared" si="113"/>
        <v>0</v>
      </c>
      <c r="HI73" s="426">
        <f t="shared" si="114"/>
        <v>60000</v>
      </c>
      <c r="HJ73" s="426">
        <f t="shared" si="115"/>
        <v>0</v>
      </c>
      <c r="HK73" s="426">
        <f t="shared" si="116"/>
        <v>60000</v>
      </c>
    </row>
    <row r="74" spans="1:219" ht="15" customHeight="1" x14ac:dyDescent="0.3">
      <c r="A74" s="287" t="s">
        <v>553</v>
      </c>
      <c r="B74" s="288" t="s">
        <v>385</v>
      </c>
      <c r="C74" s="289">
        <v>1089845</v>
      </c>
      <c r="D74" s="290">
        <f t="shared" si="61"/>
        <v>1158.5052349999999</v>
      </c>
      <c r="E74" s="289">
        <v>0</v>
      </c>
      <c r="F74" s="289">
        <f t="shared" si="62"/>
        <v>0</v>
      </c>
      <c r="J74" s="291" t="s">
        <v>553</v>
      </c>
      <c r="K74" s="292" t="s">
        <v>401</v>
      </c>
      <c r="L74" s="293">
        <v>6656001</v>
      </c>
      <c r="M74" s="293">
        <f t="shared" si="63"/>
        <v>7075.3290630000001</v>
      </c>
      <c r="Q74" s="291" t="s">
        <v>553</v>
      </c>
      <c r="R74" s="292" t="s">
        <v>594</v>
      </c>
      <c r="S74" s="293">
        <v>273376</v>
      </c>
      <c r="T74" s="293">
        <v>6580</v>
      </c>
      <c r="U74" s="293">
        <f t="shared" si="64"/>
        <v>290.59868799999998</v>
      </c>
      <c r="V74" s="293">
        <f t="shared" si="65"/>
        <v>6.9945399999999998</v>
      </c>
      <c r="Z74" s="288" t="s">
        <v>394</v>
      </c>
      <c r="AA74" s="289">
        <v>479808</v>
      </c>
      <c r="AB74" s="289">
        <f t="shared" si="66"/>
        <v>510.03590399999996</v>
      </c>
      <c r="AF74" s="428" t="s">
        <v>593</v>
      </c>
      <c r="AG74" s="429">
        <v>4079000</v>
      </c>
      <c r="AH74" s="429">
        <f t="shared" si="60"/>
        <v>4335.9769999999999</v>
      </c>
      <c r="AI74" s="289">
        <v>634636</v>
      </c>
      <c r="AL74" s="426"/>
      <c r="AN74" s="423" t="s">
        <v>553</v>
      </c>
      <c r="AO74" s="424" t="s">
        <v>389</v>
      </c>
      <c r="AP74" s="425">
        <v>2165800</v>
      </c>
      <c r="AQ74" s="425">
        <f t="shared" si="67"/>
        <v>2302.2454000000002</v>
      </c>
      <c r="AU74" s="423" t="s">
        <v>553</v>
      </c>
      <c r="AV74" s="424" t="s">
        <v>593</v>
      </c>
      <c r="AW74" s="425">
        <v>4079000</v>
      </c>
      <c r="AX74" s="425">
        <v>634636</v>
      </c>
      <c r="AY74" s="425">
        <v>3444364</v>
      </c>
      <c r="AZ74" s="426">
        <f t="shared" si="68"/>
        <v>4335.9769999999999</v>
      </c>
      <c r="BA74" s="426">
        <f t="shared" si="69"/>
        <v>674.61806799999988</v>
      </c>
      <c r="BB74" s="426">
        <f t="shared" si="70"/>
        <v>3661.3589319999996</v>
      </c>
      <c r="BF74" s="423" t="s">
        <v>553</v>
      </c>
      <c r="BG74" s="424" t="s">
        <v>398</v>
      </c>
      <c r="BH74" s="425">
        <v>917597</v>
      </c>
      <c r="BI74" s="426">
        <f t="shared" si="71"/>
        <v>975.40561099999991</v>
      </c>
      <c r="BM74" s="427" t="s">
        <v>553</v>
      </c>
      <c r="BN74" s="93" t="s">
        <v>592</v>
      </c>
      <c r="BO74" s="94">
        <v>0</v>
      </c>
      <c r="BP74" s="94">
        <v>416701</v>
      </c>
      <c r="BQ74" s="94">
        <v>19140</v>
      </c>
      <c r="BR74" s="94">
        <v>397561</v>
      </c>
      <c r="BS74" s="94">
        <v>19140</v>
      </c>
      <c r="BT74" s="426">
        <f t="shared" si="72"/>
        <v>442.95316300000002</v>
      </c>
      <c r="BU74" s="426">
        <f t="shared" si="73"/>
        <v>20.34582</v>
      </c>
      <c r="BV74" s="426">
        <f t="shared" si="74"/>
        <v>422.60734299999996</v>
      </c>
      <c r="BW74" s="426">
        <f t="shared" si="75"/>
        <v>20.34582</v>
      </c>
      <c r="CA74" s="93" t="s">
        <v>390</v>
      </c>
      <c r="CB74" s="426">
        <v>126000</v>
      </c>
      <c r="CC74" s="426">
        <f t="shared" si="76"/>
        <v>133.93799999999999</v>
      </c>
      <c r="CG74" s="424" t="s">
        <v>591</v>
      </c>
      <c r="CH74" s="425">
        <v>0</v>
      </c>
      <c r="CI74" s="425">
        <v>2321826</v>
      </c>
      <c r="CJ74" s="425">
        <v>-2321826</v>
      </c>
      <c r="CK74" s="425">
        <v>1391610</v>
      </c>
      <c r="CL74" s="425">
        <v>930216</v>
      </c>
      <c r="CM74" s="425">
        <v>1378640</v>
      </c>
      <c r="CN74" s="425">
        <f t="shared" si="77"/>
        <v>2468.1010379999998</v>
      </c>
      <c r="CO74" s="425">
        <f t="shared" si="78"/>
        <v>1479.2814299999998</v>
      </c>
      <c r="CP74" s="425">
        <f t="shared" si="79"/>
        <v>988.8196079999999</v>
      </c>
      <c r="CQ74" s="425">
        <f t="shared" si="80"/>
        <v>1465.49432</v>
      </c>
      <c r="CU74" s="424" t="s">
        <v>392</v>
      </c>
      <c r="CV74" s="425">
        <v>0</v>
      </c>
      <c r="CW74" s="425">
        <v>5465146</v>
      </c>
      <c r="CX74" s="426">
        <f t="shared" si="81"/>
        <v>0</v>
      </c>
      <c r="CY74" s="426">
        <f t="shared" si="82"/>
        <v>5809.4501979999995</v>
      </c>
      <c r="DB74" s="568" t="s">
        <v>591</v>
      </c>
      <c r="DC74" s="569">
        <v>3411425</v>
      </c>
      <c r="DD74" s="569">
        <v>1391610</v>
      </c>
      <c r="DE74" s="569">
        <v>2019815</v>
      </c>
      <c r="DF74" s="569">
        <v>1378640</v>
      </c>
      <c r="DG74" s="570">
        <f t="shared" si="83"/>
        <v>3626.344775</v>
      </c>
      <c r="DH74" s="570">
        <f t="shared" si="84"/>
        <v>1479.2814299999998</v>
      </c>
      <c r="DI74" s="570">
        <f t="shared" si="85"/>
        <v>2147.063345</v>
      </c>
      <c r="DJ74" s="570">
        <f t="shared" si="86"/>
        <v>1465.49432</v>
      </c>
      <c r="DN74" s="93" t="s">
        <v>597</v>
      </c>
      <c r="DO74" s="93">
        <v>842020</v>
      </c>
      <c r="DP74" s="93">
        <v>1196108</v>
      </c>
      <c r="DQ74" s="626">
        <f t="shared" si="87"/>
        <v>895.06725999999992</v>
      </c>
      <c r="DR74" s="626">
        <f t="shared" si="88"/>
        <v>1271.4628039999998</v>
      </c>
      <c r="DV74" s="93" t="s">
        <v>590</v>
      </c>
      <c r="DW74" s="94">
        <v>0</v>
      </c>
      <c r="DX74" s="94">
        <v>0</v>
      </c>
      <c r="DY74" s="94">
        <v>0</v>
      </c>
      <c r="DZ74" s="94">
        <v>0</v>
      </c>
      <c r="EA74" s="94">
        <f t="shared" si="89"/>
        <v>0</v>
      </c>
      <c r="EB74" s="94">
        <f t="shared" si="90"/>
        <v>0</v>
      </c>
      <c r="EC74" s="94">
        <f t="shared" si="91"/>
        <v>0</v>
      </c>
      <c r="ED74" s="94">
        <f t="shared" si="92"/>
        <v>0</v>
      </c>
      <c r="EH74" s="420" t="s">
        <v>392</v>
      </c>
      <c r="EI74" s="420">
        <v>5465146</v>
      </c>
      <c r="EJ74" s="426">
        <f t="shared" si="93"/>
        <v>5809.4501979999995</v>
      </c>
      <c r="EN74" s="420" t="s">
        <v>882</v>
      </c>
      <c r="EO74" s="426">
        <v>9350</v>
      </c>
      <c r="EP74" s="426">
        <v>9350</v>
      </c>
      <c r="EQ74" s="426">
        <v>0</v>
      </c>
      <c r="ER74" s="426">
        <v>9350</v>
      </c>
      <c r="ES74" s="700">
        <f t="shared" si="94"/>
        <v>9.9390499999999999</v>
      </c>
      <c r="ET74" s="700">
        <f t="shared" si="95"/>
        <v>9.9390499999999999</v>
      </c>
      <c r="EU74" s="700">
        <f t="shared" si="96"/>
        <v>0</v>
      </c>
      <c r="EV74" s="700">
        <f t="shared" si="97"/>
        <v>9.9390499999999999</v>
      </c>
      <c r="EZ74" s="730" t="s">
        <v>355</v>
      </c>
      <c r="FA74" s="731" t="s">
        <v>395</v>
      </c>
      <c r="FB74" s="420">
        <v>1299770</v>
      </c>
      <c r="FC74" s="426">
        <f t="shared" si="98"/>
        <v>1299.77</v>
      </c>
      <c r="FG74" s="735" t="s">
        <v>553</v>
      </c>
      <c r="FH74" s="734" t="s">
        <v>882</v>
      </c>
      <c r="FI74" s="732">
        <v>9350</v>
      </c>
      <c r="FJ74" s="733">
        <v>9350</v>
      </c>
      <c r="FK74" s="733">
        <v>0</v>
      </c>
      <c r="FL74" s="733">
        <v>9350</v>
      </c>
      <c r="FM74" s="426">
        <f t="shared" si="99"/>
        <v>9.35</v>
      </c>
      <c r="FN74" s="426">
        <f t="shared" si="100"/>
        <v>9.35</v>
      </c>
      <c r="FO74" s="426">
        <f t="shared" si="101"/>
        <v>0</v>
      </c>
      <c r="FP74" s="426">
        <f t="shared" si="102"/>
        <v>9.35</v>
      </c>
      <c r="FT74" s="427" t="s">
        <v>553</v>
      </c>
      <c r="FU74" s="93" t="s">
        <v>389</v>
      </c>
      <c r="FV74" s="94">
        <v>-476064</v>
      </c>
      <c r="FW74" s="94">
        <v>-476064</v>
      </c>
      <c r="FX74" s="94">
        <v>243180</v>
      </c>
      <c r="FY74" s="426">
        <f t="shared" si="103"/>
        <v>-476.06400000000002</v>
      </c>
      <c r="FZ74" s="426">
        <f t="shared" si="104"/>
        <v>-476.06400000000002</v>
      </c>
      <c r="GA74" s="426">
        <f t="shared" si="105"/>
        <v>243.18</v>
      </c>
      <c r="GG74" s="762" t="s">
        <v>553</v>
      </c>
      <c r="GH74" s="763" t="s">
        <v>882</v>
      </c>
      <c r="GI74" s="764">
        <v>9350</v>
      </c>
      <c r="GJ74" s="764">
        <v>9350</v>
      </c>
      <c r="GK74" s="764">
        <v>0</v>
      </c>
      <c r="GL74" s="764">
        <v>9350</v>
      </c>
      <c r="GM74" s="764">
        <v>0</v>
      </c>
      <c r="GN74" s="426">
        <f t="shared" si="106"/>
        <v>9.35</v>
      </c>
      <c r="GO74" s="426">
        <f t="shared" si="107"/>
        <v>9.35</v>
      </c>
      <c r="GP74" s="426">
        <f t="shared" si="108"/>
        <v>0</v>
      </c>
      <c r="GQ74" s="426">
        <f t="shared" si="109"/>
        <v>9.35</v>
      </c>
      <c r="GR74" s="426">
        <f t="shared" si="110"/>
        <v>0</v>
      </c>
      <c r="GV74" s="780" t="s">
        <v>386</v>
      </c>
      <c r="GW74" s="779">
        <v>362870</v>
      </c>
      <c r="GX74" s="426">
        <f t="shared" si="111"/>
        <v>362.87</v>
      </c>
      <c r="HB74" s="782" t="s">
        <v>503</v>
      </c>
      <c r="HC74" s="764">
        <v>60000000</v>
      </c>
      <c r="HD74" s="764">
        <v>60000000</v>
      </c>
      <c r="HE74" s="764">
        <v>0</v>
      </c>
      <c r="HF74" s="764">
        <v>60000000</v>
      </c>
      <c r="HG74" s="426">
        <f t="shared" si="112"/>
        <v>60000</v>
      </c>
      <c r="HH74" s="426">
        <f t="shared" si="113"/>
        <v>0</v>
      </c>
      <c r="HI74" s="426">
        <f t="shared" si="114"/>
        <v>60000</v>
      </c>
      <c r="HJ74" s="426">
        <f t="shared" si="115"/>
        <v>0</v>
      </c>
      <c r="HK74" s="426">
        <f t="shared" si="116"/>
        <v>60000</v>
      </c>
    </row>
    <row r="75" spans="1:219" ht="15" customHeight="1" x14ac:dyDescent="0.3">
      <c r="A75" s="287" t="s">
        <v>553</v>
      </c>
      <c r="B75" s="288" t="s">
        <v>386</v>
      </c>
      <c r="C75" s="289">
        <v>783853</v>
      </c>
      <c r="D75" s="290">
        <f t="shared" si="61"/>
        <v>833.23573899999985</v>
      </c>
      <c r="E75" s="289">
        <v>77350</v>
      </c>
      <c r="F75" s="289">
        <f t="shared" si="62"/>
        <v>82.223049999999986</v>
      </c>
      <c r="J75" s="291" t="s">
        <v>553</v>
      </c>
      <c r="K75" s="292" t="s">
        <v>601</v>
      </c>
      <c r="L75" s="293">
        <v>3525035</v>
      </c>
      <c r="M75" s="293">
        <f t="shared" si="63"/>
        <v>3747.1122049999994</v>
      </c>
      <c r="Q75" s="291" t="s">
        <v>553</v>
      </c>
      <c r="R75" s="292" t="s">
        <v>385</v>
      </c>
      <c r="S75" s="293">
        <v>1840529</v>
      </c>
      <c r="T75" s="293">
        <v>89845</v>
      </c>
      <c r="U75" s="293">
        <f t="shared" si="64"/>
        <v>1956.4823269999999</v>
      </c>
      <c r="V75" s="293">
        <f t="shared" si="65"/>
        <v>95.505234999999999</v>
      </c>
      <c r="Z75" s="288" t="s">
        <v>595</v>
      </c>
      <c r="AA75" s="289">
        <v>2885929</v>
      </c>
      <c r="AB75" s="289">
        <f t="shared" si="66"/>
        <v>3067.7425269999999</v>
      </c>
      <c r="AF75" s="428" t="s">
        <v>594</v>
      </c>
      <c r="AG75" s="429">
        <v>273376</v>
      </c>
      <c r="AH75" s="429">
        <f t="shared" si="60"/>
        <v>290.59868799999998</v>
      </c>
      <c r="AI75" s="289">
        <v>6580</v>
      </c>
      <c r="AL75" s="426"/>
      <c r="AN75" s="423" t="s">
        <v>553</v>
      </c>
      <c r="AO75" s="424" t="s">
        <v>391</v>
      </c>
      <c r="AP75" s="425">
        <v>1685266</v>
      </c>
      <c r="AQ75" s="425">
        <f t="shared" si="67"/>
        <v>1791.437758</v>
      </c>
      <c r="AU75" s="423" t="s">
        <v>553</v>
      </c>
      <c r="AV75" s="424" t="s">
        <v>594</v>
      </c>
      <c r="AW75" s="425">
        <v>6580</v>
      </c>
      <c r="AX75" s="425">
        <v>6580</v>
      </c>
      <c r="AY75" s="425">
        <v>0</v>
      </c>
      <c r="AZ75" s="426">
        <f t="shared" si="68"/>
        <v>6.9945399999999998</v>
      </c>
      <c r="BA75" s="426">
        <f t="shared" si="69"/>
        <v>6.9945399999999998</v>
      </c>
      <c r="BB75" s="426">
        <f t="shared" si="70"/>
        <v>0</v>
      </c>
      <c r="BF75" s="423" t="s">
        <v>553</v>
      </c>
      <c r="BG75" s="424" t="s">
        <v>399</v>
      </c>
      <c r="BH75" s="425">
        <v>0</v>
      </c>
      <c r="BI75" s="426">
        <f t="shared" si="71"/>
        <v>0</v>
      </c>
      <c r="BM75" s="427" t="s">
        <v>553</v>
      </c>
      <c r="BN75" s="93" t="s">
        <v>593</v>
      </c>
      <c r="BO75" s="94">
        <v>0</v>
      </c>
      <c r="BP75" s="94">
        <v>1879040</v>
      </c>
      <c r="BQ75" s="94">
        <v>1212229</v>
      </c>
      <c r="BR75" s="94">
        <v>666811</v>
      </c>
      <c r="BS75" s="94">
        <v>1212229</v>
      </c>
      <c r="BT75" s="426">
        <f t="shared" si="72"/>
        <v>1997.4195199999999</v>
      </c>
      <c r="BU75" s="426">
        <f t="shared" si="73"/>
        <v>1288.5994269999999</v>
      </c>
      <c r="BV75" s="426">
        <f t="shared" si="74"/>
        <v>708.82009300000004</v>
      </c>
      <c r="BW75" s="426">
        <f t="shared" si="75"/>
        <v>1288.5994269999999</v>
      </c>
      <c r="CA75" s="93" t="s">
        <v>391</v>
      </c>
      <c r="CB75" s="426">
        <v>1770595</v>
      </c>
      <c r="CC75" s="426">
        <f t="shared" si="76"/>
        <v>1882.1424849999999</v>
      </c>
      <c r="CG75" s="424" t="s">
        <v>592</v>
      </c>
      <c r="CH75" s="425">
        <v>0</v>
      </c>
      <c r="CI75" s="425">
        <v>329704</v>
      </c>
      <c r="CJ75" s="425">
        <v>-329704</v>
      </c>
      <c r="CK75" s="425">
        <v>329704</v>
      </c>
      <c r="CL75" s="425">
        <v>0</v>
      </c>
      <c r="CM75" s="425">
        <v>19140</v>
      </c>
      <c r="CN75" s="425">
        <f t="shared" si="77"/>
        <v>350.47535199999999</v>
      </c>
      <c r="CO75" s="425">
        <f t="shared" si="78"/>
        <v>350.47535199999999</v>
      </c>
      <c r="CP75" s="425">
        <f t="shared" si="79"/>
        <v>0</v>
      </c>
      <c r="CQ75" s="425">
        <f t="shared" si="80"/>
        <v>20.34582</v>
      </c>
      <c r="CU75" s="424" t="s">
        <v>393</v>
      </c>
      <c r="CV75" s="425">
        <v>0</v>
      </c>
      <c r="CW75" s="425">
        <v>0</v>
      </c>
      <c r="CX75" s="426">
        <f t="shared" si="81"/>
        <v>0</v>
      </c>
      <c r="CY75" s="426">
        <f t="shared" si="82"/>
        <v>0</v>
      </c>
      <c r="DB75" s="568" t="s">
        <v>592</v>
      </c>
      <c r="DC75" s="569">
        <v>329704</v>
      </c>
      <c r="DD75" s="569">
        <v>329704</v>
      </c>
      <c r="DE75" s="569">
        <v>0</v>
      </c>
      <c r="DF75" s="569">
        <v>329704</v>
      </c>
      <c r="DG75" s="570">
        <f t="shared" si="83"/>
        <v>350.47535199999999</v>
      </c>
      <c r="DH75" s="570">
        <f t="shared" si="84"/>
        <v>350.47535199999999</v>
      </c>
      <c r="DI75" s="570">
        <f t="shared" si="85"/>
        <v>0</v>
      </c>
      <c r="DJ75" s="570">
        <f t="shared" si="86"/>
        <v>350.47535199999999</v>
      </c>
      <c r="DN75" s="93" t="s">
        <v>598</v>
      </c>
      <c r="DO75" s="93">
        <v>749700</v>
      </c>
      <c r="DP75" s="93">
        <v>0</v>
      </c>
      <c r="DQ75" s="626">
        <f t="shared" si="87"/>
        <v>796.93110000000001</v>
      </c>
      <c r="DR75" s="626">
        <f t="shared" si="88"/>
        <v>0</v>
      </c>
      <c r="DV75" s="93" t="s">
        <v>591</v>
      </c>
      <c r="DW75" s="94">
        <v>2902600</v>
      </c>
      <c r="DX75" s="94">
        <v>1402600</v>
      </c>
      <c r="DY75" s="94">
        <v>1500000</v>
      </c>
      <c r="DZ75" s="94">
        <v>1402600</v>
      </c>
      <c r="EA75" s="94">
        <f t="shared" si="89"/>
        <v>3085.4637999999995</v>
      </c>
      <c r="EB75" s="94">
        <f t="shared" si="90"/>
        <v>1490.9637999999998</v>
      </c>
      <c r="EC75" s="94">
        <f t="shared" si="91"/>
        <v>1594.5</v>
      </c>
      <c r="ED75" s="94">
        <f t="shared" si="92"/>
        <v>1490.9637999999998</v>
      </c>
      <c r="EH75" s="420" t="s">
        <v>393</v>
      </c>
      <c r="EI75" s="420">
        <v>616799</v>
      </c>
      <c r="EJ75" s="426">
        <f t="shared" si="93"/>
        <v>655.65733699999998</v>
      </c>
      <c r="EN75" s="420" t="s">
        <v>589</v>
      </c>
      <c r="EO75" s="426">
        <v>5541902</v>
      </c>
      <c r="EP75" s="426">
        <v>5541902</v>
      </c>
      <c r="EQ75" s="426">
        <v>0</v>
      </c>
      <c r="ER75" s="426">
        <v>5424192</v>
      </c>
      <c r="ES75" s="700">
        <f t="shared" si="94"/>
        <v>5891.0418259999997</v>
      </c>
      <c r="ET75" s="700">
        <f t="shared" si="95"/>
        <v>5891.0418259999997</v>
      </c>
      <c r="EU75" s="700">
        <f t="shared" si="96"/>
        <v>0</v>
      </c>
      <c r="EV75" s="700">
        <f t="shared" si="97"/>
        <v>5765.9160959999999</v>
      </c>
      <c r="EZ75" s="730" t="s">
        <v>553</v>
      </c>
      <c r="FA75" s="731" t="s">
        <v>596</v>
      </c>
      <c r="FB75" s="420">
        <v>0</v>
      </c>
      <c r="FC75" s="426">
        <f t="shared" si="98"/>
        <v>0</v>
      </c>
      <c r="FG75" s="735" t="s">
        <v>553</v>
      </c>
      <c r="FH75" s="734" t="s">
        <v>589</v>
      </c>
      <c r="FI75" s="732">
        <v>6160702</v>
      </c>
      <c r="FJ75" s="733">
        <v>6160702</v>
      </c>
      <c r="FK75" s="733">
        <v>0</v>
      </c>
      <c r="FL75" s="733">
        <v>5424192</v>
      </c>
      <c r="FM75" s="426">
        <f t="shared" si="99"/>
        <v>6160.7020000000002</v>
      </c>
      <c r="FN75" s="426">
        <f t="shared" si="100"/>
        <v>6160.7020000000002</v>
      </c>
      <c r="FO75" s="426">
        <f t="shared" si="101"/>
        <v>0</v>
      </c>
      <c r="FP75" s="426">
        <f t="shared" si="102"/>
        <v>5424.192</v>
      </c>
      <c r="FT75" s="427" t="s">
        <v>553</v>
      </c>
      <c r="FU75" s="93" t="s">
        <v>390</v>
      </c>
      <c r="FV75" s="94">
        <v>540000</v>
      </c>
      <c r="FW75" s="94">
        <v>540000</v>
      </c>
      <c r="FX75" s="94">
        <v>234450</v>
      </c>
      <c r="FY75" s="426">
        <f t="shared" si="103"/>
        <v>540</v>
      </c>
      <c r="FZ75" s="426">
        <f t="shared" si="104"/>
        <v>540</v>
      </c>
      <c r="GA75" s="426">
        <f t="shared" si="105"/>
        <v>234.45</v>
      </c>
      <c r="GG75" s="762" t="s">
        <v>553</v>
      </c>
      <c r="GH75" s="763" t="s">
        <v>589</v>
      </c>
      <c r="GI75" s="764">
        <v>7242992</v>
      </c>
      <c r="GJ75" s="764">
        <v>6042992</v>
      </c>
      <c r="GK75" s="764">
        <v>1200000</v>
      </c>
      <c r="GL75" s="764">
        <v>6042992</v>
      </c>
      <c r="GM75" s="764">
        <v>0</v>
      </c>
      <c r="GN75" s="426">
        <f t="shared" si="106"/>
        <v>7242.9920000000002</v>
      </c>
      <c r="GO75" s="426">
        <f t="shared" si="107"/>
        <v>6042.9920000000002</v>
      </c>
      <c r="GP75" s="426">
        <f t="shared" si="108"/>
        <v>1200</v>
      </c>
      <c r="GQ75" s="426">
        <f t="shared" si="109"/>
        <v>6042.9920000000002</v>
      </c>
      <c r="GR75" s="426">
        <f t="shared" si="110"/>
        <v>0</v>
      </c>
      <c r="GV75" s="780" t="s">
        <v>387</v>
      </c>
      <c r="GW75" s="779">
        <v>11025548</v>
      </c>
      <c r="GX75" s="426">
        <f t="shared" si="111"/>
        <v>11025.548000000001</v>
      </c>
      <c r="HB75" s="782" t="s">
        <v>381</v>
      </c>
      <c r="HC75" s="764">
        <v>70670846</v>
      </c>
      <c r="HD75" s="764">
        <v>70670846</v>
      </c>
      <c r="HE75" s="764">
        <v>0</v>
      </c>
      <c r="HF75" s="764">
        <v>70110846</v>
      </c>
      <c r="HG75" s="426">
        <f t="shared" si="112"/>
        <v>70670.846000000005</v>
      </c>
      <c r="HH75" s="426">
        <f t="shared" si="113"/>
        <v>0</v>
      </c>
      <c r="HI75" s="426">
        <f t="shared" si="114"/>
        <v>70670.846000000005</v>
      </c>
      <c r="HJ75" s="426">
        <f t="shared" si="115"/>
        <v>0</v>
      </c>
      <c r="HK75" s="426">
        <f t="shared" si="116"/>
        <v>70110.846000000005</v>
      </c>
    </row>
    <row r="76" spans="1:219" ht="15" customHeight="1" x14ac:dyDescent="0.3">
      <c r="A76" s="287" t="s">
        <v>355</v>
      </c>
      <c r="B76" s="288" t="s">
        <v>387</v>
      </c>
      <c r="C76" s="289">
        <v>171384600</v>
      </c>
      <c r="D76" s="290">
        <f t="shared" si="61"/>
        <v>182181.82980000001</v>
      </c>
      <c r="E76" s="289">
        <v>10147129</v>
      </c>
      <c r="F76" s="289">
        <f t="shared" si="62"/>
        <v>10786.398127</v>
      </c>
      <c r="J76" s="291" t="s">
        <v>553</v>
      </c>
      <c r="K76" s="292" t="s">
        <v>602</v>
      </c>
      <c r="L76" s="293">
        <v>1133000</v>
      </c>
      <c r="M76" s="293">
        <f t="shared" si="63"/>
        <v>1204.3789999999999</v>
      </c>
      <c r="Q76" s="291" t="s">
        <v>553</v>
      </c>
      <c r="R76" s="292" t="s">
        <v>386</v>
      </c>
      <c r="S76" s="293">
        <v>788014</v>
      </c>
      <c r="T76" s="293">
        <v>81511</v>
      </c>
      <c r="U76" s="293">
        <f t="shared" si="64"/>
        <v>837.65888199999995</v>
      </c>
      <c r="V76" s="293">
        <f t="shared" si="65"/>
        <v>86.646192999999997</v>
      </c>
      <c r="Z76" s="288" t="s">
        <v>395</v>
      </c>
      <c r="AA76" s="289">
        <v>2995962</v>
      </c>
      <c r="AB76" s="289">
        <f t="shared" si="66"/>
        <v>3184.7076059999999</v>
      </c>
      <c r="AF76" s="428" t="s">
        <v>385</v>
      </c>
      <c r="AG76" s="429">
        <v>1840529</v>
      </c>
      <c r="AH76" s="429">
        <f t="shared" si="60"/>
        <v>1956.4823269999999</v>
      </c>
      <c r="AI76" s="289">
        <v>89845</v>
      </c>
      <c r="AL76" s="426"/>
      <c r="AN76" s="423" t="s">
        <v>553</v>
      </c>
      <c r="AO76" s="424" t="s">
        <v>392</v>
      </c>
      <c r="AP76" s="425">
        <v>5465146</v>
      </c>
      <c r="AQ76" s="425">
        <f t="shared" si="67"/>
        <v>5809.4501979999995</v>
      </c>
      <c r="AU76" s="423" t="s">
        <v>553</v>
      </c>
      <c r="AV76" s="424" t="s">
        <v>385</v>
      </c>
      <c r="AW76" s="425">
        <v>1866224</v>
      </c>
      <c r="AX76" s="425">
        <v>1727073</v>
      </c>
      <c r="AY76" s="425">
        <v>139151</v>
      </c>
      <c r="AZ76" s="426">
        <f t="shared" si="68"/>
        <v>1983.7961119999998</v>
      </c>
      <c r="BA76" s="426">
        <f t="shared" si="69"/>
        <v>1835.8785989999999</v>
      </c>
      <c r="BB76" s="426">
        <f t="shared" si="70"/>
        <v>147.91751300000001</v>
      </c>
      <c r="BF76" s="423" t="s">
        <v>355</v>
      </c>
      <c r="BG76" s="424" t="s">
        <v>400</v>
      </c>
      <c r="BH76" s="425">
        <v>23014108</v>
      </c>
      <c r="BI76" s="426">
        <f t="shared" si="71"/>
        <v>24463.996803999999</v>
      </c>
      <c r="BM76" s="427" t="s">
        <v>553</v>
      </c>
      <c r="BN76" s="93" t="s">
        <v>594</v>
      </c>
      <c r="BO76" s="94">
        <v>0</v>
      </c>
      <c r="BP76" s="94">
        <v>6580</v>
      </c>
      <c r="BQ76" s="94">
        <v>6580</v>
      </c>
      <c r="BR76" s="94">
        <v>0</v>
      </c>
      <c r="BS76" s="94">
        <v>6580</v>
      </c>
      <c r="BT76" s="426">
        <f t="shared" si="72"/>
        <v>6.9945399999999998</v>
      </c>
      <c r="BU76" s="426">
        <f t="shared" si="73"/>
        <v>6.9945399999999998</v>
      </c>
      <c r="BV76" s="426">
        <f t="shared" si="74"/>
        <v>0</v>
      </c>
      <c r="BW76" s="426">
        <f t="shared" si="75"/>
        <v>6.9945399999999998</v>
      </c>
      <c r="CA76" s="93" t="s">
        <v>392</v>
      </c>
      <c r="CB76" s="426">
        <v>5465146</v>
      </c>
      <c r="CC76" s="426">
        <f t="shared" si="76"/>
        <v>5809.4501979999995</v>
      </c>
      <c r="CG76" s="424" t="s">
        <v>593</v>
      </c>
      <c r="CH76" s="425">
        <v>0</v>
      </c>
      <c r="CI76" s="425">
        <v>2577071</v>
      </c>
      <c r="CJ76" s="425">
        <v>-2577071</v>
      </c>
      <c r="CK76" s="425">
        <v>2176130</v>
      </c>
      <c r="CL76" s="425">
        <v>400941</v>
      </c>
      <c r="CM76" s="425">
        <v>1212229</v>
      </c>
      <c r="CN76" s="425">
        <f t="shared" si="77"/>
        <v>2739.426473</v>
      </c>
      <c r="CO76" s="425">
        <f t="shared" si="78"/>
        <v>2313.2261899999999</v>
      </c>
      <c r="CP76" s="425">
        <f t="shared" si="79"/>
        <v>426.20028299999996</v>
      </c>
      <c r="CQ76" s="425">
        <f t="shared" si="80"/>
        <v>1288.5994269999999</v>
      </c>
      <c r="CU76" s="424" t="s">
        <v>394</v>
      </c>
      <c r="CV76" s="425">
        <v>0</v>
      </c>
      <c r="CW76" s="425">
        <v>479808</v>
      </c>
      <c r="CX76" s="426">
        <f t="shared" si="81"/>
        <v>0</v>
      </c>
      <c r="CY76" s="426">
        <f t="shared" si="82"/>
        <v>510.03590399999996</v>
      </c>
      <c r="DB76" s="568" t="s">
        <v>593</v>
      </c>
      <c r="DC76" s="569">
        <v>2714871</v>
      </c>
      <c r="DD76" s="569">
        <v>2396564</v>
      </c>
      <c r="DE76" s="569">
        <v>318307</v>
      </c>
      <c r="DF76" s="569">
        <v>1750028</v>
      </c>
      <c r="DG76" s="570">
        <f t="shared" si="83"/>
        <v>2885.9078730000001</v>
      </c>
      <c r="DH76" s="570">
        <f t="shared" si="84"/>
        <v>2547.5475319999996</v>
      </c>
      <c r="DI76" s="570">
        <f t="shared" si="85"/>
        <v>338.36034100000001</v>
      </c>
      <c r="DJ76" s="570">
        <f t="shared" si="86"/>
        <v>1860.2797639999999</v>
      </c>
      <c r="DN76" s="93" t="s">
        <v>717</v>
      </c>
      <c r="DO76" s="93">
        <v>0</v>
      </c>
      <c r="DP76" s="93">
        <v>0</v>
      </c>
      <c r="DQ76" s="626">
        <f t="shared" si="87"/>
        <v>0</v>
      </c>
      <c r="DR76" s="626">
        <f t="shared" si="88"/>
        <v>0</v>
      </c>
      <c r="DV76" s="93" t="s">
        <v>592</v>
      </c>
      <c r="DW76" s="94">
        <v>329704</v>
      </c>
      <c r="DX76" s="94">
        <v>329704</v>
      </c>
      <c r="DY76" s="94">
        <v>0</v>
      </c>
      <c r="DZ76" s="94">
        <v>329704</v>
      </c>
      <c r="EA76" s="94">
        <f t="shared" si="89"/>
        <v>350.47535199999999</v>
      </c>
      <c r="EB76" s="94">
        <f t="shared" si="90"/>
        <v>350.47535199999999</v>
      </c>
      <c r="EC76" s="94">
        <f t="shared" si="91"/>
        <v>0</v>
      </c>
      <c r="ED76" s="94">
        <f t="shared" si="92"/>
        <v>350.47535199999999</v>
      </c>
      <c r="EH76" s="420" t="s">
        <v>394</v>
      </c>
      <c r="EI76" s="420">
        <v>479808</v>
      </c>
      <c r="EJ76" s="426">
        <f t="shared" si="93"/>
        <v>510.03590399999996</v>
      </c>
      <c r="EN76" s="420" t="s">
        <v>384</v>
      </c>
      <c r="EO76" s="426">
        <v>18809488</v>
      </c>
      <c r="EP76" s="426">
        <v>18791615</v>
      </c>
      <c r="EQ76" s="426">
        <v>17873</v>
      </c>
      <c r="ER76" s="426">
        <v>16996047</v>
      </c>
      <c r="ES76" s="700">
        <f t="shared" si="94"/>
        <v>19994.485744000001</v>
      </c>
      <c r="ET76" s="700">
        <f t="shared" si="95"/>
        <v>19975.486745000002</v>
      </c>
      <c r="EU76" s="700">
        <f t="shared" si="96"/>
        <v>18.998999000000001</v>
      </c>
      <c r="EV76" s="700">
        <f t="shared" si="97"/>
        <v>18066.797960999997</v>
      </c>
      <c r="EZ76" s="730" t="s">
        <v>553</v>
      </c>
      <c r="FA76" s="731" t="s">
        <v>597</v>
      </c>
      <c r="FB76" s="420">
        <v>414450</v>
      </c>
      <c r="FC76" s="426">
        <f t="shared" si="98"/>
        <v>414.45</v>
      </c>
      <c r="FG76" s="735" t="s">
        <v>553</v>
      </c>
      <c r="FH76" s="734" t="s">
        <v>384</v>
      </c>
      <c r="FI76" s="732">
        <v>19475888</v>
      </c>
      <c r="FJ76" s="733">
        <v>19458015</v>
      </c>
      <c r="FK76" s="733">
        <v>17873</v>
      </c>
      <c r="FL76" s="733">
        <v>18791615</v>
      </c>
      <c r="FM76" s="426">
        <f t="shared" si="99"/>
        <v>19475.887999999999</v>
      </c>
      <c r="FN76" s="426">
        <f t="shared" si="100"/>
        <v>19458.014999999999</v>
      </c>
      <c r="FO76" s="426">
        <f t="shared" si="101"/>
        <v>17.873000000000001</v>
      </c>
      <c r="FP76" s="426">
        <f t="shared" si="102"/>
        <v>18791.615000000002</v>
      </c>
      <c r="FT76" s="427" t="s">
        <v>553</v>
      </c>
      <c r="FU76" s="93" t="s">
        <v>391</v>
      </c>
      <c r="FV76" s="94">
        <v>-4389584</v>
      </c>
      <c r="FW76" s="94">
        <v>-4389584</v>
      </c>
      <c r="FX76" s="94">
        <v>753990</v>
      </c>
      <c r="FY76" s="426">
        <f t="shared" si="103"/>
        <v>-4389.5839999999998</v>
      </c>
      <c r="FZ76" s="426">
        <f t="shared" si="104"/>
        <v>-4389.5839999999998</v>
      </c>
      <c r="GA76" s="426">
        <f t="shared" si="105"/>
        <v>753.99</v>
      </c>
      <c r="GG76" s="762" t="s">
        <v>553</v>
      </c>
      <c r="GH76" s="763" t="s">
        <v>384</v>
      </c>
      <c r="GI76" s="764">
        <v>20389083</v>
      </c>
      <c r="GJ76" s="764">
        <v>20389083</v>
      </c>
      <c r="GK76" s="764">
        <v>0</v>
      </c>
      <c r="GL76" s="764">
        <v>19458015</v>
      </c>
      <c r="GM76" s="764">
        <v>931068</v>
      </c>
      <c r="GN76" s="426">
        <f t="shared" si="106"/>
        <v>20389.082999999999</v>
      </c>
      <c r="GO76" s="426">
        <f t="shared" si="107"/>
        <v>20389.082999999999</v>
      </c>
      <c r="GP76" s="426">
        <f t="shared" si="108"/>
        <v>0</v>
      </c>
      <c r="GQ76" s="426">
        <f t="shared" si="109"/>
        <v>19458.014999999999</v>
      </c>
      <c r="GR76" s="426">
        <f t="shared" si="110"/>
        <v>931.06799999999998</v>
      </c>
      <c r="GV76" s="780" t="s">
        <v>388</v>
      </c>
      <c r="GW76" s="779">
        <v>937542</v>
      </c>
      <c r="GX76" s="426">
        <f t="shared" si="111"/>
        <v>937.54200000000003</v>
      </c>
      <c r="HB76" s="782" t="s">
        <v>382</v>
      </c>
      <c r="HC76" s="764">
        <v>11805231</v>
      </c>
      <c r="HD76" s="764">
        <v>11805231</v>
      </c>
      <c r="HE76" s="764">
        <v>0</v>
      </c>
      <c r="HF76" s="764">
        <v>11805231</v>
      </c>
      <c r="HG76" s="426">
        <f t="shared" si="112"/>
        <v>11805.231</v>
      </c>
      <c r="HH76" s="426">
        <f t="shared" si="113"/>
        <v>0</v>
      </c>
      <c r="HI76" s="426">
        <f t="shared" si="114"/>
        <v>11805.231</v>
      </c>
      <c r="HJ76" s="426">
        <f t="shared" si="115"/>
        <v>0</v>
      </c>
      <c r="HK76" s="426">
        <f t="shared" si="116"/>
        <v>11805.231</v>
      </c>
    </row>
    <row r="77" spans="1:219" ht="15" customHeight="1" x14ac:dyDescent="0.3">
      <c r="A77" s="287" t="s">
        <v>553</v>
      </c>
      <c r="B77" s="288" t="s">
        <v>388</v>
      </c>
      <c r="C77" s="289">
        <v>13222600</v>
      </c>
      <c r="D77" s="290">
        <f t="shared" si="61"/>
        <v>14055.623799999999</v>
      </c>
      <c r="E77" s="289">
        <v>368500</v>
      </c>
      <c r="F77" s="289">
        <f t="shared" si="62"/>
        <v>391.71549999999996</v>
      </c>
      <c r="J77" s="291" t="s">
        <v>553</v>
      </c>
      <c r="K77" s="292" t="s">
        <v>603</v>
      </c>
      <c r="L77" s="293">
        <v>1751161</v>
      </c>
      <c r="M77" s="293">
        <f t="shared" si="63"/>
        <v>1861.4841429999999</v>
      </c>
      <c r="Q77" s="291" t="s">
        <v>355</v>
      </c>
      <c r="R77" s="292" t="s">
        <v>387</v>
      </c>
      <c r="S77" s="293">
        <v>171384600</v>
      </c>
      <c r="T77" s="293">
        <v>20994402</v>
      </c>
      <c r="U77" s="293">
        <f t="shared" si="64"/>
        <v>182181.82980000001</v>
      </c>
      <c r="V77" s="293">
        <f t="shared" si="65"/>
        <v>22317.049325999997</v>
      </c>
      <c r="Z77" s="288" t="s">
        <v>596</v>
      </c>
      <c r="AA77" s="289">
        <v>83300</v>
      </c>
      <c r="AB77" s="289">
        <f t="shared" si="66"/>
        <v>88.547899999999998</v>
      </c>
      <c r="AF77" s="428" t="s">
        <v>386</v>
      </c>
      <c r="AG77" s="429">
        <v>1234264</v>
      </c>
      <c r="AH77" s="429">
        <f t="shared" si="60"/>
        <v>1312.0226319999999</v>
      </c>
      <c r="AI77" s="289">
        <v>527761</v>
      </c>
      <c r="AL77" s="426"/>
      <c r="AN77" s="423" t="s">
        <v>553</v>
      </c>
      <c r="AO77" s="424" t="s">
        <v>393</v>
      </c>
      <c r="AP77" s="425">
        <v>124717</v>
      </c>
      <c r="AQ77" s="425">
        <f t="shared" si="67"/>
        <v>132.57417099999998</v>
      </c>
      <c r="AU77" s="423" t="s">
        <v>553</v>
      </c>
      <c r="AV77" s="424" t="s">
        <v>386</v>
      </c>
      <c r="AW77" s="425">
        <v>4527761</v>
      </c>
      <c r="AX77" s="425">
        <v>4333381</v>
      </c>
      <c r="AY77" s="425">
        <v>194380</v>
      </c>
      <c r="AZ77" s="426">
        <f t="shared" si="68"/>
        <v>4813.009943</v>
      </c>
      <c r="BA77" s="426">
        <f t="shared" si="69"/>
        <v>4606.3840030000001</v>
      </c>
      <c r="BB77" s="426">
        <f t="shared" si="70"/>
        <v>206.62593999999999</v>
      </c>
      <c r="BF77" s="423" t="s">
        <v>553</v>
      </c>
      <c r="BG77" s="424" t="s">
        <v>401</v>
      </c>
      <c r="BH77" s="425">
        <v>4590957</v>
      </c>
      <c r="BI77" s="426">
        <f t="shared" si="71"/>
        <v>4880.1872910000002</v>
      </c>
      <c r="BM77" s="427" t="s">
        <v>553</v>
      </c>
      <c r="BN77" s="93" t="s">
        <v>385</v>
      </c>
      <c r="BO77" s="94">
        <v>0</v>
      </c>
      <c r="BP77" s="94">
        <v>2436638</v>
      </c>
      <c r="BQ77" s="94">
        <v>2436638</v>
      </c>
      <c r="BR77" s="94">
        <v>0</v>
      </c>
      <c r="BS77" s="94">
        <v>2353339</v>
      </c>
      <c r="BT77" s="426">
        <f t="shared" si="72"/>
        <v>2590.1461939999999</v>
      </c>
      <c r="BU77" s="426">
        <f t="shared" si="73"/>
        <v>2590.1461939999999</v>
      </c>
      <c r="BV77" s="426">
        <f t="shared" si="74"/>
        <v>0</v>
      </c>
      <c r="BW77" s="426">
        <f t="shared" si="75"/>
        <v>2501.5993569999996</v>
      </c>
      <c r="CA77" s="93" t="s">
        <v>393</v>
      </c>
      <c r="CB77" s="426">
        <v>264011</v>
      </c>
      <c r="CC77" s="426">
        <f t="shared" si="76"/>
        <v>280.64369299999998</v>
      </c>
      <c r="CG77" s="424" t="s">
        <v>594</v>
      </c>
      <c r="CH77" s="425">
        <v>0</v>
      </c>
      <c r="CI77" s="425">
        <v>6580</v>
      </c>
      <c r="CJ77" s="425">
        <v>-6580</v>
      </c>
      <c r="CK77" s="425">
        <v>6580</v>
      </c>
      <c r="CL77" s="425">
        <v>0</v>
      </c>
      <c r="CM77" s="425">
        <v>6580</v>
      </c>
      <c r="CN77" s="425">
        <f t="shared" si="77"/>
        <v>6.9945399999999998</v>
      </c>
      <c r="CO77" s="425">
        <f t="shared" si="78"/>
        <v>6.9945399999999998</v>
      </c>
      <c r="CP77" s="425">
        <f t="shared" si="79"/>
        <v>0</v>
      </c>
      <c r="CQ77" s="425">
        <f t="shared" si="80"/>
        <v>6.9945399999999998</v>
      </c>
      <c r="CU77" s="424" t="s">
        <v>595</v>
      </c>
      <c r="CV77" s="425">
        <v>202300</v>
      </c>
      <c r="CW77" s="425">
        <v>3088229</v>
      </c>
      <c r="CX77" s="426">
        <f t="shared" si="81"/>
        <v>215.04490000000001</v>
      </c>
      <c r="CY77" s="426">
        <f t="shared" si="82"/>
        <v>3282.7874269999998</v>
      </c>
      <c r="DB77" s="568" t="s">
        <v>594</v>
      </c>
      <c r="DC77" s="569">
        <v>954475</v>
      </c>
      <c r="DD77" s="569">
        <v>954475</v>
      </c>
      <c r="DE77" s="569">
        <v>0</v>
      </c>
      <c r="DF77" s="569">
        <v>6580</v>
      </c>
      <c r="DG77" s="570">
        <f t="shared" si="83"/>
        <v>1014.6069249999999</v>
      </c>
      <c r="DH77" s="570">
        <f t="shared" si="84"/>
        <v>1014.6069249999999</v>
      </c>
      <c r="DI77" s="570">
        <f t="shared" si="85"/>
        <v>0</v>
      </c>
      <c r="DJ77" s="570">
        <f t="shared" si="86"/>
        <v>6.9945399999999998</v>
      </c>
      <c r="DN77" s="93" t="s">
        <v>600</v>
      </c>
      <c r="DO77" s="93">
        <v>6033770</v>
      </c>
      <c r="DP77" s="93">
        <v>6733770</v>
      </c>
      <c r="DQ77" s="626">
        <f t="shared" si="87"/>
        <v>6413.8975099999998</v>
      </c>
      <c r="DR77" s="626">
        <f t="shared" si="88"/>
        <v>7157.9975100000001</v>
      </c>
      <c r="DV77" s="93" t="s">
        <v>593</v>
      </c>
      <c r="DW77" s="94">
        <v>2396564</v>
      </c>
      <c r="DX77" s="94">
        <v>2396564</v>
      </c>
      <c r="DY77" s="94">
        <v>0</v>
      </c>
      <c r="DZ77" s="94">
        <v>1750028</v>
      </c>
      <c r="EA77" s="94">
        <f t="shared" si="89"/>
        <v>2547.5475319999996</v>
      </c>
      <c r="EB77" s="94">
        <f t="shared" si="90"/>
        <v>2547.5475319999996</v>
      </c>
      <c r="EC77" s="94">
        <f t="shared" si="91"/>
        <v>0</v>
      </c>
      <c r="ED77" s="94">
        <f t="shared" si="92"/>
        <v>1860.2797639999999</v>
      </c>
      <c r="EH77" s="420" t="s">
        <v>595</v>
      </c>
      <c r="EI77" s="420">
        <v>2885929</v>
      </c>
      <c r="EJ77" s="426">
        <f t="shared" si="93"/>
        <v>3067.7425269999999</v>
      </c>
      <c r="EN77" s="420" t="s">
        <v>590</v>
      </c>
      <c r="EO77" s="426">
        <v>0</v>
      </c>
      <c r="EP77" s="426">
        <v>0</v>
      </c>
      <c r="EQ77" s="426">
        <v>0</v>
      </c>
      <c r="ER77" s="426">
        <v>0</v>
      </c>
      <c r="ES77" s="700">
        <f t="shared" si="94"/>
        <v>0</v>
      </c>
      <c r="ET77" s="700">
        <f t="shared" si="95"/>
        <v>0</v>
      </c>
      <c r="EU77" s="700">
        <f t="shared" si="96"/>
        <v>0</v>
      </c>
      <c r="EV77" s="700">
        <f t="shared" si="97"/>
        <v>0</v>
      </c>
      <c r="EZ77" s="730" t="s">
        <v>553</v>
      </c>
      <c r="FA77" s="731" t="s">
        <v>598</v>
      </c>
      <c r="FB77" s="420">
        <v>749700</v>
      </c>
      <c r="FC77" s="426">
        <f t="shared" si="98"/>
        <v>749.7</v>
      </c>
      <c r="FG77" s="735" t="s">
        <v>553</v>
      </c>
      <c r="FH77" s="734" t="s">
        <v>590</v>
      </c>
      <c r="FI77" s="732">
        <v>0</v>
      </c>
      <c r="FJ77" s="733">
        <v>0</v>
      </c>
      <c r="FK77" s="733">
        <v>0</v>
      </c>
      <c r="FL77" s="733">
        <v>0</v>
      </c>
      <c r="FM77" s="426">
        <f t="shared" si="99"/>
        <v>0</v>
      </c>
      <c r="FN77" s="426">
        <f t="shared" si="100"/>
        <v>0</v>
      </c>
      <c r="FO77" s="426">
        <f t="shared" si="101"/>
        <v>0</v>
      </c>
      <c r="FP77" s="426">
        <f t="shared" si="102"/>
        <v>0</v>
      </c>
      <c r="FT77" s="427" t="s">
        <v>553</v>
      </c>
      <c r="FU77" s="93" t="s">
        <v>392</v>
      </c>
      <c r="FV77" s="94">
        <v>0</v>
      </c>
      <c r="FW77" s="94">
        <v>0</v>
      </c>
      <c r="FX77" s="94">
        <v>5465146</v>
      </c>
      <c r="FY77" s="426">
        <f t="shared" si="103"/>
        <v>0</v>
      </c>
      <c r="FZ77" s="426">
        <f t="shared" si="104"/>
        <v>0</v>
      </c>
      <c r="GA77" s="426">
        <f t="shared" si="105"/>
        <v>5465.1459999999997</v>
      </c>
      <c r="GG77" s="762" t="s">
        <v>553</v>
      </c>
      <c r="GH77" s="763" t="s">
        <v>590</v>
      </c>
      <c r="GI77" s="764">
        <v>0</v>
      </c>
      <c r="GJ77" s="764">
        <v>0</v>
      </c>
      <c r="GK77" s="764">
        <v>0</v>
      </c>
      <c r="GL77" s="764">
        <v>0</v>
      </c>
      <c r="GM77" s="764">
        <v>0</v>
      </c>
      <c r="GN77" s="426">
        <f t="shared" si="106"/>
        <v>0</v>
      </c>
      <c r="GO77" s="426">
        <f t="shared" si="107"/>
        <v>0</v>
      </c>
      <c r="GP77" s="426">
        <f t="shared" si="108"/>
        <v>0</v>
      </c>
      <c r="GQ77" s="426">
        <f t="shared" si="109"/>
        <v>0</v>
      </c>
      <c r="GR77" s="426">
        <f t="shared" si="110"/>
        <v>0</v>
      </c>
      <c r="GV77" s="780" t="s">
        <v>389</v>
      </c>
      <c r="GW77" s="779">
        <v>1477072</v>
      </c>
      <c r="GX77" s="426">
        <f t="shared" si="111"/>
        <v>1477.0719999999999</v>
      </c>
      <c r="HB77" s="782" t="s">
        <v>383</v>
      </c>
      <c r="HC77" s="764">
        <v>216080</v>
      </c>
      <c r="HD77" s="764">
        <v>216080</v>
      </c>
      <c r="HE77" s="764">
        <v>0</v>
      </c>
      <c r="HF77" s="764">
        <v>216080</v>
      </c>
      <c r="HG77" s="426">
        <f t="shared" si="112"/>
        <v>216.08</v>
      </c>
      <c r="HH77" s="426">
        <f t="shared" si="113"/>
        <v>0</v>
      </c>
      <c r="HI77" s="426">
        <f t="shared" si="114"/>
        <v>216.08</v>
      </c>
      <c r="HJ77" s="426">
        <f t="shared" si="115"/>
        <v>0</v>
      </c>
      <c r="HK77" s="426">
        <f t="shared" si="116"/>
        <v>216.08</v>
      </c>
    </row>
    <row r="78" spans="1:219" ht="15" customHeight="1" x14ac:dyDescent="0.3">
      <c r="A78" s="287" t="s">
        <v>553</v>
      </c>
      <c r="B78" s="288" t="s">
        <v>389</v>
      </c>
      <c r="C78" s="289">
        <v>11480000</v>
      </c>
      <c r="D78" s="290">
        <f t="shared" si="61"/>
        <v>12203.24</v>
      </c>
      <c r="E78" s="289">
        <v>304508</v>
      </c>
      <c r="F78" s="289">
        <f t="shared" si="62"/>
        <v>323.69200399999994</v>
      </c>
      <c r="J78" s="291" t="s">
        <v>553</v>
      </c>
      <c r="K78" s="292" t="s">
        <v>402</v>
      </c>
      <c r="L78" s="293">
        <v>773500</v>
      </c>
      <c r="M78" s="293">
        <f t="shared" si="63"/>
        <v>822.23050000000001</v>
      </c>
      <c r="Q78" s="291" t="s">
        <v>553</v>
      </c>
      <c r="R78" s="292" t="s">
        <v>388</v>
      </c>
      <c r="S78" s="293">
        <v>13222600</v>
      </c>
      <c r="T78" s="293">
        <v>754600</v>
      </c>
      <c r="U78" s="293">
        <f t="shared" si="64"/>
        <v>14055.623799999999</v>
      </c>
      <c r="V78" s="293">
        <f t="shared" si="65"/>
        <v>802.13980000000004</v>
      </c>
      <c r="Z78" s="288" t="s">
        <v>597</v>
      </c>
      <c r="AA78" s="289">
        <v>2912662</v>
      </c>
      <c r="AB78" s="289">
        <f t="shared" si="66"/>
        <v>3096.1597059999995</v>
      </c>
      <c r="AF78" s="428" t="s">
        <v>387</v>
      </c>
      <c r="AG78" s="429">
        <v>171384600</v>
      </c>
      <c r="AH78" s="429">
        <f t="shared" si="60"/>
        <v>182181.82980000001</v>
      </c>
      <c r="AI78" s="289">
        <v>31350991</v>
      </c>
      <c r="AL78" s="426"/>
      <c r="AN78" s="423" t="s">
        <v>553</v>
      </c>
      <c r="AO78" s="424" t="s">
        <v>394</v>
      </c>
      <c r="AP78" s="425">
        <v>479808</v>
      </c>
      <c r="AQ78" s="425">
        <f t="shared" si="67"/>
        <v>510.03590399999996</v>
      </c>
      <c r="AU78" s="423" t="s">
        <v>355</v>
      </c>
      <c r="AV78" s="424" t="s">
        <v>387</v>
      </c>
      <c r="AW78" s="425">
        <v>154296752</v>
      </c>
      <c r="AX78" s="425">
        <v>131872146</v>
      </c>
      <c r="AY78" s="425">
        <v>22424606</v>
      </c>
      <c r="AZ78" s="426">
        <f t="shared" si="68"/>
        <v>164017.447376</v>
      </c>
      <c r="BA78" s="426">
        <f t="shared" si="69"/>
        <v>140180.09119800001</v>
      </c>
      <c r="BB78" s="426">
        <f t="shared" si="70"/>
        <v>23837.356177999998</v>
      </c>
      <c r="BF78" s="423" t="s">
        <v>553</v>
      </c>
      <c r="BG78" s="424" t="s">
        <v>601</v>
      </c>
      <c r="BH78" s="425">
        <v>12009876</v>
      </c>
      <c r="BI78" s="426">
        <f t="shared" si="71"/>
        <v>12766.498188</v>
      </c>
      <c r="BM78" s="427" t="s">
        <v>553</v>
      </c>
      <c r="BN78" s="93" t="s">
        <v>386</v>
      </c>
      <c r="BO78" s="94">
        <v>0</v>
      </c>
      <c r="BP78" s="94">
        <v>4541451</v>
      </c>
      <c r="BQ78" s="94">
        <v>4347071</v>
      </c>
      <c r="BR78" s="94">
        <v>194380</v>
      </c>
      <c r="BS78" s="94">
        <v>4347071</v>
      </c>
      <c r="BT78" s="426">
        <f t="shared" si="72"/>
        <v>4827.5624129999997</v>
      </c>
      <c r="BU78" s="426">
        <f t="shared" si="73"/>
        <v>4620.9364729999998</v>
      </c>
      <c r="BV78" s="426">
        <f t="shared" si="74"/>
        <v>206.62593999999999</v>
      </c>
      <c r="BW78" s="426">
        <f t="shared" si="75"/>
        <v>4620.9364729999998</v>
      </c>
      <c r="CA78" s="93" t="s">
        <v>394</v>
      </c>
      <c r="CB78" s="426">
        <v>479808</v>
      </c>
      <c r="CC78" s="426">
        <f t="shared" si="76"/>
        <v>510.03590399999996</v>
      </c>
      <c r="CG78" s="424" t="s">
        <v>385</v>
      </c>
      <c r="CH78" s="425">
        <v>0</v>
      </c>
      <c r="CI78" s="425">
        <v>2478741</v>
      </c>
      <c r="CJ78" s="425">
        <v>-2478741</v>
      </c>
      <c r="CK78" s="425">
        <v>2478741</v>
      </c>
      <c r="CL78" s="425">
        <v>0</v>
      </c>
      <c r="CM78" s="425">
        <v>2478741</v>
      </c>
      <c r="CN78" s="425">
        <f t="shared" si="77"/>
        <v>2634.901683</v>
      </c>
      <c r="CO78" s="425">
        <f t="shared" si="78"/>
        <v>2634.901683</v>
      </c>
      <c r="CP78" s="425">
        <f t="shared" si="79"/>
        <v>0</v>
      </c>
      <c r="CQ78" s="425">
        <f t="shared" si="80"/>
        <v>2634.901683</v>
      </c>
      <c r="CU78" s="424" t="s">
        <v>395</v>
      </c>
      <c r="CV78" s="425">
        <v>3744207</v>
      </c>
      <c r="CW78" s="425">
        <v>1198277</v>
      </c>
      <c r="CX78" s="426">
        <f t="shared" si="81"/>
        <v>3980.0920409999999</v>
      </c>
      <c r="CY78" s="426">
        <f t="shared" si="82"/>
        <v>1273.7684509999999</v>
      </c>
      <c r="DB78" s="568" t="s">
        <v>385</v>
      </c>
      <c r="DC78" s="569">
        <v>6910326</v>
      </c>
      <c r="DD78" s="569">
        <v>6908504</v>
      </c>
      <c r="DE78" s="569">
        <v>1822</v>
      </c>
      <c r="DF78" s="569">
        <v>2773931</v>
      </c>
      <c r="DG78" s="570">
        <f t="shared" si="83"/>
        <v>7345.6765379999997</v>
      </c>
      <c r="DH78" s="570">
        <f t="shared" si="84"/>
        <v>7343.7397519999995</v>
      </c>
      <c r="DI78" s="570">
        <f t="shared" si="85"/>
        <v>1.9367859999999999</v>
      </c>
      <c r="DJ78" s="570">
        <f t="shared" si="86"/>
        <v>2948.6886529999997</v>
      </c>
      <c r="DN78" s="93" t="s">
        <v>397</v>
      </c>
      <c r="DO78" s="93">
        <v>0</v>
      </c>
      <c r="DP78" s="93">
        <v>1900525</v>
      </c>
      <c r="DQ78" s="626">
        <f t="shared" si="87"/>
        <v>0</v>
      </c>
      <c r="DR78" s="626">
        <f t="shared" si="88"/>
        <v>2020.258075</v>
      </c>
      <c r="DV78" s="93" t="s">
        <v>594</v>
      </c>
      <c r="DW78" s="94">
        <v>1507825</v>
      </c>
      <c r="DX78" s="94">
        <v>1507825</v>
      </c>
      <c r="DY78" s="94">
        <v>0</v>
      </c>
      <c r="DZ78" s="94">
        <v>1507825</v>
      </c>
      <c r="EA78" s="94">
        <f t="shared" si="89"/>
        <v>1602.8179749999999</v>
      </c>
      <c r="EB78" s="94">
        <f t="shared" si="90"/>
        <v>1602.8179749999999</v>
      </c>
      <c r="EC78" s="94">
        <f t="shared" si="91"/>
        <v>0</v>
      </c>
      <c r="ED78" s="94">
        <f t="shared" si="92"/>
        <v>1602.8179749999999</v>
      </c>
      <c r="EH78" s="420" t="s">
        <v>395</v>
      </c>
      <c r="EI78" s="420">
        <v>2855205</v>
      </c>
      <c r="EJ78" s="426">
        <f t="shared" si="93"/>
        <v>3035.082915</v>
      </c>
      <c r="EN78" s="420" t="s">
        <v>591</v>
      </c>
      <c r="EO78" s="426">
        <v>2902600</v>
      </c>
      <c r="EP78" s="426">
        <v>1937029</v>
      </c>
      <c r="EQ78" s="426">
        <v>965571</v>
      </c>
      <c r="ER78" s="426">
        <v>1937029</v>
      </c>
      <c r="ES78" s="700">
        <f t="shared" si="94"/>
        <v>3085.4637999999995</v>
      </c>
      <c r="ET78" s="700">
        <f t="shared" si="95"/>
        <v>2059.061827</v>
      </c>
      <c r="EU78" s="700">
        <f t="shared" si="96"/>
        <v>1026.401973</v>
      </c>
      <c r="EV78" s="700">
        <f t="shared" si="97"/>
        <v>2059.061827</v>
      </c>
      <c r="EZ78" s="730" t="s">
        <v>553</v>
      </c>
      <c r="FA78" s="731" t="s">
        <v>600</v>
      </c>
      <c r="FB78" s="420">
        <v>135620</v>
      </c>
      <c r="FC78" s="426">
        <f t="shared" si="98"/>
        <v>135.62</v>
      </c>
      <c r="FG78" s="735" t="s">
        <v>553</v>
      </c>
      <c r="FH78" s="734" t="s">
        <v>591</v>
      </c>
      <c r="FI78" s="732">
        <v>4959330</v>
      </c>
      <c r="FJ78" s="733">
        <v>4106434</v>
      </c>
      <c r="FK78" s="733">
        <v>852896</v>
      </c>
      <c r="FL78" s="733">
        <v>3843759</v>
      </c>
      <c r="FM78" s="426">
        <f t="shared" si="99"/>
        <v>4959.33</v>
      </c>
      <c r="FN78" s="426">
        <f t="shared" si="100"/>
        <v>4106.4340000000002</v>
      </c>
      <c r="FO78" s="426">
        <f t="shared" si="101"/>
        <v>852.89599999999996</v>
      </c>
      <c r="FP78" s="426">
        <f t="shared" si="102"/>
        <v>3843.759</v>
      </c>
      <c r="FT78" s="427" t="s">
        <v>553</v>
      </c>
      <c r="FU78" s="93" t="s">
        <v>393</v>
      </c>
      <c r="FV78" s="94">
        <v>-455378</v>
      </c>
      <c r="FW78" s="94">
        <v>0</v>
      </c>
      <c r="FX78" s="94">
        <v>0</v>
      </c>
      <c r="FY78" s="426">
        <f t="shared" si="103"/>
        <v>-455.37799999999999</v>
      </c>
      <c r="FZ78" s="426">
        <f t="shared" si="104"/>
        <v>0</v>
      </c>
      <c r="GA78" s="426">
        <f t="shared" si="105"/>
        <v>0</v>
      </c>
      <c r="GG78" s="762" t="s">
        <v>553</v>
      </c>
      <c r="GH78" s="763" t="s">
        <v>591</v>
      </c>
      <c r="GI78" s="764">
        <v>13809209</v>
      </c>
      <c r="GJ78" s="764">
        <v>4106434</v>
      </c>
      <c r="GK78" s="764">
        <v>9702775</v>
      </c>
      <c r="GL78" s="764">
        <v>4106434</v>
      </c>
      <c r="GM78" s="764">
        <v>0</v>
      </c>
      <c r="GN78" s="426">
        <f t="shared" si="106"/>
        <v>13809.209000000001</v>
      </c>
      <c r="GO78" s="426">
        <f t="shared" si="107"/>
        <v>4106.4340000000002</v>
      </c>
      <c r="GP78" s="426">
        <f t="shared" si="108"/>
        <v>9702.7749999999996</v>
      </c>
      <c r="GQ78" s="426">
        <f t="shared" si="109"/>
        <v>4106.4340000000002</v>
      </c>
      <c r="GR78" s="426">
        <f t="shared" si="110"/>
        <v>0</v>
      </c>
      <c r="GV78" s="780" t="s">
        <v>390</v>
      </c>
      <c r="GW78" s="779">
        <v>157350</v>
      </c>
      <c r="GX78" s="426">
        <f t="shared" si="111"/>
        <v>157.35</v>
      </c>
      <c r="HB78" s="782" t="s">
        <v>882</v>
      </c>
      <c r="HC78" s="764">
        <v>513910</v>
      </c>
      <c r="HD78" s="764">
        <v>513910</v>
      </c>
      <c r="HE78" s="764">
        <v>0</v>
      </c>
      <c r="HF78" s="764">
        <v>513910</v>
      </c>
      <c r="HG78" s="426">
        <f t="shared" si="112"/>
        <v>513.91</v>
      </c>
      <c r="HH78" s="426">
        <f t="shared" si="113"/>
        <v>0</v>
      </c>
      <c r="HI78" s="426">
        <f t="shared" si="114"/>
        <v>513.91</v>
      </c>
      <c r="HJ78" s="426">
        <f t="shared" si="115"/>
        <v>0</v>
      </c>
      <c r="HK78" s="426">
        <f t="shared" si="116"/>
        <v>513.91</v>
      </c>
    </row>
    <row r="79" spans="1:219" ht="15" customHeight="1" x14ac:dyDescent="0.3">
      <c r="A79" s="287" t="s">
        <v>553</v>
      </c>
      <c r="B79" s="288" t="s">
        <v>390</v>
      </c>
      <c r="C79" s="289">
        <v>1300000</v>
      </c>
      <c r="D79" s="290">
        <f t="shared" si="61"/>
        <v>1381.8999999999999</v>
      </c>
      <c r="E79" s="289">
        <v>0</v>
      </c>
      <c r="F79" s="289">
        <f t="shared" si="62"/>
        <v>0</v>
      </c>
      <c r="J79" s="291" t="s">
        <v>355</v>
      </c>
      <c r="K79" s="292" t="s">
        <v>403</v>
      </c>
      <c r="L79" s="293">
        <v>21216449</v>
      </c>
      <c r="M79" s="293">
        <f t="shared" si="63"/>
        <v>22553.085286999998</v>
      </c>
      <c r="Q79" s="291" t="s">
        <v>553</v>
      </c>
      <c r="R79" s="292" t="s">
        <v>389</v>
      </c>
      <c r="S79" s="293">
        <v>11480000</v>
      </c>
      <c r="T79" s="293">
        <v>874736</v>
      </c>
      <c r="U79" s="293">
        <f t="shared" si="64"/>
        <v>12203.24</v>
      </c>
      <c r="V79" s="293">
        <f t="shared" si="65"/>
        <v>929.84436799999992</v>
      </c>
      <c r="Z79" s="288" t="s">
        <v>717</v>
      </c>
      <c r="AA79" s="289">
        <v>0</v>
      </c>
      <c r="AB79" s="289">
        <f t="shared" si="66"/>
        <v>0</v>
      </c>
      <c r="AF79" s="428" t="s">
        <v>388</v>
      </c>
      <c r="AG79" s="429">
        <v>13222600</v>
      </c>
      <c r="AH79" s="429">
        <f t="shared" si="60"/>
        <v>14055.623799999999</v>
      </c>
      <c r="AI79" s="289">
        <v>1004300</v>
      </c>
      <c r="AL79" s="426"/>
      <c r="AN79" s="423" t="s">
        <v>553</v>
      </c>
      <c r="AO79" s="424" t="s">
        <v>595</v>
      </c>
      <c r="AP79" s="425">
        <v>2885929</v>
      </c>
      <c r="AQ79" s="425">
        <f t="shared" si="67"/>
        <v>3067.7425269999999</v>
      </c>
      <c r="AU79" s="423" t="s">
        <v>553</v>
      </c>
      <c r="AV79" s="424" t="s">
        <v>388</v>
      </c>
      <c r="AW79" s="425">
        <v>6610000</v>
      </c>
      <c r="AX79" s="425">
        <v>6610000</v>
      </c>
      <c r="AY79" s="425">
        <v>0</v>
      </c>
      <c r="AZ79" s="426">
        <f t="shared" si="68"/>
        <v>7026.4299999999994</v>
      </c>
      <c r="BA79" s="426">
        <f t="shared" si="69"/>
        <v>7026.4299999999994</v>
      </c>
      <c r="BB79" s="426">
        <f t="shared" si="70"/>
        <v>0</v>
      </c>
      <c r="BF79" s="423" t="s">
        <v>553</v>
      </c>
      <c r="BG79" s="424" t="s">
        <v>602</v>
      </c>
      <c r="BH79" s="425">
        <v>4779658</v>
      </c>
      <c r="BI79" s="426">
        <f t="shared" si="71"/>
        <v>5080.7764539999998</v>
      </c>
      <c r="BM79" s="427" t="s">
        <v>355</v>
      </c>
      <c r="BN79" s="93" t="s">
        <v>387</v>
      </c>
      <c r="BO79" s="94">
        <v>0</v>
      </c>
      <c r="BP79" s="94">
        <v>159221332</v>
      </c>
      <c r="BQ79" s="94">
        <v>132402657</v>
      </c>
      <c r="BR79" s="94">
        <v>26818675</v>
      </c>
      <c r="BS79" s="94">
        <v>56383778</v>
      </c>
      <c r="BT79" s="426">
        <f t="shared" si="72"/>
        <v>169252.27591599998</v>
      </c>
      <c r="BU79" s="426">
        <f t="shared" si="73"/>
        <v>140744.02439100001</v>
      </c>
      <c r="BV79" s="426">
        <f t="shared" si="74"/>
        <v>28508.251524999996</v>
      </c>
      <c r="BW79" s="426">
        <f t="shared" si="75"/>
        <v>59935.956013999996</v>
      </c>
      <c r="CA79" s="93" t="s">
        <v>595</v>
      </c>
      <c r="CB79" s="426">
        <v>2885929</v>
      </c>
      <c r="CC79" s="426">
        <f t="shared" si="76"/>
        <v>3067.7425269999999</v>
      </c>
      <c r="CG79" s="424" t="s">
        <v>386</v>
      </c>
      <c r="CH79" s="425">
        <v>0</v>
      </c>
      <c r="CI79" s="425">
        <v>4541451</v>
      </c>
      <c r="CJ79" s="425">
        <v>-4541451</v>
      </c>
      <c r="CK79" s="425">
        <v>4347071</v>
      </c>
      <c r="CL79" s="425">
        <v>194380</v>
      </c>
      <c r="CM79" s="425">
        <v>4347071</v>
      </c>
      <c r="CN79" s="425">
        <f t="shared" si="77"/>
        <v>4827.5624129999997</v>
      </c>
      <c r="CO79" s="425">
        <f t="shared" si="78"/>
        <v>4620.9364729999998</v>
      </c>
      <c r="CP79" s="425">
        <f t="shared" si="79"/>
        <v>206.62593999999999</v>
      </c>
      <c r="CQ79" s="425">
        <f t="shared" si="80"/>
        <v>4620.9364729999998</v>
      </c>
      <c r="CU79" s="424" t="s">
        <v>596</v>
      </c>
      <c r="CV79" s="425">
        <v>1200000</v>
      </c>
      <c r="CW79" s="425">
        <v>0</v>
      </c>
      <c r="CX79" s="426">
        <f t="shared" si="81"/>
        <v>1275.5999999999999</v>
      </c>
      <c r="CY79" s="426">
        <f t="shared" si="82"/>
        <v>0</v>
      </c>
      <c r="DB79" s="568" t="s">
        <v>386</v>
      </c>
      <c r="DC79" s="569">
        <v>4548441</v>
      </c>
      <c r="DD79" s="569">
        <v>4354061</v>
      </c>
      <c r="DE79" s="569">
        <v>194380</v>
      </c>
      <c r="DF79" s="569">
        <v>4354061</v>
      </c>
      <c r="DG79" s="570">
        <f t="shared" si="83"/>
        <v>4834.9927829999997</v>
      </c>
      <c r="DH79" s="570">
        <f t="shared" si="84"/>
        <v>4628.3668429999998</v>
      </c>
      <c r="DI79" s="570">
        <f t="shared" si="85"/>
        <v>206.62593999999999</v>
      </c>
      <c r="DJ79" s="570">
        <f t="shared" si="86"/>
        <v>4628.3668429999998</v>
      </c>
      <c r="DN79" s="93" t="s">
        <v>399</v>
      </c>
      <c r="DO79" s="93">
        <v>0</v>
      </c>
      <c r="DP79" s="93">
        <v>1900525</v>
      </c>
      <c r="DQ79" s="626">
        <f t="shared" si="87"/>
        <v>0</v>
      </c>
      <c r="DR79" s="626">
        <f t="shared" si="88"/>
        <v>2020.258075</v>
      </c>
      <c r="DV79" s="93" t="s">
        <v>385</v>
      </c>
      <c r="DW79" s="94">
        <v>7229008</v>
      </c>
      <c r="DX79" s="94">
        <v>7229008</v>
      </c>
      <c r="DY79" s="94">
        <v>0</v>
      </c>
      <c r="DZ79" s="94">
        <v>3667933</v>
      </c>
      <c r="EA79" s="94">
        <f t="shared" si="89"/>
        <v>7684.4355039999991</v>
      </c>
      <c r="EB79" s="94">
        <f t="shared" si="90"/>
        <v>7684.4355039999991</v>
      </c>
      <c r="EC79" s="94">
        <f t="shared" si="91"/>
        <v>0</v>
      </c>
      <c r="ED79" s="94">
        <f t="shared" si="92"/>
        <v>3899.0127789999997</v>
      </c>
      <c r="EH79" s="420" t="s">
        <v>596</v>
      </c>
      <c r="EI79" s="420">
        <v>2018064</v>
      </c>
      <c r="EJ79" s="426">
        <f t="shared" si="93"/>
        <v>2145.2020320000001</v>
      </c>
      <c r="EN79" s="420" t="s">
        <v>592</v>
      </c>
      <c r="EO79" s="426">
        <v>329704</v>
      </c>
      <c r="EP79" s="426">
        <v>329704</v>
      </c>
      <c r="EQ79" s="426">
        <v>0</v>
      </c>
      <c r="ER79" s="426">
        <v>329704</v>
      </c>
      <c r="ES79" s="700">
        <f t="shared" si="94"/>
        <v>350.47535199999999</v>
      </c>
      <c r="ET79" s="700">
        <f t="shared" si="95"/>
        <v>350.47535199999999</v>
      </c>
      <c r="EU79" s="700">
        <f t="shared" si="96"/>
        <v>0</v>
      </c>
      <c r="EV79" s="700">
        <f t="shared" si="97"/>
        <v>350.47535199999999</v>
      </c>
      <c r="EZ79" s="730" t="s">
        <v>355</v>
      </c>
      <c r="FA79" s="731" t="s">
        <v>397</v>
      </c>
      <c r="FB79" s="420">
        <v>121805</v>
      </c>
      <c r="FC79" s="426">
        <f t="shared" si="98"/>
        <v>121.80500000000001</v>
      </c>
      <c r="FG79" s="735" t="s">
        <v>553</v>
      </c>
      <c r="FH79" s="734" t="s">
        <v>592</v>
      </c>
      <c r="FI79" s="732">
        <v>329704</v>
      </c>
      <c r="FJ79" s="733">
        <v>329704</v>
      </c>
      <c r="FK79" s="733">
        <v>0</v>
      </c>
      <c r="FL79" s="733">
        <v>329704</v>
      </c>
      <c r="FM79" s="426">
        <f t="shared" si="99"/>
        <v>329.70400000000001</v>
      </c>
      <c r="FN79" s="426">
        <f t="shared" si="100"/>
        <v>329.70400000000001</v>
      </c>
      <c r="FO79" s="426">
        <f t="shared" si="101"/>
        <v>0</v>
      </c>
      <c r="FP79" s="426">
        <f t="shared" si="102"/>
        <v>329.70400000000001</v>
      </c>
      <c r="FT79" s="427" t="s">
        <v>553</v>
      </c>
      <c r="FU79" s="93" t="s">
        <v>394</v>
      </c>
      <c r="FV79" s="94">
        <v>0</v>
      </c>
      <c r="FW79" s="94">
        <v>0</v>
      </c>
      <c r="FX79" s="94">
        <v>0</v>
      </c>
      <c r="FY79" s="426">
        <f t="shared" si="103"/>
        <v>0</v>
      </c>
      <c r="FZ79" s="426">
        <f t="shared" si="104"/>
        <v>0</v>
      </c>
      <c r="GA79" s="426">
        <f t="shared" si="105"/>
        <v>0</v>
      </c>
      <c r="GG79" s="762" t="s">
        <v>553</v>
      </c>
      <c r="GH79" s="763" t="s">
        <v>592</v>
      </c>
      <c r="GI79" s="764">
        <v>329704</v>
      </c>
      <c r="GJ79" s="764">
        <v>329704</v>
      </c>
      <c r="GK79" s="764">
        <v>0</v>
      </c>
      <c r="GL79" s="764">
        <v>329704</v>
      </c>
      <c r="GM79" s="764">
        <v>0</v>
      </c>
      <c r="GN79" s="426">
        <f t="shared" si="106"/>
        <v>329.70400000000001</v>
      </c>
      <c r="GO79" s="426">
        <f t="shared" si="107"/>
        <v>329.70400000000001</v>
      </c>
      <c r="GP79" s="426">
        <f t="shared" si="108"/>
        <v>0</v>
      </c>
      <c r="GQ79" s="426">
        <f t="shared" si="109"/>
        <v>329.70400000000001</v>
      </c>
      <c r="GR79" s="426">
        <f t="shared" si="110"/>
        <v>0</v>
      </c>
      <c r="GV79" s="780" t="s">
        <v>391</v>
      </c>
      <c r="GW79" s="779">
        <v>2668112</v>
      </c>
      <c r="GX79" s="426">
        <f t="shared" si="111"/>
        <v>2668.1120000000001</v>
      </c>
      <c r="HB79" s="782" t="s">
        <v>589</v>
      </c>
      <c r="HC79" s="764">
        <v>6953717</v>
      </c>
      <c r="HD79" s="764">
        <v>6953717</v>
      </c>
      <c r="HE79" s="764">
        <v>0</v>
      </c>
      <c r="HF79" s="764">
        <v>6953717</v>
      </c>
      <c r="HG79" s="426">
        <f t="shared" si="112"/>
        <v>6953.7169999999996</v>
      </c>
      <c r="HH79" s="426">
        <f t="shared" si="113"/>
        <v>0</v>
      </c>
      <c r="HI79" s="426">
        <f t="shared" si="114"/>
        <v>6953.7169999999996</v>
      </c>
      <c r="HJ79" s="426">
        <f t="shared" si="115"/>
        <v>0</v>
      </c>
      <c r="HK79" s="426">
        <f t="shared" si="116"/>
        <v>6953.7169999999996</v>
      </c>
    </row>
    <row r="80" spans="1:219" ht="15" customHeight="1" x14ac:dyDescent="0.3">
      <c r="A80" s="287" t="s">
        <v>553</v>
      </c>
      <c r="B80" s="288" t="s">
        <v>391</v>
      </c>
      <c r="C80" s="289">
        <v>27000000</v>
      </c>
      <c r="D80" s="290">
        <f t="shared" si="61"/>
        <v>28701</v>
      </c>
      <c r="E80" s="289">
        <v>393716</v>
      </c>
      <c r="F80" s="289">
        <f t="shared" si="62"/>
        <v>418.52010799999999</v>
      </c>
      <c r="J80" s="291" t="s">
        <v>553</v>
      </c>
      <c r="K80" s="292" t="s">
        <v>404</v>
      </c>
      <c r="L80" s="293">
        <v>18356313</v>
      </c>
      <c r="M80" s="293">
        <f t="shared" si="63"/>
        <v>19512.760718999998</v>
      </c>
      <c r="Q80" s="291" t="s">
        <v>553</v>
      </c>
      <c r="R80" s="292" t="s">
        <v>390</v>
      </c>
      <c r="S80" s="293">
        <v>1300000</v>
      </c>
      <c r="T80" s="293">
        <v>158350</v>
      </c>
      <c r="U80" s="293">
        <f t="shared" si="64"/>
        <v>1381.8999999999999</v>
      </c>
      <c r="V80" s="293">
        <f t="shared" si="65"/>
        <v>168.32604999999998</v>
      </c>
      <c r="Z80" s="288" t="s">
        <v>600</v>
      </c>
      <c r="AA80" s="289">
        <v>0</v>
      </c>
      <c r="AB80" s="289">
        <f t="shared" si="66"/>
        <v>0</v>
      </c>
      <c r="AF80" s="288" t="s">
        <v>389</v>
      </c>
      <c r="AG80" s="289">
        <v>11480000</v>
      </c>
      <c r="AH80" s="289">
        <f t="shared" si="60"/>
        <v>12203.24</v>
      </c>
      <c r="AI80" s="289">
        <v>1227980</v>
      </c>
      <c r="AL80" s="426"/>
      <c r="AN80" s="423" t="s">
        <v>355</v>
      </c>
      <c r="AO80" s="424" t="s">
        <v>395</v>
      </c>
      <c r="AP80" s="425">
        <v>1629936</v>
      </c>
      <c r="AQ80" s="425">
        <f t="shared" si="67"/>
        <v>1732.6219679999999</v>
      </c>
      <c r="AU80" s="423" t="s">
        <v>553</v>
      </c>
      <c r="AV80" s="424" t="s">
        <v>389</v>
      </c>
      <c r="AW80" s="425">
        <v>11480000</v>
      </c>
      <c r="AX80" s="425">
        <v>8073905</v>
      </c>
      <c r="AY80" s="425">
        <v>3406095</v>
      </c>
      <c r="AZ80" s="426">
        <f t="shared" si="68"/>
        <v>12203.24</v>
      </c>
      <c r="BA80" s="426">
        <f t="shared" si="69"/>
        <v>8582.5610149999993</v>
      </c>
      <c r="BB80" s="426">
        <f t="shared" si="70"/>
        <v>3620.6789849999996</v>
      </c>
      <c r="BF80" s="423" t="s">
        <v>553</v>
      </c>
      <c r="BG80" s="424" t="s">
        <v>603</v>
      </c>
      <c r="BH80" s="425">
        <v>503117</v>
      </c>
      <c r="BI80" s="426">
        <f t="shared" si="71"/>
        <v>534.81337099999996</v>
      </c>
      <c r="BM80" s="427" t="s">
        <v>553</v>
      </c>
      <c r="BN80" s="93" t="s">
        <v>388</v>
      </c>
      <c r="BO80" s="94">
        <v>0</v>
      </c>
      <c r="BP80" s="94">
        <v>6610000</v>
      </c>
      <c r="BQ80" s="94">
        <v>6610000</v>
      </c>
      <c r="BR80" s="94">
        <v>0</v>
      </c>
      <c r="BS80" s="94">
        <v>2694600</v>
      </c>
      <c r="BT80" s="426">
        <f t="shared" si="72"/>
        <v>7026.4299999999994</v>
      </c>
      <c r="BU80" s="426">
        <f t="shared" si="73"/>
        <v>7026.4299999999994</v>
      </c>
      <c r="BV80" s="426">
        <f t="shared" si="74"/>
        <v>0</v>
      </c>
      <c r="BW80" s="426">
        <f t="shared" si="75"/>
        <v>2864.3597999999997</v>
      </c>
      <c r="CA80" s="93" t="s">
        <v>395</v>
      </c>
      <c r="CB80" s="426">
        <v>1105519</v>
      </c>
      <c r="CC80" s="426">
        <f t="shared" si="76"/>
        <v>1175.1666969999999</v>
      </c>
      <c r="CG80" s="424" t="s">
        <v>387</v>
      </c>
      <c r="CH80" s="425">
        <v>0</v>
      </c>
      <c r="CI80" s="425">
        <v>151929452</v>
      </c>
      <c r="CJ80" s="425">
        <v>-151929452</v>
      </c>
      <c r="CK80" s="425">
        <v>142524121</v>
      </c>
      <c r="CL80" s="425">
        <v>9405331</v>
      </c>
      <c r="CM80" s="425">
        <v>68500190</v>
      </c>
      <c r="CN80" s="425">
        <f t="shared" si="77"/>
        <v>161501.00747599997</v>
      </c>
      <c r="CO80" s="425">
        <f t="shared" si="78"/>
        <v>151503.14062300001</v>
      </c>
      <c r="CP80" s="425">
        <f t="shared" si="79"/>
        <v>9997.8668529999995</v>
      </c>
      <c r="CQ80" s="425">
        <f t="shared" si="80"/>
        <v>72815.701969999995</v>
      </c>
      <c r="CU80" s="424" t="s">
        <v>597</v>
      </c>
      <c r="CV80" s="425">
        <v>2544207</v>
      </c>
      <c r="CW80" s="425">
        <v>777216</v>
      </c>
      <c r="CX80" s="426">
        <f t="shared" si="81"/>
        <v>2704.4920409999995</v>
      </c>
      <c r="CY80" s="426">
        <f t="shared" si="82"/>
        <v>826.18060800000001</v>
      </c>
      <c r="DB80" s="568" t="s">
        <v>387</v>
      </c>
      <c r="DC80" s="569">
        <v>152487257</v>
      </c>
      <c r="DD80" s="569">
        <v>144264800</v>
      </c>
      <c r="DE80" s="569">
        <v>8222457</v>
      </c>
      <c r="DF80" s="569">
        <v>81956967</v>
      </c>
      <c r="DG80" s="570">
        <f t="shared" si="83"/>
        <v>162093.954191</v>
      </c>
      <c r="DH80" s="570">
        <f t="shared" si="84"/>
        <v>153353.48239999998</v>
      </c>
      <c r="DI80" s="570">
        <f t="shared" si="85"/>
        <v>8740.4717909999999</v>
      </c>
      <c r="DJ80" s="570">
        <f t="shared" si="86"/>
        <v>87120.255921000004</v>
      </c>
      <c r="DN80" s="93" t="s">
        <v>400</v>
      </c>
      <c r="DO80" s="93">
        <v>32730857</v>
      </c>
      <c r="DP80" s="93">
        <v>32769837</v>
      </c>
      <c r="DQ80" s="626">
        <f t="shared" si="87"/>
        <v>34792.900990999995</v>
      </c>
      <c r="DR80" s="626">
        <f t="shared" si="88"/>
        <v>34834.336730999996</v>
      </c>
      <c r="DV80" s="93" t="s">
        <v>386</v>
      </c>
      <c r="DW80" s="94">
        <v>4354061</v>
      </c>
      <c r="DX80" s="94">
        <v>4354061</v>
      </c>
      <c r="DY80" s="94">
        <v>0</v>
      </c>
      <c r="DZ80" s="94">
        <v>4354061</v>
      </c>
      <c r="EA80" s="94">
        <f t="shared" si="89"/>
        <v>4628.3668429999998</v>
      </c>
      <c r="EB80" s="94">
        <f t="shared" si="90"/>
        <v>4628.3668429999998</v>
      </c>
      <c r="EC80" s="94">
        <f t="shared" si="91"/>
        <v>0</v>
      </c>
      <c r="ED80" s="94">
        <f t="shared" si="92"/>
        <v>4628.3668429999998</v>
      </c>
      <c r="EH80" s="420" t="s">
        <v>597</v>
      </c>
      <c r="EI80" s="420">
        <v>416080</v>
      </c>
      <c r="EJ80" s="426">
        <f t="shared" si="93"/>
        <v>442.29303999999996</v>
      </c>
      <c r="EN80" s="420" t="s">
        <v>593</v>
      </c>
      <c r="EO80" s="426">
        <v>3076568</v>
      </c>
      <c r="EP80" s="426">
        <v>3076568</v>
      </c>
      <c r="EQ80" s="426">
        <v>0</v>
      </c>
      <c r="ER80" s="426">
        <v>2512666</v>
      </c>
      <c r="ES80" s="700">
        <f t="shared" si="94"/>
        <v>3270.3917839999999</v>
      </c>
      <c r="ET80" s="700">
        <f t="shared" si="95"/>
        <v>3270.3917839999999</v>
      </c>
      <c r="EU80" s="700">
        <f t="shared" si="96"/>
        <v>0</v>
      </c>
      <c r="EV80" s="700">
        <f t="shared" si="97"/>
        <v>2670.9639579999998</v>
      </c>
      <c r="EZ80" s="730" t="s">
        <v>553</v>
      </c>
      <c r="FA80" s="731" t="s">
        <v>398</v>
      </c>
      <c r="FB80" s="420">
        <v>121805</v>
      </c>
      <c r="FC80" s="426">
        <f t="shared" si="98"/>
        <v>121.80500000000001</v>
      </c>
      <c r="FG80" s="735" t="s">
        <v>553</v>
      </c>
      <c r="FH80" s="734" t="s">
        <v>593</v>
      </c>
      <c r="FI80" s="732">
        <v>3636568</v>
      </c>
      <c r="FJ80" s="733">
        <v>3636568</v>
      </c>
      <c r="FK80" s="733">
        <v>0</v>
      </c>
      <c r="FL80" s="733">
        <v>2512666</v>
      </c>
      <c r="FM80" s="426">
        <f t="shared" si="99"/>
        <v>3636.5680000000002</v>
      </c>
      <c r="FN80" s="426">
        <f t="shared" si="100"/>
        <v>3636.5680000000002</v>
      </c>
      <c r="FO80" s="426">
        <f t="shared" si="101"/>
        <v>0</v>
      </c>
      <c r="FP80" s="426">
        <f t="shared" si="102"/>
        <v>2512.6660000000002</v>
      </c>
      <c r="FT80" s="427" t="s">
        <v>553</v>
      </c>
      <c r="FU80" s="93" t="s">
        <v>595</v>
      </c>
      <c r="FV80" s="94">
        <v>-64194</v>
      </c>
      <c r="FW80" s="94">
        <v>3135806</v>
      </c>
      <c r="FX80" s="94">
        <v>2885929</v>
      </c>
      <c r="FY80" s="426">
        <f t="shared" si="103"/>
        <v>-64.194000000000003</v>
      </c>
      <c r="FZ80" s="426">
        <f t="shared" si="104"/>
        <v>3135.806</v>
      </c>
      <c r="GA80" s="426">
        <f t="shared" si="105"/>
        <v>2885.9290000000001</v>
      </c>
      <c r="GG80" s="762" t="s">
        <v>553</v>
      </c>
      <c r="GH80" s="763" t="s">
        <v>593</v>
      </c>
      <c r="GI80" s="764">
        <v>4074488</v>
      </c>
      <c r="GJ80" s="764">
        <v>4074488</v>
      </c>
      <c r="GK80" s="764">
        <v>0</v>
      </c>
      <c r="GL80" s="764">
        <v>3076568</v>
      </c>
      <c r="GM80" s="764">
        <v>997920</v>
      </c>
      <c r="GN80" s="426">
        <f t="shared" si="106"/>
        <v>4074.4879999999998</v>
      </c>
      <c r="GO80" s="426">
        <f t="shared" si="107"/>
        <v>4074.4879999999998</v>
      </c>
      <c r="GP80" s="426">
        <f t="shared" si="108"/>
        <v>0</v>
      </c>
      <c r="GQ80" s="426">
        <f t="shared" si="109"/>
        <v>3076.5680000000002</v>
      </c>
      <c r="GR80" s="426">
        <f t="shared" si="110"/>
        <v>997.92</v>
      </c>
      <c r="GV80" s="780" t="s">
        <v>392</v>
      </c>
      <c r="GW80" s="779">
        <v>5465146</v>
      </c>
      <c r="GX80" s="426">
        <f t="shared" si="111"/>
        <v>5465.1459999999997</v>
      </c>
      <c r="HB80" s="782" t="s">
        <v>384</v>
      </c>
      <c r="HC80" s="764">
        <v>20389083</v>
      </c>
      <c r="HD80" s="764">
        <v>20389083</v>
      </c>
      <c r="HE80" s="764">
        <v>0</v>
      </c>
      <c r="HF80" s="764">
        <v>20389083</v>
      </c>
      <c r="HG80" s="426">
        <f t="shared" si="112"/>
        <v>20389.082999999999</v>
      </c>
      <c r="HH80" s="426">
        <f t="shared" si="113"/>
        <v>0</v>
      </c>
      <c r="HI80" s="426">
        <f t="shared" si="114"/>
        <v>20389.082999999999</v>
      </c>
      <c r="HJ80" s="426">
        <f t="shared" si="115"/>
        <v>0</v>
      </c>
      <c r="HK80" s="426">
        <f t="shared" si="116"/>
        <v>20389.082999999999</v>
      </c>
    </row>
    <row r="81" spans="1:219" ht="15" customHeight="1" x14ac:dyDescent="0.3">
      <c r="A81" s="287" t="s">
        <v>553</v>
      </c>
      <c r="B81" s="288" t="s">
        <v>392</v>
      </c>
      <c r="C81" s="289">
        <v>66282000</v>
      </c>
      <c r="D81" s="290">
        <f t="shared" si="61"/>
        <v>70457.766000000003</v>
      </c>
      <c r="E81" s="289">
        <v>5465146</v>
      </c>
      <c r="F81" s="289">
        <f t="shared" si="62"/>
        <v>5809.4501979999995</v>
      </c>
      <c r="J81" s="291" t="s">
        <v>553</v>
      </c>
      <c r="K81" s="292" t="s">
        <v>604</v>
      </c>
      <c r="L81" s="293">
        <v>1818886</v>
      </c>
      <c r="M81" s="293">
        <f t="shared" si="63"/>
        <v>1933.4758179999999</v>
      </c>
      <c r="Q81" s="291" t="s">
        <v>553</v>
      </c>
      <c r="R81" s="292" t="s">
        <v>391</v>
      </c>
      <c r="S81" s="293">
        <v>27000000</v>
      </c>
      <c r="T81" s="293">
        <v>1295428</v>
      </c>
      <c r="U81" s="293">
        <f t="shared" si="64"/>
        <v>28701</v>
      </c>
      <c r="V81" s="293">
        <f t="shared" si="65"/>
        <v>1377.0399640000001</v>
      </c>
      <c r="Z81" s="288" t="s">
        <v>397</v>
      </c>
      <c r="AA81" s="289">
        <v>102858</v>
      </c>
      <c r="AB81" s="289">
        <f t="shared" si="66"/>
        <v>109.338054</v>
      </c>
      <c r="AF81" s="288" t="s">
        <v>390</v>
      </c>
      <c r="AG81" s="289">
        <v>1300000</v>
      </c>
      <c r="AH81" s="289">
        <f t="shared" si="60"/>
        <v>1381.8999999999999</v>
      </c>
      <c r="AI81" s="289">
        <v>243250</v>
      </c>
      <c r="AL81" s="426"/>
      <c r="AN81" s="423" t="s">
        <v>553</v>
      </c>
      <c r="AO81" s="424" t="s">
        <v>596</v>
      </c>
      <c r="AP81" s="425">
        <v>261800</v>
      </c>
      <c r="AQ81" s="425">
        <f t="shared" si="67"/>
        <v>278.29340000000002</v>
      </c>
      <c r="AU81" s="423" t="s">
        <v>553</v>
      </c>
      <c r="AV81" s="424" t="s">
        <v>390</v>
      </c>
      <c r="AW81" s="425">
        <v>1300000</v>
      </c>
      <c r="AX81" s="425">
        <v>1000000</v>
      </c>
      <c r="AY81" s="425">
        <v>300000</v>
      </c>
      <c r="AZ81" s="426">
        <f t="shared" si="68"/>
        <v>1381.8999999999999</v>
      </c>
      <c r="BA81" s="426">
        <f t="shared" si="69"/>
        <v>1063</v>
      </c>
      <c r="BB81" s="426">
        <f t="shared" si="70"/>
        <v>318.89999999999998</v>
      </c>
      <c r="BF81" s="423" t="s">
        <v>553</v>
      </c>
      <c r="BG81" s="424" t="s">
        <v>402</v>
      </c>
      <c r="BH81" s="425">
        <v>1130500</v>
      </c>
      <c r="BI81" s="426">
        <f t="shared" si="71"/>
        <v>1201.7214999999999</v>
      </c>
      <c r="BM81" s="427" t="s">
        <v>553</v>
      </c>
      <c r="BN81" s="93" t="s">
        <v>389</v>
      </c>
      <c r="BO81" s="94">
        <v>0</v>
      </c>
      <c r="BP81" s="94">
        <v>11502000</v>
      </c>
      <c r="BQ81" s="94">
        <v>8095905</v>
      </c>
      <c r="BR81" s="94">
        <v>3406095</v>
      </c>
      <c r="BS81" s="94">
        <v>4259648</v>
      </c>
      <c r="BT81" s="426">
        <f t="shared" si="72"/>
        <v>12226.626</v>
      </c>
      <c r="BU81" s="426">
        <f t="shared" si="73"/>
        <v>8605.9470149999997</v>
      </c>
      <c r="BV81" s="426">
        <f t="shared" si="74"/>
        <v>3620.6789849999996</v>
      </c>
      <c r="BW81" s="426">
        <f t="shared" si="75"/>
        <v>4528.0058239999998</v>
      </c>
      <c r="CA81" s="93" t="s">
        <v>596</v>
      </c>
      <c r="CB81" s="426">
        <v>140000</v>
      </c>
      <c r="CC81" s="426">
        <f t="shared" si="76"/>
        <v>148.82</v>
      </c>
      <c r="CG81" s="424" t="s">
        <v>388</v>
      </c>
      <c r="CH81" s="425">
        <v>0</v>
      </c>
      <c r="CI81" s="425">
        <v>7275000</v>
      </c>
      <c r="CJ81" s="425">
        <v>-7275000</v>
      </c>
      <c r="CK81" s="425">
        <v>7275000</v>
      </c>
      <c r="CL81" s="425">
        <v>0</v>
      </c>
      <c r="CM81" s="425">
        <v>3633600</v>
      </c>
      <c r="CN81" s="425">
        <f t="shared" si="77"/>
        <v>7733.3249999999998</v>
      </c>
      <c r="CO81" s="425">
        <f t="shared" si="78"/>
        <v>7733.3249999999998</v>
      </c>
      <c r="CP81" s="425">
        <f t="shared" si="79"/>
        <v>0</v>
      </c>
      <c r="CQ81" s="425">
        <f t="shared" si="80"/>
        <v>3862.5167999999999</v>
      </c>
      <c r="CU81" s="424" t="s">
        <v>717</v>
      </c>
      <c r="CV81" s="425">
        <v>0</v>
      </c>
      <c r="CW81" s="425">
        <v>0</v>
      </c>
      <c r="CX81" s="426">
        <f t="shared" si="81"/>
        <v>0</v>
      </c>
      <c r="CY81" s="426">
        <f t="shared" si="82"/>
        <v>0</v>
      </c>
      <c r="DB81" s="568" t="s">
        <v>388</v>
      </c>
      <c r="DC81" s="569">
        <v>7275000</v>
      </c>
      <c r="DD81" s="569">
        <v>7275000</v>
      </c>
      <c r="DE81" s="569">
        <v>0</v>
      </c>
      <c r="DF81" s="569">
        <v>4767200</v>
      </c>
      <c r="DG81" s="570">
        <f t="shared" si="83"/>
        <v>7733.3249999999998</v>
      </c>
      <c r="DH81" s="570">
        <f t="shared" si="84"/>
        <v>7733.3249999999998</v>
      </c>
      <c r="DI81" s="570">
        <f t="shared" si="85"/>
        <v>0</v>
      </c>
      <c r="DJ81" s="570">
        <f t="shared" si="86"/>
        <v>5067.5335999999998</v>
      </c>
      <c r="DN81" s="93" t="s">
        <v>401</v>
      </c>
      <c r="DO81" s="93">
        <v>0</v>
      </c>
      <c r="DP81" s="93">
        <v>5212915</v>
      </c>
      <c r="DQ81" s="626">
        <f t="shared" si="87"/>
        <v>0</v>
      </c>
      <c r="DR81" s="626">
        <f t="shared" si="88"/>
        <v>5541.3286449999996</v>
      </c>
      <c r="DV81" s="93" t="s">
        <v>387</v>
      </c>
      <c r="DW81" s="94">
        <v>161234437</v>
      </c>
      <c r="DX81" s="94">
        <v>157069328</v>
      </c>
      <c r="DY81" s="94">
        <v>4165109</v>
      </c>
      <c r="DZ81" s="94">
        <v>93519869</v>
      </c>
      <c r="EA81" s="94">
        <f t="shared" si="89"/>
        <v>171392.206531</v>
      </c>
      <c r="EB81" s="94">
        <f t="shared" si="90"/>
        <v>166964.695664</v>
      </c>
      <c r="EC81" s="94">
        <f t="shared" si="91"/>
        <v>4427.510867</v>
      </c>
      <c r="ED81" s="94">
        <f t="shared" si="92"/>
        <v>99411.620747000008</v>
      </c>
      <c r="EH81" s="420" t="s">
        <v>600</v>
      </c>
      <c r="EI81" s="420">
        <v>421061</v>
      </c>
      <c r="EJ81" s="426">
        <f t="shared" si="93"/>
        <v>447.58784299999996</v>
      </c>
      <c r="EN81" s="420" t="s">
        <v>594</v>
      </c>
      <c r="EO81" s="426">
        <v>1675972</v>
      </c>
      <c r="EP81" s="426">
        <v>1507825</v>
      </c>
      <c r="EQ81" s="426">
        <v>168147</v>
      </c>
      <c r="ER81" s="426">
        <v>1507825</v>
      </c>
      <c r="ES81" s="700">
        <f t="shared" si="94"/>
        <v>1781.5582359999999</v>
      </c>
      <c r="ET81" s="700">
        <f t="shared" si="95"/>
        <v>1602.8179749999999</v>
      </c>
      <c r="EU81" s="700">
        <f t="shared" si="96"/>
        <v>178.74026099999998</v>
      </c>
      <c r="EV81" s="700">
        <f t="shared" si="97"/>
        <v>1602.8179749999999</v>
      </c>
      <c r="EZ81" s="730" t="s">
        <v>553</v>
      </c>
      <c r="FA81" s="731" t="s">
        <v>399</v>
      </c>
      <c r="FB81" s="420">
        <v>0</v>
      </c>
      <c r="FC81" s="426">
        <f t="shared" si="98"/>
        <v>0</v>
      </c>
      <c r="FG81" s="735" t="s">
        <v>553</v>
      </c>
      <c r="FH81" s="734" t="s">
        <v>594</v>
      </c>
      <c r="FI81" s="732">
        <v>1675972</v>
      </c>
      <c r="FJ81" s="733">
        <v>1675972</v>
      </c>
      <c r="FK81" s="733">
        <v>0</v>
      </c>
      <c r="FL81" s="733">
        <v>1675972</v>
      </c>
      <c r="FM81" s="426">
        <f t="shared" si="99"/>
        <v>1675.972</v>
      </c>
      <c r="FN81" s="426">
        <f t="shared" si="100"/>
        <v>1675.972</v>
      </c>
      <c r="FO81" s="426">
        <f t="shared" si="101"/>
        <v>0</v>
      </c>
      <c r="FP81" s="426">
        <f t="shared" si="102"/>
        <v>1675.972</v>
      </c>
      <c r="FT81" s="427" t="s">
        <v>355</v>
      </c>
      <c r="FU81" s="93" t="s">
        <v>395</v>
      </c>
      <c r="FV81" s="94">
        <v>491738</v>
      </c>
      <c r="FW81" s="94">
        <v>1791738</v>
      </c>
      <c r="FX81" s="94">
        <v>3583338</v>
      </c>
      <c r="FY81" s="426">
        <f t="shared" si="103"/>
        <v>491.738</v>
      </c>
      <c r="FZ81" s="426">
        <f t="shared" si="104"/>
        <v>1791.7380000000001</v>
      </c>
      <c r="GA81" s="426">
        <f t="shared" si="105"/>
        <v>3583.3380000000002</v>
      </c>
      <c r="GG81" s="762" t="s">
        <v>553</v>
      </c>
      <c r="GH81" s="763" t="s">
        <v>594</v>
      </c>
      <c r="GI81" s="764">
        <v>2007280</v>
      </c>
      <c r="GJ81" s="764">
        <v>1675972</v>
      </c>
      <c r="GK81" s="764">
        <v>331308</v>
      </c>
      <c r="GL81" s="764">
        <v>1675972</v>
      </c>
      <c r="GM81" s="764">
        <v>0</v>
      </c>
      <c r="GN81" s="426">
        <f t="shared" si="106"/>
        <v>2007.28</v>
      </c>
      <c r="GO81" s="426">
        <f t="shared" si="107"/>
        <v>1675.972</v>
      </c>
      <c r="GP81" s="426">
        <f t="shared" si="108"/>
        <v>331.30799999999999</v>
      </c>
      <c r="GQ81" s="426">
        <f t="shared" si="109"/>
        <v>1675.972</v>
      </c>
      <c r="GR81" s="426">
        <f t="shared" si="110"/>
        <v>0</v>
      </c>
      <c r="GV81" s="780" t="s">
        <v>393</v>
      </c>
      <c r="GW81" s="779">
        <v>320326</v>
      </c>
      <c r="GX81" s="426">
        <f t="shared" si="111"/>
        <v>320.32600000000002</v>
      </c>
      <c r="HB81" s="782" t="s">
        <v>590</v>
      </c>
      <c r="HC81" s="764">
        <v>0</v>
      </c>
      <c r="HD81" s="764">
        <v>0</v>
      </c>
      <c r="HE81" s="764">
        <v>0</v>
      </c>
      <c r="HF81" s="764">
        <v>0</v>
      </c>
      <c r="HG81" s="426">
        <f t="shared" si="112"/>
        <v>0</v>
      </c>
      <c r="HH81" s="426">
        <f t="shared" si="113"/>
        <v>0</v>
      </c>
      <c r="HI81" s="426">
        <f t="shared" si="114"/>
        <v>0</v>
      </c>
      <c r="HJ81" s="426">
        <f t="shared" si="115"/>
        <v>0</v>
      </c>
      <c r="HK81" s="426">
        <f t="shared" si="116"/>
        <v>0</v>
      </c>
    </row>
    <row r="82" spans="1:219" ht="15" customHeight="1" x14ac:dyDescent="0.3">
      <c r="A82" s="287" t="s">
        <v>553</v>
      </c>
      <c r="B82" s="288" t="s">
        <v>393</v>
      </c>
      <c r="C82" s="289">
        <v>10000000</v>
      </c>
      <c r="D82" s="290">
        <f t="shared" si="61"/>
        <v>10630</v>
      </c>
      <c r="E82" s="289">
        <v>249522</v>
      </c>
      <c r="F82" s="289">
        <f t="shared" si="62"/>
        <v>265.24188599999997</v>
      </c>
      <c r="J82" s="291" t="s">
        <v>553</v>
      </c>
      <c r="K82" s="292" t="s">
        <v>605</v>
      </c>
      <c r="L82" s="293">
        <v>0</v>
      </c>
      <c r="M82" s="293">
        <f t="shared" si="63"/>
        <v>0</v>
      </c>
      <c r="Q82" s="291" t="s">
        <v>553</v>
      </c>
      <c r="R82" s="292" t="s">
        <v>392</v>
      </c>
      <c r="S82" s="293">
        <v>66282000</v>
      </c>
      <c r="T82" s="293">
        <v>10930292</v>
      </c>
      <c r="U82" s="293">
        <f t="shared" si="64"/>
        <v>70457.766000000003</v>
      </c>
      <c r="V82" s="293">
        <f t="shared" si="65"/>
        <v>11618.900395999999</v>
      </c>
      <c r="Z82" s="288" t="s">
        <v>398</v>
      </c>
      <c r="AA82" s="289">
        <v>102858</v>
      </c>
      <c r="AB82" s="289">
        <f t="shared" si="66"/>
        <v>109.338054</v>
      </c>
      <c r="AF82" s="288" t="s">
        <v>391</v>
      </c>
      <c r="AG82" s="289">
        <v>27000000</v>
      </c>
      <c r="AH82" s="289">
        <f t="shared" si="60"/>
        <v>28701</v>
      </c>
      <c r="AI82" s="289">
        <v>2008552</v>
      </c>
      <c r="AL82" s="426"/>
      <c r="AN82" s="423" t="s">
        <v>553</v>
      </c>
      <c r="AO82" s="424" t="s">
        <v>597</v>
      </c>
      <c r="AP82" s="425">
        <v>947075</v>
      </c>
      <c r="AQ82" s="425">
        <f t="shared" si="67"/>
        <v>1006.740725</v>
      </c>
      <c r="AU82" s="423" t="s">
        <v>553</v>
      </c>
      <c r="AV82" s="424" t="s">
        <v>391</v>
      </c>
      <c r="AW82" s="425">
        <v>17225000</v>
      </c>
      <c r="AX82" s="425">
        <v>12611358</v>
      </c>
      <c r="AY82" s="425">
        <v>4613642</v>
      </c>
      <c r="AZ82" s="426">
        <f t="shared" si="68"/>
        <v>18310.174999999999</v>
      </c>
      <c r="BA82" s="426">
        <f t="shared" si="69"/>
        <v>13405.873554</v>
      </c>
      <c r="BB82" s="426">
        <f t="shared" si="70"/>
        <v>4904.3014459999995</v>
      </c>
      <c r="BF82" s="423" t="s">
        <v>355</v>
      </c>
      <c r="BG82" s="424" t="s">
        <v>403</v>
      </c>
      <c r="BH82" s="425">
        <v>54066903</v>
      </c>
      <c r="BI82" s="426">
        <f t="shared" si="71"/>
        <v>57473.117888999994</v>
      </c>
      <c r="BM82" s="427" t="s">
        <v>553</v>
      </c>
      <c r="BN82" s="93" t="s">
        <v>390</v>
      </c>
      <c r="BO82" s="94">
        <v>0</v>
      </c>
      <c r="BP82" s="94">
        <v>1816222</v>
      </c>
      <c r="BQ82" s="94">
        <v>1508511</v>
      </c>
      <c r="BR82" s="94">
        <v>307711</v>
      </c>
      <c r="BS82" s="94">
        <v>359650</v>
      </c>
      <c r="BT82" s="426">
        <f t="shared" si="72"/>
        <v>1930.6439859999998</v>
      </c>
      <c r="BU82" s="426">
        <f t="shared" si="73"/>
        <v>1603.5471929999999</v>
      </c>
      <c r="BV82" s="426">
        <f t="shared" si="74"/>
        <v>327.09679299999999</v>
      </c>
      <c r="BW82" s="426">
        <f t="shared" si="75"/>
        <v>382.30794999999995</v>
      </c>
      <c r="CA82" s="93" t="s">
        <v>597</v>
      </c>
      <c r="CB82" s="426">
        <v>544458</v>
      </c>
      <c r="CC82" s="426">
        <f t="shared" si="76"/>
        <v>578.75885399999993</v>
      </c>
      <c r="CG82" s="424" t="s">
        <v>389</v>
      </c>
      <c r="CH82" s="425">
        <v>0</v>
      </c>
      <c r="CI82" s="425">
        <v>11502000</v>
      </c>
      <c r="CJ82" s="425">
        <v>-11502000</v>
      </c>
      <c r="CK82" s="425">
        <v>8095905</v>
      </c>
      <c r="CL82" s="425">
        <v>3406095</v>
      </c>
      <c r="CM82" s="425">
        <v>4445571</v>
      </c>
      <c r="CN82" s="425">
        <f t="shared" si="77"/>
        <v>12226.626</v>
      </c>
      <c r="CO82" s="425">
        <f t="shared" si="78"/>
        <v>8605.9470149999997</v>
      </c>
      <c r="CP82" s="425">
        <f t="shared" si="79"/>
        <v>3620.6789849999996</v>
      </c>
      <c r="CQ82" s="425">
        <f t="shared" si="80"/>
        <v>4725.6419729999998</v>
      </c>
      <c r="CU82" s="424" t="s">
        <v>600</v>
      </c>
      <c r="CV82" s="425">
        <v>0</v>
      </c>
      <c r="CW82" s="425">
        <v>421061</v>
      </c>
      <c r="CX82" s="426">
        <f t="shared" si="81"/>
        <v>0</v>
      </c>
      <c r="CY82" s="426">
        <f t="shared" si="82"/>
        <v>447.58784299999996</v>
      </c>
      <c r="DB82" s="568" t="s">
        <v>389</v>
      </c>
      <c r="DC82" s="569">
        <v>11502000</v>
      </c>
      <c r="DD82" s="569">
        <v>9076479</v>
      </c>
      <c r="DE82" s="569">
        <v>2425521</v>
      </c>
      <c r="DF82" s="569">
        <v>6041187</v>
      </c>
      <c r="DG82" s="570">
        <f t="shared" si="83"/>
        <v>12226.626</v>
      </c>
      <c r="DH82" s="570">
        <f t="shared" si="84"/>
        <v>9648.2971769999986</v>
      </c>
      <c r="DI82" s="570">
        <f t="shared" si="85"/>
        <v>2578.3288230000003</v>
      </c>
      <c r="DJ82" s="570">
        <f t="shared" si="86"/>
        <v>6421.7817809999997</v>
      </c>
      <c r="DN82" s="93" t="s">
        <v>601</v>
      </c>
      <c r="DO82" s="93">
        <v>25122485</v>
      </c>
      <c r="DP82" s="93">
        <v>13237272</v>
      </c>
      <c r="DQ82" s="626">
        <f t="shared" si="87"/>
        <v>26705.201555</v>
      </c>
      <c r="DR82" s="626">
        <f t="shared" si="88"/>
        <v>14071.220136</v>
      </c>
      <c r="DV82" s="93" t="s">
        <v>388</v>
      </c>
      <c r="DW82" s="94">
        <v>9375000</v>
      </c>
      <c r="DX82" s="94">
        <v>9375000</v>
      </c>
      <c r="DY82" s="94">
        <v>0</v>
      </c>
      <c r="DZ82" s="94">
        <v>6026300</v>
      </c>
      <c r="EA82" s="94">
        <f t="shared" si="89"/>
        <v>9965.625</v>
      </c>
      <c r="EB82" s="94">
        <f t="shared" si="90"/>
        <v>9965.625</v>
      </c>
      <c r="EC82" s="94">
        <f t="shared" si="91"/>
        <v>0</v>
      </c>
      <c r="ED82" s="94">
        <f t="shared" si="92"/>
        <v>6405.9569000000001</v>
      </c>
      <c r="EH82" s="420" t="s">
        <v>397</v>
      </c>
      <c r="EI82" s="420">
        <v>150458</v>
      </c>
      <c r="EJ82" s="426">
        <f t="shared" si="93"/>
        <v>159.93685399999998</v>
      </c>
      <c r="EN82" s="420" t="s">
        <v>385</v>
      </c>
      <c r="EO82" s="426">
        <v>7403819</v>
      </c>
      <c r="EP82" s="426">
        <v>7403819</v>
      </c>
      <c r="EQ82" s="426">
        <v>0</v>
      </c>
      <c r="ER82" s="426">
        <v>7403819</v>
      </c>
      <c r="ES82" s="700">
        <f t="shared" si="94"/>
        <v>7870.2595970000002</v>
      </c>
      <c r="ET82" s="700">
        <f t="shared" si="95"/>
        <v>7870.2595970000002</v>
      </c>
      <c r="EU82" s="700">
        <f t="shared" si="96"/>
        <v>0</v>
      </c>
      <c r="EV82" s="700">
        <f t="shared" si="97"/>
        <v>7870.2595970000002</v>
      </c>
      <c r="EZ82" s="730" t="s">
        <v>355</v>
      </c>
      <c r="FA82" s="731" t="s">
        <v>400</v>
      </c>
      <c r="FB82" s="420">
        <v>40505150</v>
      </c>
      <c r="FC82" s="426">
        <f t="shared" si="98"/>
        <v>40505.15</v>
      </c>
      <c r="FG82" s="735" t="s">
        <v>553</v>
      </c>
      <c r="FH82" s="734" t="s">
        <v>385</v>
      </c>
      <c r="FI82" s="732">
        <v>7403819</v>
      </c>
      <c r="FJ82" s="733">
        <v>7403819</v>
      </c>
      <c r="FK82" s="733">
        <v>0</v>
      </c>
      <c r="FL82" s="733">
        <v>7403819</v>
      </c>
      <c r="FM82" s="426">
        <f t="shared" si="99"/>
        <v>7403.8190000000004</v>
      </c>
      <c r="FN82" s="426">
        <f t="shared" si="100"/>
        <v>7403.8190000000004</v>
      </c>
      <c r="FO82" s="426">
        <f t="shared" si="101"/>
        <v>0</v>
      </c>
      <c r="FP82" s="426">
        <f t="shared" si="102"/>
        <v>7403.8190000000004</v>
      </c>
      <c r="FT82" s="427" t="s">
        <v>553</v>
      </c>
      <c r="FU82" s="93" t="s">
        <v>597</v>
      </c>
      <c r="FV82" s="94">
        <v>803407</v>
      </c>
      <c r="FW82" s="94">
        <v>803407</v>
      </c>
      <c r="FX82" s="94">
        <v>3162277</v>
      </c>
      <c r="FY82" s="426">
        <f t="shared" si="103"/>
        <v>803.40700000000004</v>
      </c>
      <c r="FZ82" s="426">
        <f t="shared" si="104"/>
        <v>803.40700000000004</v>
      </c>
      <c r="GA82" s="426">
        <f t="shared" si="105"/>
        <v>3162.277</v>
      </c>
      <c r="GG82" s="762" t="s">
        <v>553</v>
      </c>
      <c r="GH82" s="763" t="s">
        <v>385</v>
      </c>
      <c r="GI82" s="764">
        <v>7851259</v>
      </c>
      <c r="GJ82" s="764">
        <v>7522819</v>
      </c>
      <c r="GK82" s="764">
        <v>328440</v>
      </c>
      <c r="GL82" s="764">
        <v>7403819</v>
      </c>
      <c r="GM82" s="764">
        <v>119000</v>
      </c>
      <c r="GN82" s="426">
        <f t="shared" si="106"/>
        <v>7851.259</v>
      </c>
      <c r="GO82" s="426">
        <f t="shared" si="107"/>
        <v>7522.8190000000004</v>
      </c>
      <c r="GP82" s="426">
        <f t="shared" si="108"/>
        <v>328.44</v>
      </c>
      <c r="GQ82" s="426">
        <f t="shared" si="109"/>
        <v>7403.8190000000004</v>
      </c>
      <c r="GR82" s="426">
        <f t="shared" si="110"/>
        <v>119</v>
      </c>
      <c r="GV82" s="780" t="s">
        <v>395</v>
      </c>
      <c r="GW82" s="779">
        <v>13902291</v>
      </c>
      <c r="GX82" s="426">
        <f t="shared" si="111"/>
        <v>13902.290999999999</v>
      </c>
      <c r="HB82" s="782" t="s">
        <v>591</v>
      </c>
      <c r="HC82" s="764">
        <v>10862243</v>
      </c>
      <c r="HD82" s="764">
        <v>10862243</v>
      </c>
      <c r="HE82" s="764">
        <v>0</v>
      </c>
      <c r="HF82" s="764">
        <v>10862243</v>
      </c>
      <c r="HG82" s="426">
        <f t="shared" si="112"/>
        <v>10862.243</v>
      </c>
      <c r="HH82" s="426">
        <f t="shared" si="113"/>
        <v>0</v>
      </c>
      <c r="HI82" s="426">
        <f t="shared" si="114"/>
        <v>10862.243</v>
      </c>
      <c r="HJ82" s="426">
        <f t="shared" si="115"/>
        <v>0</v>
      </c>
      <c r="HK82" s="426">
        <f t="shared" si="116"/>
        <v>10862.243</v>
      </c>
    </row>
    <row r="83" spans="1:219" ht="15" customHeight="1" x14ac:dyDescent="0.3">
      <c r="A83" s="287" t="s">
        <v>553</v>
      </c>
      <c r="B83" s="288" t="s">
        <v>394</v>
      </c>
      <c r="C83" s="289">
        <v>6100000</v>
      </c>
      <c r="D83" s="290">
        <f t="shared" si="61"/>
        <v>6484.2999999999993</v>
      </c>
      <c r="E83" s="289">
        <v>479808</v>
      </c>
      <c r="F83" s="289">
        <f t="shared" si="62"/>
        <v>510.03590399999996</v>
      </c>
      <c r="J83" s="291" t="s">
        <v>553</v>
      </c>
      <c r="K83" s="292" t="s">
        <v>494</v>
      </c>
      <c r="L83" s="293">
        <v>1041250</v>
      </c>
      <c r="M83" s="293">
        <f t="shared" si="63"/>
        <v>1106.8487499999999</v>
      </c>
      <c r="Q83" s="291" t="s">
        <v>553</v>
      </c>
      <c r="R83" s="292" t="s">
        <v>393</v>
      </c>
      <c r="S83" s="293">
        <v>10000000</v>
      </c>
      <c r="T83" s="293">
        <v>249522</v>
      </c>
      <c r="U83" s="293">
        <f t="shared" si="64"/>
        <v>10630</v>
      </c>
      <c r="V83" s="293">
        <f t="shared" si="65"/>
        <v>265.24188599999997</v>
      </c>
      <c r="Z83" s="288" t="s">
        <v>399</v>
      </c>
      <c r="AA83" s="289">
        <v>0</v>
      </c>
      <c r="AB83" s="289">
        <f t="shared" si="66"/>
        <v>0</v>
      </c>
      <c r="AF83" s="288" t="s">
        <v>392</v>
      </c>
      <c r="AG83" s="289">
        <v>66282000</v>
      </c>
      <c r="AH83" s="289">
        <f t="shared" si="60"/>
        <v>70457.766000000003</v>
      </c>
      <c r="AI83" s="289">
        <v>16395438</v>
      </c>
      <c r="AL83" s="426"/>
      <c r="AN83" s="423" t="s">
        <v>553</v>
      </c>
      <c r="AO83" s="424" t="s">
        <v>717</v>
      </c>
      <c r="AP83" s="425">
        <v>0</v>
      </c>
      <c r="AQ83" s="425">
        <f t="shared" si="67"/>
        <v>0</v>
      </c>
      <c r="AU83" s="423" t="s">
        <v>553</v>
      </c>
      <c r="AV83" s="424" t="s">
        <v>392</v>
      </c>
      <c r="AW83" s="425">
        <v>65581752</v>
      </c>
      <c r="AX83" s="425">
        <v>65581752</v>
      </c>
      <c r="AY83" s="425">
        <v>0</v>
      </c>
      <c r="AZ83" s="426">
        <f t="shared" si="68"/>
        <v>69713.402375999984</v>
      </c>
      <c r="BA83" s="426">
        <f t="shared" si="69"/>
        <v>69713.402375999984</v>
      </c>
      <c r="BB83" s="426">
        <f t="shared" si="70"/>
        <v>0</v>
      </c>
      <c r="BF83" s="423" t="s">
        <v>553</v>
      </c>
      <c r="BG83" s="424" t="s">
        <v>404</v>
      </c>
      <c r="BH83" s="425">
        <v>45659023</v>
      </c>
      <c r="BI83" s="426">
        <f t="shared" si="71"/>
        <v>48535.541448999997</v>
      </c>
      <c r="BM83" s="427" t="s">
        <v>553</v>
      </c>
      <c r="BN83" s="93" t="s">
        <v>391</v>
      </c>
      <c r="BO83" s="94">
        <v>0</v>
      </c>
      <c r="BP83" s="94">
        <v>21611358</v>
      </c>
      <c r="BQ83" s="94">
        <v>12611358</v>
      </c>
      <c r="BR83" s="94">
        <v>9000000</v>
      </c>
      <c r="BS83" s="94">
        <v>4416488</v>
      </c>
      <c r="BT83" s="426">
        <f t="shared" si="72"/>
        <v>22972.873553999998</v>
      </c>
      <c r="BU83" s="426">
        <f t="shared" si="73"/>
        <v>13405.873554</v>
      </c>
      <c r="BV83" s="426">
        <f t="shared" si="74"/>
        <v>9567</v>
      </c>
      <c r="BW83" s="426">
        <f t="shared" si="75"/>
        <v>4694.7267440000005</v>
      </c>
      <c r="CA83" s="93" t="s">
        <v>600</v>
      </c>
      <c r="CB83" s="426">
        <v>421061</v>
      </c>
      <c r="CC83" s="426">
        <f t="shared" si="76"/>
        <v>447.58784299999996</v>
      </c>
      <c r="CG83" s="424" t="s">
        <v>390</v>
      </c>
      <c r="CH83" s="425">
        <v>0</v>
      </c>
      <c r="CI83" s="425">
        <v>1516222</v>
      </c>
      <c r="CJ83" s="425">
        <v>-1516222</v>
      </c>
      <c r="CK83" s="425">
        <v>1484486</v>
      </c>
      <c r="CL83" s="425">
        <v>31736</v>
      </c>
      <c r="CM83" s="425">
        <v>485650</v>
      </c>
      <c r="CN83" s="425">
        <f t="shared" si="77"/>
        <v>1611.7439859999999</v>
      </c>
      <c r="CO83" s="425">
        <f t="shared" si="78"/>
        <v>1578.0086180000001</v>
      </c>
      <c r="CP83" s="425">
        <f t="shared" si="79"/>
        <v>33.735368000000001</v>
      </c>
      <c r="CQ83" s="425">
        <f t="shared" si="80"/>
        <v>516.24594999999999</v>
      </c>
      <c r="CU83" s="424" t="s">
        <v>397</v>
      </c>
      <c r="CV83" s="425">
        <v>147750</v>
      </c>
      <c r="CW83" s="425">
        <v>100150</v>
      </c>
      <c r="CX83" s="426">
        <f t="shared" si="81"/>
        <v>157.05824999999999</v>
      </c>
      <c r="CY83" s="426">
        <f t="shared" si="82"/>
        <v>106.45945</v>
      </c>
      <c r="DB83" s="568" t="s">
        <v>390</v>
      </c>
      <c r="DC83" s="569">
        <v>2034027</v>
      </c>
      <c r="DD83" s="569">
        <v>2002291</v>
      </c>
      <c r="DE83" s="569">
        <v>31736</v>
      </c>
      <c r="DF83" s="569">
        <v>1659841</v>
      </c>
      <c r="DG83" s="570">
        <f t="shared" si="83"/>
        <v>2162.170701</v>
      </c>
      <c r="DH83" s="570">
        <f t="shared" si="84"/>
        <v>2128.4353329999999</v>
      </c>
      <c r="DI83" s="570">
        <f t="shared" si="85"/>
        <v>33.735368000000001</v>
      </c>
      <c r="DJ83" s="570">
        <f t="shared" si="86"/>
        <v>1764.4109829999998</v>
      </c>
      <c r="DN83" s="93" t="s">
        <v>602</v>
      </c>
      <c r="DO83" s="93">
        <v>2098000</v>
      </c>
      <c r="DP83" s="93">
        <v>4607000</v>
      </c>
      <c r="DQ83" s="626">
        <f t="shared" si="87"/>
        <v>2230.174</v>
      </c>
      <c r="DR83" s="626">
        <f t="shared" si="88"/>
        <v>4897.241</v>
      </c>
      <c r="DV83" s="93" t="s">
        <v>389</v>
      </c>
      <c r="DW83" s="94">
        <v>14691479</v>
      </c>
      <c r="DX83" s="94">
        <v>14691479</v>
      </c>
      <c r="DY83" s="94">
        <v>0</v>
      </c>
      <c r="DZ83" s="94">
        <v>6277703</v>
      </c>
      <c r="EA83" s="94">
        <f t="shared" si="89"/>
        <v>15617.042176999999</v>
      </c>
      <c r="EB83" s="94">
        <f t="shared" si="90"/>
        <v>15617.042176999999</v>
      </c>
      <c r="EC83" s="94">
        <f t="shared" si="91"/>
        <v>0</v>
      </c>
      <c r="ED83" s="94">
        <f t="shared" si="92"/>
        <v>6673.1982889999999</v>
      </c>
      <c r="EH83" s="420" t="s">
        <v>398</v>
      </c>
      <c r="EI83" s="420">
        <v>102858</v>
      </c>
      <c r="EJ83" s="426">
        <f t="shared" si="93"/>
        <v>109.338054</v>
      </c>
      <c r="EN83" s="420" t="s">
        <v>386</v>
      </c>
      <c r="EO83" s="426">
        <v>4354061</v>
      </c>
      <c r="EP83" s="426">
        <v>4354061</v>
      </c>
      <c r="EQ83" s="426">
        <v>0</v>
      </c>
      <c r="ER83" s="426">
        <v>4354061</v>
      </c>
      <c r="ES83" s="700">
        <f t="shared" si="94"/>
        <v>4628.3668429999998</v>
      </c>
      <c r="ET83" s="700">
        <f t="shared" si="95"/>
        <v>4628.3668429999998</v>
      </c>
      <c r="EU83" s="700">
        <f t="shared" si="96"/>
        <v>0</v>
      </c>
      <c r="EV83" s="700">
        <f t="shared" si="97"/>
        <v>4628.3668429999998</v>
      </c>
      <c r="EZ83" s="730" t="s">
        <v>553</v>
      </c>
      <c r="FA83" s="731" t="s">
        <v>401</v>
      </c>
      <c r="FB83" s="420">
        <v>8630449</v>
      </c>
      <c r="FC83" s="426">
        <f t="shared" si="98"/>
        <v>8630.4490000000005</v>
      </c>
      <c r="FG83" s="735" t="s">
        <v>553</v>
      </c>
      <c r="FH83" s="734" t="s">
        <v>386</v>
      </c>
      <c r="FI83" s="732">
        <v>4354061</v>
      </c>
      <c r="FJ83" s="733">
        <v>4354061</v>
      </c>
      <c r="FK83" s="733">
        <v>0</v>
      </c>
      <c r="FL83" s="733">
        <v>4354061</v>
      </c>
      <c r="FM83" s="426">
        <f t="shared" si="99"/>
        <v>4354.0609999999997</v>
      </c>
      <c r="FN83" s="426">
        <f t="shared" si="100"/>
        <v>4354.0609999999997</v>
      </c>
      <c r="FO83" s="426">
        <f t="shared" si="101"/>
        <v>0</v>
      </c>
      <c r="FP83" s="426">
        <f t="shared" si="102"/>
        <v>4354.0609999999997</v>
      </c>
      <c r="FT83" s="427" t="s">
        <v>553</v>
      </c>
      <c r="FU83" s="93" t="s">
        <v>598</v>
      </c>
      <c r="FV83" s="94">
        <v>0</v>
      </c>
      <c r="FW83" s="94">
        <v>0</v>
      </c>
      <c r="FX83" s="94">
        <v>0</v>
      </c>
      <c r="FY83" s="426">
        <f t="shared" si="103"/>
        <v>0</v>
      </c>
      <c r="FZ83" s="426">
        <f t="shared" si="104"/>
        <v>0</v>
      </c>
      <c r="GA83" s="426">
        <f t="shared" si="105"/>
        <v>0</v>
      </c>
      <c r="GG83" s="762" t="s">
        <v>553</v>
      </c>
      <c r="GH83" s="763" t="s">
        <v>386</v>
      </c>
      <c r="GI83" s="764">
        <v>4354061</v>
      </c>
      <c r="GJ83" s="764">
        <v>4354061</v>
      </c>
      <c r="GK83" s="764">
        <v>0</v>
      </c>
      <c r="GL83" s="764">
        <v>4354061</v>
      </c>
      <c r="GM83" s="764">
        <v>0</v>
      </c>
      <c r="GN83" s="426">
        <f t="shared" si="106"/>
        <v>4354.0609999999997</v>
      </c>
      <c r="GO83" s="426">
        <f t="shared" si="107"/>
        <v>4354.0609999999997</v>
      </c>
      <c r="GP83" s="426">
        <f t="shared" si="108"/>
        <v>0</v>
      </c>
      <c r="GQ83" s="426">
        <f t="shared" si="109"/>
        <v>4354.0609999999997</v>
      </c>
      <c r="GR83" s="426">
        <f t="shared" si="110"/>
        <v>0</v>
      </c>
      <c r="GV83" s="780" t="s">
        <v>596</v>
      </c>
      <c r="GW83" s="779">
        <v>12599601</v>
      </c>
      <c r="GX83" s="426">
        <f t="shared" si="111"/>
        <v>12599.601000000001</v>
      </c>
      <c r="HB83" s="782" t="s">
        <v>592</v>
      </c>
      <c r="HC83" s="764">
        <v>407374</v>
      </c>
      <c r="HD83" s="764">
        <v>407374</v>
      </c>
      <c r="HE83" s="764">
        <v>0</v>
      </c>
      <c r="HF83" s="764">
        <v>407374</v>
      </c>
      <c r="HG83" s="426">
        <f t="shared" si="112"/>
        <v>407.37400000000002</v>
      </c>
      <c r="HH83" s="426">
        <f t="shared" si="113"/>
        <v>0</v>
      </c>
      <c r="HI83" s="426">
        <f t="shared" si="114"/>
        <v>407.37400000000002</v>
      </c>
      <c r="HJ83" s="426">
        <f t="shared" si="115"/>
        <v>0</v>
      </c>
      <c r="HK83" s="426">
        <f t="shared" si="116"/>
        <v>407.37400000000002</v>
      </c>
    </row>
    <row r="84" spans="1:219" ht="15" customHeight="1" x14ac:dyDescent="0.3">
      <c r="A84" s="287" t="s">
        <v>553</v>
      </c>
      <c r="B84" s="288" t="s">
        <v>595</v>
      </c>
      <c r="C84" s="289">
        <v>36000000</v>
      </c>
      <c r="D84" s="290">
        <f t="shared" si="61"/>
        <v>38268</v>
      </c>
      <c r="E84" s="289">
        <v>2885929</v>
      </c>
      <c r="F84" s="289">
        <f t="shared" si="62"/>
        <v>3067.7425269999999</v>
      </c>
      <c r="J84" s="291" t="s">
        <v>355</v>
      </c>
      <c r="K84" s="292" t="s">
        <v>606</v>
      </c>
      <c r="L84" s="293">
        <v>0</v>
      </c>
      <c r="M84" s="293">
        <f t="shared" si="63"/>
        <v>0</v>
      </c>
      <c r="Q84" s="291" t="s">
        <v>553</v>
      </c>
      <c r="R84" s="292" t="s">
        <v>394</v>
      </c>
      <c r="S84" s="293">
        <v>6100000</v>
      </c>
      <c r="T84" s="293">
        <v>959616</v>
      </c>
      <c r="U84" s="293">
        <f t="shared" si="64"/>
        <v>6484.2999999999993</v>
      </c>
      <c r="V84" s="293">
        <f t="shared" si="65"/>
        <v>1020.0718079999999</v>
      </c>
      <c r="Z84" s="288" t="s">
        <v>400</v>
      </c>
      <c r="AA84" s="289">
        <v>24340126</v>
      </c>
      <c r="AB84" s="289">
        <f t="shared" si="66"/>
        <v>25873.553937999997</v>
      </c>
      <c r="AF84" s="288" t="s">
        <v>393</v>
      </c>
      <c r="AG84" s="289">
        <v>10000000</v>
      </c>
      <c r="AH84" s="289">
        <f t="shared" si="60"/>
        <v>10630</v>
      </c>
      <c r="AI84" s="289">
        <v>374260</v>
      </c>
      <c r="AL84" s="426"/>
      <c r="AN84" s="423" t="s">
        <v>553</v>
      </c>
      <c r="AO84" s="424" t="s">
        <v>600</v>
      </c>
      <c r="AP84" s="425">
        <v>421061</v>
      </c>
      <c r="AQ84" s="425">
        <f t="shared" si="67"/>
        <v>447.58784299999996</v>
      </c>
      <c r="AU84" s="423" t="s">
        <v>553</v>
      </c>
      <c r="AV84" s="424" t="s">
        <v>393</v>
      </c>
      <c r="AW84" s="425">
        <v>10000000</v>
      </c>
      <c r="AX84" s="425">
        <v>1451832</v>
      </c>
      <c r="AY84" s="425">
        <v>8548168</v>
      </c>
      <c r="AZ84" s="426">
        <f t="shared" si="68"/>
        <v>10630</v>
      </c>
      <c r="BA84" s="426">
        <f t="shared" si="69"/>
        <v>1543.2974160000001</v>
      </c>
      <c r="BB84" s="426">
        <f t="shared" si="70"/>
        <v>9086.7025839999988</v>
      </c>
      <c r="BF84" s="423" t="s">
        <v>553</v>
      </c>
      <c r="BG84" s="424" t="s">
        <v>604</v>
      </c>
      <c r="BH84" s="425">
        <v>2041190</v>
      </c>
      <c r="BI84" s="426">
        <f t="shared" si="71"/>
        <v>2169.7849700000002</v>
      </c>
      <c r="BM84" s="427" t="s">
        <v>553</v>
      </c>
      <c r="BN84" s="93" t="s">
        <v>392</v>
      </c>
      <c r="BO84" s="94">
        <v>0</v>
      </c>
      <c r="BP84" s="94">
        <v>65581752</v>
      </c>
      <c r="BQ84" s="94">
        <v>65581752</v>
      </c>
      <c r="BR84" s="94">
        <v>0</v>
      </c>
      <c r="BS84" s="94">
        <v>27325730</v>
      </c>
      <c r="BT84" s="426">
        <f t="shared" si="72"/>
        <v>69713.402375999984</v>
      </c>
      <c r="BU84" s="426">
        <f t="shared" si="73"/>
        <v>69713.402375999984</v>
      </c>
      <c r="BV84" s="426">
        <f t="shared" si="74"/>
        <v>0</v>
      </c>
      <c r="BW84" s="426">
        <f t="shared" si="75"/>
        <v>29047.250989999997</v>
      </c>
      <c r="CA84" s="93" t="s">
        <v>397</v>
      </c>
      <c r="CB84" s="426">
        <v>1058348</v>
      </c>
      <c r="CC84" s="426">
        <f t="shared" si="76"/>
        <v>1125.0239239999999</v>
      </c>
      <c r="CG84" s="424" t="s">
        <v>391</v>
      </c>
      <c r="CH84" s="425">
        <v>0</v>
      </c>
      <c r="CI84" s="425">
        <v>21611358</v>
      </c>
      <c r="CJ84" s="425">
        <v>-21611358</v>
      </c>
      <c r="CK84" s="425">
        <v>21611358</v>
      </c>
      <c r="CL84" s="425">
        <v>0</v>
      </c>
      <c r="CM84" s="425">
        <v>6187083</v>
      </c>
      <c r="CN84" s="425">
        <f t="shared" si="77"/>
        <v>22972.873553999998</v>
      </c>
      <c r="CO84" s="425">
        <f t="shared" si="78"/>
        <v>22972.873553999998</v>
      </c>
      <c r="CP84" s="425">
        <f t="shared" si="79"/>
        <v>0</v>
      </c>
      <c r="CQ84" s="425">
        <f t="shared" si="80"/>
        <v>6576.869228999999</v>
      </c>
      <c r="CU84" s="424" t="s">
        <v>398</v>
      </c>
      <c r="CV84" s="425">
        <v>100150</v>
      </c>
      <c r="CW84" s="425">
        <v>100150</v>
      </c>
      <c r="CX84" s="426">
        <f t="shared" si="81"/>
        <v>106.45945</v>
      </c>
      <c r="CY84" s="426">
        <f t="shared" si="82"/>
        <v>106.45945</v>
      </c>
      <c r="DB84" s="568" t="s">
        <v>391</v>
      </c>
      <c r="DC84" s="569">
        <v>21651358</v>
      </c>
      <c r="DD84" s="569">
        <v>21651358</v>
      </c>
      <c r="DE84" s="569">
        <v>0</v>
      </c>
      <c r="DF84" s="569">
        <v>6707270</v>
      </c>
      <c r="DG84" s="570">
        <f t="shared" si="83"/>
        <v>23015.393553999998</v>
      </c>
      <c r="DH84" s="570">
        <f t="shared" si="84"/>
        <v>23015.393553999998</v>
      </c>
      <c r="DI84" s="570">
        <f t="shared" si="85"/>
        <v>0</v>
      </c>
      <c r="DJ84" s="570">
        <f t="shared" si="86"/>
        <v>7129.8280100000002</v>
      </c>
      <c r="DN84" s="93" t="s">
        <v>603</v>
      </c>
      <c r="DO84" s="93">
        <v>72009</v>
      </c>
      <c r="DP84" s="93">
        <v>72009</v>
      </c>
      <c r="DQ84" s="626">
        <f t="shared" si="87"/>
        <v>76.545566999999991</v>
      </c>
      <c r="DR84" s="626">
        <f t="shared" si="88"/>
        <v>76.545566999999991</v>
      </c>
      <c r="DV84" s="93" t="s">
        <v>390</v>
      </c>
      <c r="DW84" s="94">
        <v>2002291</v>
      </c>
      <c r="DX84" s="94">
        <v>2002291</v>
      </c>
      <c r="DY84" s="94">
        <v>0</v>
      </c>
      <c r="DZ84" s="94">
        <v>1974341</v>
      </c>
      <c r="EA84" s="94">
        <f t="shared" si="89"/>
        <v>2128.4353329999999</v>
      </c>
      <c r="EB84" s="94">
        <f t="shared" si="90"/>
        <v>2128.4353329999999</v>
      </c>
      <c r="EC84" s="94">
        <f t="shared" si="91"/>
        <v>0</v>
      </c>
      <c r="ED84" s="94">
        <f t="shared" si="92"/>
        <v>2098.724483</v>
      </c>
      <c r="EH84" s="420" t="s">
        <v>399</v>
      </c>
      <c r="EI84" s="420">
        <v>47600</v>
      </c>
      <c r="EJ84" s="426">
        <f t="shared" si="93"/>
        <v>50.598799999999997</v>
      </c>
      <c r="EN84" s="420" t="s">
        <v>387</v>
      </c>
      <c r="EO84" s="426">
        <v>147292680</v>
      </c>
      <c r="EP84" s="426">
        <v>142887302</v>
      </c>
      <c r="EQ84" s="426">
        <v>4405378</v>
      </c>
      <c r="ER84" s="426">
        <v>106249600</v>
      </c>
      <c r="ES84" s="700">
        <f t="shared" si="94"/>
        <v>156572.11883999998</v>
      </c>
      <c r="ET84" s="700">
        <f t="shared" si="95"/>
        <v>151889.20202599998</v>
      </c>
      <c r="EU84" s="700">
        <f t="shared" si="96"/>
        <v>4682.9168139999992</v>
      </c>
      <c r="EV84" s="700">
        <f t="shared" si="97"/>
        <v>112943.3248</v>
      </c>
      <c r="EZ84" s="730" t="s">
        <v>553</v>
      </c>
      <c r="FA84" s="731" t="s">
        <v>601</v>
      </c>
      <c r="FB84" s="420">
        <v>19991321</v>
      </c>
      <c r="FC84" s="426">
        <f t="shared" si="98"/>
        <v>19991.321</v>
      </c>
      <c r="FG84" s="735" t="s">
        <v>355</v>
      </c>
      <c r="FH84" s="734" t="s">
        <v>387</v>
      </c>
      <c r="FI84" s="732">
        <v>147766664</v>
      </c>
      <c r="FJ84" s="733">
        <v>143760546</v>
      </c>
      <c r="FK84" s="733">
        <v>4006118</v>
      </c>
      <c r="FL84" s="733">
        <v>117949872</v>
      </c>
      <c r="FM84" s="426">
        <f t="shared" si="99"/>
        <v>147766.66399999999</v>
      </c>
      <c r="FN84" s="426">
        <f t="shared" si="100"/>
        <v>143760.546</v>
      </c>
      <c r="FO84" s="426">
        <f t="shared" si="101"/>
        <v>4006.1179999999999</v>
      </c>
      <c r="FP84" s="426">
        <f t="shared" si="102"/>
        <v>117949.872</v>
      </c>
      <c r="FT84" s="427" t="s">
        <v>553</v>
      </c>
      <c r="FU84" s="93" t="s">
        <v>600</v>
      </c>
      <c r="FV84" s="94">
        <v>-311669</v>
      </c>
      <c r="FW84" s="94">
        <v>988331</v>
      </c>
      <c r="FX84" s="94">
        <v>421061</v>
      </c>
      <c r="FY84" s="426">
        <f t="shared" si="103"/>
        <v>-311.66899999999998</v>
      </c>
      <c r="FZ84" s="426">
        <f t="shared" si="104"/>
        <v>988.33100000000002</v>
      </c>
      <c r="GA84" s="426">
        <f t="shared" si="105"/>
        <v>421.06099999999998</v>
      </c>
      <c r="GG84" s="762" t="s">
        <v>355</v>
      </c>
      <c r="GH84" s="763" t="s">
        <v>387</v>
      </c>
      <c r="GI84" s="764">
        <v>143472944</v>
      </c>
      <c r="GJ84" s="764">
        <v>143122204</v>
      </c>
      <c r="GK84" s="764">
        <v>350740</v>
      </c>
      <c r="GL84" s="764">
        <v>128164167</v>
      </c>
      <c r="GM84" s="764">
        <v>14958037</v>
      </c>
      <c r="GN84" s="426">
        <f t="shared" si="106"/>
        <v>143472.94399999999</v>
      </c>
      <c r="GO84" s="426">
        <f t="shared" si="107"/>
        <v>143122.204</v>
      </c>
      <c r="GP84" s="426">
        <f t="shared" si="108"/>
        <v>350.74</v>
      </c>
      <c r="GQ84" s="426">
        <f t="shared" si="109"/>
        <v>128164.167</v>
      </c>
      <c r="GR84" s="426">
        <f t="shared" si="110"/>
        <v>14958.037</v>
      </c>
      <c r="GV84" s="780" t="s">
        <v>597</v>
      </c>
      <c r="GW84" s="779">
        <v>1302690</v>
      </c>
      <c r="GX84" s="426">
        <f t="shared" si="111"/>
        <v>1302.69</v>
      </c>
      <c r="HB84" s="782" t="s">
        <v>593</v>
      </c>
      <c r="HC84" s="764">
        <v>4506089</v>
      </c>
      <c r="HD84" s="764">
        <v>4506089</v>
      </c>
      <c r="HE84" s="764">
        <v>0</v>
      </c>
      <c r="HF84" s="764">
        <v>3946089</v>
      </c>
      <c r="HG84" s="426">
        <f t="shared" si="112"/>
        <v>4506.0889999999999</v>
      </c>
      <c r="HH84" s="426">
        <f t="shared" si="113"/>
        <v>0</v>
      </c>
      <c r="HI84" s="426">
        <f t="shared" si="114"/>
        <v>4506.0889999999999</v>
      </c>
      <c r="HJ84" s="426">
        <f t="shared" si="115"/>
        <v>0</v>
      </c>
      <c r="HK84" s="426">
        <f t="shared" si="116"/>
        <v>3946.0889999999999</v>
      </c>
    </row>
    <row r="85" spans="1:219" ht="15" customHeight="1" x14ac:dyDescent="0.3">
      <c r="A85" s="287" t="s">
        <v>355</v>
      </c>
      <c r="B85" s="288" t="s">
        <v>395</v>
      </c>
      <c r="C85" s="289">
        <v>20900000</v>
      </c>
      <c r="D85" s="290">
        <f t="shared" si="61"/>
        <v>22216.699999999997</v>
      </c>
      <c r="E85" s="289">
        <v>0</v>
      </c>
      <c r="F85" s="289">
        <f t="shared" si="62"/>
        <v>0</v>
      </c>
      <c r="J85" s="291" t="s">
        <v>553</v>
      </c>
      <c r="K85" s="292" t="s">
        <v>405</v>
      </c>
      <c r="L85" s="293">
        <v>0</v>
      </c>
      <c r="M85" s="293">
        <f t="shared" si="63"/>
        <v>0</v>
      </c>
      <c r="Q85" s="291" t="s">
        <v>553</v>
      </c>
      <c r="R85" s="292" t="s">
        <v>595</v>
      </c>
      <c r="S85" s="293">
        <v>36000000</v>
      </c>
      <c r="T85" s="293">
        <v>5771858</v>
      </c>
      <c r="U85" s="293">
        <f t="shared" si="64"/>
        <v>38268</v>
      </c>
      <c r="V85" s="293">
        <f t="shared" si="65"/>
        <v>6135.4850539999998</v>
      </c>
      <c r="Z85" s="288" t="s">
        <v>401</v>
      </c>
      <c r="AA85" s="289">
        <v>8040807</v>
      </c>
      <c r="AB85" s="289">
        <f t="shared" si="66"/>
        <v>8547.3778409999995</v>
      </c>
      <c r="AF85" s="288" t="s">
        <v>394</v>
      </c>
      <c r="AG85" s="289">
        <v>6100000</v>
      </c>
      <c r="AH85" s="289">
        <f t="shared" si="60"/>
        <v>6484.2999999999993</v>
      </c>
      <c r="AI85" s="289">
        <v>1439424</v>
      </c>
      <c r="AL85" s="426"/>
      <c r="AN85" s="423" t="s">
        <v>355</v>
      </c>
      <c r="AO85" s="424" t="s">
        <v>397</v>
      </c>
      <c r="AP85" s="425">
        <v>614437</v>
      </c>
      <c r="AQ85" s="425">
        <f t="shared" si="67"/>
        <v>653.14653099999998</v>
      </c>
      <c r="AU85" s="423" t="s">
        <v>553</v>
      </c>
      <c r="AV85" s="424" t="s">
        <v>394</v>
      </c>
      <c r="AW85" s="425">
        <v>6100000</v>
      </c>
      <c r="AX85" s="425">
        <v>4798080</v>
      </c>
      <c r="AY85" s="425">
        <v>1301920</v>
      </c>
      <c r="AZ85" s="426">
        <f t="shared" si="68"/>
        <v>6484.2999999999993</v>
      </c>
      <c r="BA85" s="426">
        <f t="shared" si="69"/>
        <v>5100.3590399999994</v>
      </c>
      <c r="BB85" s="426">
        <f t="shared" si="70"/>
        <v>1383.9409599999999</v>
      </c>
      <c r="BF85" s="423" t="s">
        <v>553</v>
      </c>
      <c r="BG85" s="424" t="s">
        <v>605</v>
      </c>
      <c r="BH85" s="425">
        <v>5325440</v>
      </c>
      <c r="BI85" s="426">
        <f t="shared" si="71"/>
        <v>5660.9427199999991</v>
      </c>
      <c r="BM85" s="427" t="s">
        <v>553</v>
      </c>
      <c r="BN85" s="93" t="s">
        <v>393</v>
      </c>
      <c r="BO85" s="94">
        <v>0</v>
      </c>
      <c r="BP85" s="94">
        <v>10000000</v>
      </c>
      <c r="BQ85" s="94">
        <v>1451832</v>
      </c>
      <c r="BR85" s="94">
        <v>8548168</v>
      </c>
      <c r="BS85" s="94">
        <v>498977</v>
      </c>
      <c r="BT85" s="426">
        <f t="shared" si="72"/>
        <v>10630</v>
      </c>
      <c r="BU85" s="426">
        <f t="shared" si="73"/>
        <v>1543.2974160000001</v>
      </c>
      <c r="BV85" s="426">
        <f t="shared" si="74"/>
        <v>9086.7025839999988</v>
      </c>
      <c r="BW85" s="426">
        <f t="shared" si="75"/>
        <v>530.41255099999989</v>
      </c>
      <c r="CA85" s="93" t="s">
        <v>398</v>
      </c>
      <c r="CB85" s="426">
        <v>1058348</v>
      </c>
      <c r="CC85" s="426">
        <f t="shared" si="76"/>
        <v>1125.0239239999999</v>
      </c>
      <c r="CG85" s="424" t="s">
        <v>392</v>
      </c>
      <c r="CH85" s="425">
        <v>0</v>
      </c>
      <c r="CI85" s="425">
        <v>65581752</v>
      </c>
      <c r="CJ85" s="425">
        <v>-65581752</v>
      </c>
      <c r="CK85" s="425">
        <v>65581752</v>
      </c>
      <c r="CL85" s="425">
        <v>0</v>
      </c>
      <c r="CM85" s="425">
        <v>32790876</v>
      </c>
      <c r="CN85" s="425">
        <f t="shared" si="77"/>
        <v>69713.402375999984</v>
      </c>
      <c r="CO85" s="425">
        <f t="shared" si="78"/>
        <v>69713.402375999984</v>
      </c>
      <c r="CP85" s="425">
        <f t="shared" si="79"/>
        <v>0</v>
      </c>
      <c r="CQ85" s="425">
        <f t="shared" si="80"/>
        <v>34856.701187999992</v>
      </c>
      <c r="CU85" s="424" t="s">
        <v>399</v>
      </c>
      <c r="CV85" s="425">
        <v>47600</v>
      </c>
      <c r="CW85" s="425">
        <v>0</v>
      </c>
      <c r="CX85" s="426">
        <f t="shared" si="81"/>
        <v>50.598799999999997</v>
      </c>
      <c r="CY85" s="426">
        <f t="shared" si="82"/>
        <v>0</v>
      </c>
      <c r="DB85" s="568" t="s">
        <v>392</v>
      </c>
      <c r="DC85" s="569">
        <v>65581752</v>
      </c>
      <c r="DD85" s="569">
        <v>65581752</v>
      </c>
      <c r="DE85" s="569">
        <v>0</v>
      </c>
      <c r="DF85" s="569">
        <v>38256022</v>
      </c>
      <c r="DG85" s="570">
        <f t="shared" si="83"/>
        <v>69713.402375999984</v>
      </c>
      <c r="DH85" s="570">
        <f t="shared" si="84"/>
        <v>69713.402375999984</v>
      </c>
      <c r="DI85" s="570">
        <f t="shared" si="85"/>
        <v>0</v>
      </c>
      <c r="DJ85" s="570">
        <f t="shared" si="86"/>
        <v>40666.151385999998</v>
      </c>
      <c r="DN85" s="93" t="s">
        <v>402</v>
      </c>
      <c r="DO85" s="93">
        <v>5438363</v>
      </c>
      <c r="DP85" s="93">
        <v>9640641</v>
      </c>
      <c r="DQ85" s="626">
        <f t="shared" si="87"/>
        <v>5780.9798689999998</v>
      </c>
      <c r="DR85" s="626">
        <f t="shared" si="88"/>
        <v>10248.001382999999</v>
      </c>
      <c r="DV85" s="93" t="s">
        <v>391</v>
      </c>
      <c r="DW85" s="94">
        <v>15807270</v>
      </c>
      <c r="DX85" s="94">
        <v>15807270</v>
      </c>
      <c r="DY85" s="94">
        <v>0</v>
      </c>
      <c r="DZ85" s="94">
        <v>7629173</v>
      </c>
      <c r="EA85" s="94">
        <f t="shared" si="89"/>
        <v>16803.12801</v>
      </c>
      <c r="EB85" s="94">
        <f t="shared" si="90"/>
        <v>16803.12801</v>
      </c>
      <c r="EC85" s="94">
        <f t="shared" si="91"/>
        <v>0</v>
      </c>
      <c r="ED85" s="94">
        <f t="shared" si="92"/>
        <v>8109.8108989999992</v>
      </c>
      <c r="EH85" s="420" t="s">
        <v>400</v>
      </c>
      <c r="EI85" s="420">
        <v>47073415</v>
      </c>
      <c r="EJ85" s="426">
        <f t="shared" si="93"/>
        <v>50039.040144999999</v>
      </c>
      <c r="EN85" s="420" t="s">
        <v>388</v>
      </c>
      <c r="EO85" s="426">
        <v>9375000</v>
      </c>
      <c r="EP85" s="426">
        <v>9375000</v>
      </c>
      <c r="EQ85" s="426">
        <v>0</v>
      </c>
      <c r="ER85" s="426">
        <v>7138200</v>
      </c>
      <c r="ES85" s="700">
        <f t="shared" si="94"/>
        <v>9965.625</v>
      </c>
      <c r="ET85" s="700">
        <f t="shared" si="95"/>
        <v>9965.625</v>
      </c>
      <c r="EU85" s="700">
        <f t="shared" si="96"/>
        <v>0</v>
      </c>
      <c r="EV85" s="700">
        <f t="shared" si="97"/>
        <v>7587.9065999999993</v>
      </c>
      <c r="EZ85" s="730" t="s">
        <v>553</v>
      </c>
      <c r="FA85" s="731" t="s">
        <v>602</v>
      </c>
      <c r="FB85" s="420">
        <v>3526000</v>
      </c>
      <c r="FC85" s="426">
        <f t="shared" si="98"/>
        <v>3526</v>
      </c>
      <c r="FG85" s="735" t="s">
        <v>553</v>
      </c>
      <c r="FH85" s="734" t="s">
        <v>388</v>
      </c>
      <c r="FI85" s="732">
        <v>9375000</v>
      </c>
      <c r="FJ85" s="733">
        <v>9375000</v>
      </c>
      <c r="FK85" s="733">
        <v>0</v>
      </c>
      <c r="FL85" s="733">
        <v>8086700</v>
      </c>
      <c r="FM85" s="426">
        <f t="shared" si="99"/>
        <v>9375</v>
      </c>
      <c r="FN85" s="426">
        <f t="shared" si="100"/>
        <v>9375</v>
      </c>
      <c r="FO85" s="426">
        <f t="shared" si="101"/>
        <v>0</v>
      </c>
      <c r="FP85" s="426">
        <f t="shared" si="102"/>
        <v>8086.7</v>
      </c>
      <c r="FT85" s="427" t="s">
        <v>355</v>
      </c>
      <c r="FU85" s="93" t="s">
        <v>397</v>
      </c>
      <c r="FV85" s="94">
        <v>-3750224</v>
      </c>
      <c r="FW85" s="94">
        <v>852634</v>
      </c>
      <c r="FX85" s="94">
        <v>749776</v>
      </c>
      <c r="FY85" s="426">
        <f t="shared" si="103"/>
        <v>-3750.2240000000002</v>
      </c>
      <c r="FZ85" s="426">
        <f t="shared" si="104"/>
        <v>852.63400000000001</v>
      </c>
      <c r="GA85" s="426">
        <f t="shared" si="105"/>
        <v>749.77599999999995</v>
      </c>
      <c r="GG85" s="762" t="s">
        <v>553</v>
      </c>
      <c r="GH85" s="763" t="s">
        <v>388</v>
      </c>
      <c r="GI85" s="764">
        <v>9926500</v>
      </c>
      <c r="GJ85" s="764">
        <v>9926500</v>
      </c>
      <c r="GK85" s="764">
        <v>0</v>
      </c>
      <c r="GL85" s="764">
        <v>8718300</v>
      </c>
      <c r="GM85" s="764">
        <v>1208200</v>
      </c>
      <c r="GN85" s="426">
        <f t="shared" si="106"/>
        <v>9926.5</v>
      </c>
      <c r="GO85" s="426">
        <f t="shared" si="107"/>
        <v>9926.5</v>
      </c>
      <c r="GP85" s="426">
        <f t="shared" si="108"/>
        <v>0</v>
      </c>
      <c r="GQ85" s="426">
        <f t="shared" si="109"/>
        <v>8718.2999999999993</v>
      </c>
      <c r="GR85" s="426">
        <f t="shared" si="110"/>
        <v>1208.2</v>
      </c>
      <c r="GV85" s="780" t="s">
        <v>397</v>
      </c>
      <c r="GW85" s="779">
        <v>102858</v>
      </c>
      <c r="GX85" s="426">
        <f t="shared" si="111"/>
        <v>102.858</v>
      </c>
      <c r="HB85" s="782" t="s">
        <v>594</v>
      </c>
      <c r="HC85" s="764">
        <v>2233979</v>
      </c>
      <c r="HD85" s="764">
        <v>2233979</v>
      </c>
      <c r="HE85" s="764">
        <v>0</v>
      </c>
      <c r="HF85" s="764">
        <v>2233979</v>
      </c>
      <c r="HG85" s="426">
        <f t="shared" si="112"/>
        <v>2233.9789999999998</v>
      </c>
      <c r="HH85" s="426">
        <f t="shared" si="113"/>
        <v>0</v>
      </c>
      <c r="HI85" s="426">
        <f t="shared" si="114"/>
        <v>2233.9789999999998</v>
      </c>
      <c r="HJ85" s="426">
        <f t="shared" si="115"/>
        <v>0</v>
      </c>
      <c r="HK85" s="426">
        <f t="shared" si="116"/>
        <v>2233.9789999999998</v>
      </c>
    </row>
    <row r="86" spans="1:219" ht="15" customHeight="1" x14ac:dyDescent="0.3">
      <c r="A86" s="287" t="s">
        <v>553</v>
      </c>
      <c r="B86" s="288" t="s">
        <v>597</v>
      </c>
      <c r="C86" s="289">
        <v>12000000</v>
      </c>
      <c r="D86" s="290">
        <f t="shared" si="61"/>
        <v>12756</v>
      </c>
      <c r="E86" s="289">
        <v>0</v>
      </c>
      <c r="F86" s="289">
        <f t="shared" si="62"/>
        <v>0</v>
      </c>
      <c r="J86" s="291" t="s">
        <v>355</v>
      </c>
      <c r="K86" s="292" t="s">
        <v>607</v>
      </c>
      <c r="L86" s="293">
        <v>2765907</v>
      </c>
      <c r="M86" s="293">
        <f t="shared" si="63"/>
        <v>2940.1591410000001</v>
      </c>
      <c r="Q86" s="291" t="s">
        <v>355</v>
      </c>
      <c r="R86" s="292" t="s">
        <v>395</v>
      </c>
      <c r="S86" s="293">
        <v>20900000</v>
      </c>
      <c r="T86" s="293">
        <v>692381</v>
      </c>
      <c r="U86" s="293">
        <f t="shared" si="64"/>
        <v>22216.699999999997</v>
      </c>
      <c r="V86" s="293">
        <f t="shared" si="65"/>
        <v>736.00100299999997</v>
      </c>
      <c r="Z86" s="288" t="s">
        <v>601</v>
      </c>
      <c r="AA86" s="289">
        <v>9649319</v>
      </c>
      <c r="AB86" s="289">
        <f t="shared" si="66"/>
        <v>10257.226096999999</v>
      </c>
      <c r="AF86" s="288" t="s">
        <v>595</v>
      </c>
      <c r="AG86" s="289">
        <v>36000000</v>
      </c>
      <c r="AH86" s="289">
        <f t="shared" si="60"/>
        <v>38268</v>
      </c>
      <c r="AI86" s="289">
        <v>8657787</v>
      </c>
      <c r="AL86" s="426"/>
      <c r="AN86" s="423" t="s">
        <v>553</v>
      </c>
      <c r="AO86" s="424" t="s">
        <v>398</v>
      </c>
      <c r="AP86" s="425">
        <v>614437</v>
      </c>
      <c r="AQ86" s="425">
        <f t="shared" si="67"/>
        <v>653.14653099999998</v>
      </c>
      <c r="AU86" s="423" t="s">
        <v>553</v>
      </c>
      <c r="AV86" s="424" t="s">
        <v>595</v>
      </c>
      <c r="AW86" s="425">
        <v>36000000</v>
      </c>
      <c r="AX86" s="425">
        <v>31745219</v>
      </c>
      <c r="AY86" s="425">
        <v>4254781</v>
      </c>
      <c r="AZ86" s="426">
        <f t="shared" si="68"/>
        <v>38268</v>
      </c>
      <c r="BA86" s="426">
        <f t="shared" si="69"/>
        <v>33745.167797000002</v>
      </c>
      <c r="BB86" s="426">
        <f t="shared" si="70"/>
        <v>4522.8322029999999</v>
      </c>
      <c r="BF86" s="423" t="s">
        <v>553</v>
      </c>
      <c r="BG86" s="424" t="s">
        <v>494</v>
      </c>
      <c r="BH86" s="425">
        <v>1041250</v>
      </c>
      <c r="BI86" s="426">
        <f t="shared" si="71"/>
        <v>1106.8487499999999</v>
      </c>
      <c r="BM86" s="427" t="s">
        <v>553</v>
      </c>
      <c r="BN86" s="93" t="s">
        <v>394</v>
      </c>
      <c r="BO86" s="94">
        <v>0</v>
      </c>
      <c r="BP86" s="94">
        <v>6100000</v>
      </c>
      <c r="BQ86" s="94">
        <v>4798080</v>
      </c>
      <c r="BR86" s="94">
        <v>1301920</v>
      </c>
      <c r="BS86" s="94">
        <v>2399040</v>
      </c>
      <c r="BT86" s="426">
        <f t="shared" si="72"/>
        <v>6484.2999999999993</v>
      </c>
      <c r="BU86" s="426">
        <f t="shared" si="73"/>
        <v>5100.3590399999994</v>
      </c>
      <c r="BV86" s="426">
        <f t="shared" si="74"/>
        <v>1383.9409599999999</v>
      </c>
      <c r="BW86" s="426">
        <f t="shared" si="75"/>
        <v>2550.1795199999997</v>
      </c>
      <c r="CA86" s="93" t="s">
        <v>400</v>
      </c>
      <c r="CB86" s="426">
        <v>24441719</v>
      </c>
      <c r="CC86" s="426">
        <f t="shared" si="76"/>
        <v>25981.547297000001</v>
      </c>
      <c r="CG86" s="424" t="s">
        <v>393</v>
      </c>
      <c r="CH86" s="425">
        <v>0</v>
      </c>
      <c r="CI86" s="425">
        <v>5343120</v>
      </c>
      <c r="CJ86" s="425">
        <v>-5343120</v>
      </c>
      <c r="CK86" s="425">
        <v>1932321</v>
      </c>
      <c r="CL86" s="425">
        <v>3410799</v>
      </c>
      <c r="CM86" s="425">
        <v>762988</v>
      </c>
      <c r="CN86" s="425">
        <f t="shared" si="77"/>
        <v>5679.7365599999994</v>
      </c>
      <c r="CO86" s="425">
        <f t="shared" si="78"/>
        <v>2054.0572229999998</v>
      </c>
      <c r="CP86" s="425">
        <f t="shared" si="79"/>
        <v>3625.6793369999996</v>
      </c>
      <c r="CQ86" s="425">
        <f t="shared" si="80"/>
        <v>811.05624399999999</v>
      </c>
      <c r="CU86" s="424" t="s">
        <v>400</v>
      </c>
      <c r="CV86" s="425">
        <v>41011953</v>
      </c>
      <c r="CW86" s="425">
        <v>35520254</v>
      </c>
      <c r="CX86" s="426">
        <f t="shared" si="81"/>
        <v>43595.706038999997</v>
      </c>
      <c r="CY86" s="426">
        <f t="shared" si="82"/>
        <v>37758.030002</v>
      </c>
      <c r="DB86" s="568" t="s">
        <v>393</v>
      </c>
      <c r="DC86" s="569">
        <v>5343120</v>
      </c>
      <c r="DD86" s="569">
        <v>1932321</v>
      </c>
      <c r="DE86" s="569">
        <v>3410799</v>
      </c>
      <c r="DF86" s="569">
        <v>762988</v>
      </c>
      <c r="DG86" s="570">
        <f t="shared" si="83"/>
        <v>5679.7365599999994</v>
      </c>
      <c r="DH86" s="570">
        <f t="shared" si="84"/>
        <v>2054.0572229999998</v>
      </c>
      <c r="DI86" s="570">
        <f t="shared" si="85"/>
        <v>3625.6793369999996</v>
      </c>
      <c r="DJ86" s="570">
        <f t="shared" si="86"/>
        <v>811.05624399999999</v>
      </c>
      <c r="DN86" s="93" t="s">
        <v>403</v>
      </c>
      <c r="DO86" s="93">
        <v>0</v>
      </c>
      <c r="DP86" s="93">
        <v>55054952</v>
      </c>
      <c r="DQ86" s="626">
        <f t="shared" si="87"/>
        <v>0</v>
      </c>
      <c r="DR86" s="626">
        <f t="shared" si="88"/>
        <v>58523.413975999996</v>
      </c>
      <c r="DV86" s="93" t="s">
        <v>392</v>
      </c>
      <c r="DW86" s="94">
        <v>65581752</v>
      </c>
      <c r="DX86" s="94">
        <v>65581752</v>
      </c>
      <c r="DY86" s="94">
        <v>0</v>
      </c>
      <c r="DZ86" s="94">
        <v>43721168</v>
      </c>
      <c r="EA86" s="94">
        <f t="shared" si="89"/>
        <v>69713.402375999984</v>
      </c>
      <c r="EB86" s="94">
        <f t="shared" si="90"/>
        <v>69713.402375999984</v>
      </c>
      <c r="EC86" s="94">
        <f t="shared" si="91"/>
        <v>0</v>
      </c>
      <c r="ED86" s="94">
        <f t="shared" si="92"/>
        <v>46475.601583999996</v>
      </c>
      <c r="EH86" s="420" t="s">
        <v>401</v>
      </c>
      <c r="EI86" s="420">
        <v>7095279</v>
      </c>
      <c r="EJ86" s="426">
        <f t="shared" si="93"/>
        <v>7542.2815769999997</v>
      </c>
      <c r="EN86" s="420" t="s">
        <v>389</v>
      </c>
      <c r="EO86" s="426">
        <v>11316479</v>
      </c>
      <c r="EP86" s="426">
        <v>10566479</v>
      </c>
      <c r="EQ86" s="426">
        <v>750000</v>
      </c>
      <c r="ER86" s="426">
        <v>7423357</v>
      </c>
      <c r="ES86" s="700">
        <f t="shared" si="94"/>
        <v>12029.417176999999</v>
      </c>
      <c r="ET86" s="700">
        <f t="shared" si="95"/>
        <v>11232.167176999999</v>
      </c>
      <c r="EU86" s="700">
        <f t="shared" si="96"/>
        <v>797.25</v>
      </c>
      <c r="EV86" s="700">
        <f t="shared" si="97"/>
        <v>7891.0284909999991</v>
      </c>
      <c r="EZ86" s="730" t="s">
        <v>553</v>
      </c>
      <c r="FA86" s="731" t="s">
        <v>402</v>
      </c>
      <c r="FB86" s="420">
        <v>8357380</v>
      </c>
      <c r="FC86" s="426">
        <f t="shared" si="98"/>
        <v>8357.3799999999992</v>
      </c>
      <c r="FG86" s="735" t="s">
        <v>553</v>
      </c>
      <c r="FH86" s="734" t="s">
        <v>389</v>
      </c>
      <c r="FI86" s="732">
        <v>11439723</v>
      </c>
      <c r="FJ86" s="733">
        <v>11439723</v>
      </c>
      <c r="FK86" s="733">
        <v>0</v>
      </c>
      <c r="FL86" s="733">
        <v>8194055</v>
      </c>
      <c r="FM86" s="426">
        <f t="shared" si="99"/>
        <v>11439.723</v>
      </c>
      <c r="FN86" s="426">
        <f t="shared" si="100"/>
        <v>11439.723</v>
      </c>
      <c r="FO86" s="426">
        <f t="shared" si="101"/>
        <v>0</v>
      </c>
      <c r="FP86" s="426">
        <f t="shared" si="102"/>
        <v>8194.0550000000003</v>
      </c>
      <c r="FT86" s="427" t="s">
        <v>553</v>
      </c>
      <c r="FU86" s="93" t="s">
        <v>398</v>
      </c>
      <c r="FV86" s="94">
        <v>-3750224</v>
      </c>
      <c r="FW86" s="94">
        <v>852634</v>
      </c>
      <c r="FX86" s="94">
        <v>749776</v>
      </c>
      <c r="FY86" s="426">
        <f t="shared" si="103"/>
        <v>-3750.2240000000002</v>
      </c>
      <c r="FZ86" s="426">
        <f t="shared" si="104"/>
        <v>852.63400000000001</v>
      </c>
      <c r="GA86" s="426">
        <f t="shared" si="105"/>
        <v>749.77599999999995</v>
      </c>
      <c r="GG86" s="762" t="s">
        <v>553</v>
      </c>
      <c r="GH86" s="763" t="s">
        <v>389</v>
      </c>
      <c r="GI86" s="764">
        <v>10963659</v>
      </c>
      <c r="GJ86" s="764">
        <v>10963659</v>
      </c>
      <c r="GK86" s="764">
        <v>0</v>
      </c>
      <c r="GL86" s="764">
        <v>8437235</v>
      </c>
      <c r="GM86" s="764">
        <v>2526424</v>
      </c>
      <c r="GN86" s="426">
        <f t="shared" si="106"/>
        <v>10963.659</v>
      </c>
      <c r="GO86" s="426">
        <f t="shared" si="107"/>
        <v>10963.659</v>
      </c>
      <c r="GP86" s="426">
        <f t="shared" si="108"/>
        <v>0</v>
      </c>
      <c r="GQ86" s="426">
        <f t="shared" si="109"/>
        <v>8437.2350000000006</v>
      </c>
      <c r="GR86" s="426">
        <f t="shared" si="110"/>
        <v>2526.424</v>
      </c>
      <c r="GV86" s="780" t="s">
        <v>398</v>
      </c>
      <c r="GW86" s="779">
        <v>102858</v>
      </c>
      <c r="GX86" s="426">
        <f t="shared" si="111"/>
        <v>102.858</v>
      </c>
      <c r="HB86" s="782" t="s">
        <v>385</v>
      </c>
      <c r="HC86" s="764">
        <v>8066209</v>
      </c>
      <c r="HD86" s="764">
        <v>8066209</v>
      </c>
      <c r="HE86" s="764">
        <v>0</v>
      </c>
      <c r="HF86" s="764">
        <v>8066209</v>
      </c>
      <c r="HG86" s="426">
        <f t="shared" si="112"/>
        <v>8066.2089999999998</v>
      </c>
      <c r="HH86" s="426">
        <f t="shared" si="113"/>
        <v>0</v>
      </c>
      <c r="HI86" s="426">
        <f t="shared" si="114"/>
        <v>8066.2089999999998</v>
      </c>
      <c r="HJ86" s="426">
        <f t="shared" si="115"/>
        <v>0</v>
      </c>
      <c r="HK86" s="426">
        <f t="shared" si="116"/>
        <v>8066.2089999999998</v>
      </c>
    </row>
    <row r="87" spans="1:219" ht="15" customHeight="1" x14ac:dyDescent="0.3">
      <c r="A87" s="287" t="s">
        <v>553</v>
      </c>
      <c r="B87" s="288" t="s">
        <v>717</v>
      </c>
      <c r="C87" s="289">
        <v>1000000</v>
      </c>
      <c r="D87" s="290">
        <f t="shared" si="61"/>
        <v>1063</v>
      </c>
      <c r="E87" s="289">
        <v>0</v>
      </c>
      <c r="F87" s="289">
        <f t="shared" si="62"/>
        <v>0</v>
      </c>
      <c r="J87" s="291" t="s">
        <v>553</v>
      </c>
      <c r="K87" s="292" t="s">
        <v>408</v>
      </c>
      <c r="L87" s="293">
        <v>2765907</v>
      </c>
      <c r="M87" s="293">
        <f t="shared" si="63"/>
        <v>2940.1591410000001</v>
      </c>
      <c r="Q87" s="291" t="s">
        <v>553</v>
      </c>
      <c r="R87" s="292" t="s">
        <v>597</v>
      </c>
      <c r="S87" s="293">
        <v>12000000</v>
      </c>
      <c r="T87" s="293">
        <v>271320</v>
      </c>
      <c r="U87" s="293">
        <f t="shared" si="64"/>
        <v>12756</v>
      </c>
      <c r="V87" s="293">
        <f t="shared" si="65"/>
        <v>288.41316</v>
      </c>
      <c r="Z87" s="288" t="s">
        <v>602</v>
      </c>
      <c r="AA87" s="289">
        <v>5103000</v>
      </c>
      <c r="AB87" s="289">
        <f t="shared" si="66"/>
        <v>5424.4889999999996</v>
      </c>
      <c r="AF87" s="288" t="s">
        <v>395</v>
      </c>
      <c r="AG87" s="289">
        <v>20983300</v>
      </c>
      <c r="AH87" s="289">
        <f t="shared" si="60"/>
        <v>22305.247899999998</v>
      </c>
      <c r="AI87" s="289">
        <v>3688343</v>
      </c>
      <c r="AL87" s="426"/>
      <c r="AN87" s="423" t="s">
        <v>355</v>
      </c>
      <c r="AO87" s="424" t="s">
        <v>400</v>
      </c>
      <c r="AP87" s="425">
        <v>22377269</v>
      </c>
      <c r="AQ87" s="425">
        <f t="shared" si="67"/>
        <v>23787.036947000001</v>
      </c>
      <c r="AU87" s="423" t="s">
        <v>355</v>
      </c>
      <c r="AV87" s="424" t="s">
        <v>395</v>
      </c>
      <c r="AW87" s="425">
        <v>20755100</v>
      </c>
      <c r="AX87" s="425">
        <v>8049364</v>
      </c>
      <c r="AY87" s="425">
        <v>12705736</v>
      </c>
      <c r="AZ87" s="426">
        <f t="shared" si="68"/>
        <v>22062.671299999998</v>
      </c>
      <c r="BA87" s="426">
        <f t="shared" si="69"/>
        <v>8556.473931999999</v>
      </c>
      <c r="BB87" s="426">
        <f t="shared" si="70"/>
        <v>13506.197368000001</v>
      </c>
      <c r="BF87" s="423" t="s">
        <v>355</v>
      </c>
      <c r="BG87" s="424" t="s">
        <v>607</v>
      </c>
      <c r="BH87" s="425">
        <v>125703798</v>
      </c>
      <c r="BI87" s="426">
        <f t="shared" si="71"/>
        <v>133623.13727399998</v>
      </c>
      <c r="BM87" s="427" t="s">
        <v>553</v>
      </c>
      <c r="BN87" s="93" t="s">
        <v>595</v>
      </c>
      <c r="BO87" s="94">
        <v>0</v>
      </c>
      <c r="BP87" s="94">
        <v>36000000</v>
      </c>
      <c r="BQ87" s="94">
        <v>31745219</v>
      </c>
      <c r="BR87" s="94">
        <v>4254781</v>
      </c>
      <c r="BS87" s="94">
        <v>14429645</v>
      </c>
      <c r="BT87" s="426">
        <f t="shared" si="72"/>
        <v>38268</v>
      </c>
      <c r="BU87" s="426">
        <f t="shared" si="73"/>
        <v>33745.167797000002</v>
      </c>
      <c r="BV87" s="426">
        <f t="shared" si="74"/>
        <v>4522.8322029999999</v>
      </c>
      <c r="BW87" s="426">
        <f t="shared" si="75"/>
        <v>15338.712635</v>
      </c>
      <c r="CA87" s="93" t="s">
        <v>401</v>
      </c>
      <c r="CB87" s="426">
        <v>7894025</v>
      </c>
      <c r="CC87" s="426">
        <f t="shared" si="76"/>
        <v>8391.348575</v>
      </c>
      <c r="CG87" s="424" t="s">
        <v>394</v>
      </c>
      <c r="CH87" s="425">
        <v>0</v>
      </c>
      <c r="CI87" s="425">
        <v>6100000</v>
      </c>
      <c r="CJ87" s="425">
        <v>-6100000</v>
      </c>
      <c r="CK87" s="425">
        <v>4798080</v>
      </c>
      <c r="CL87" s="425">
        <v>1301920</v>
      </c>
      <c r="CM87" s="425">
        <v>2878848</v>
      </c>
      <c r="CN87" s="425">
        <f t="shared" si="77"/>
        <v>6484.2999999999993</v>
      </c>
      <c r="CO87" s="425">
        <f t="shared" si="78"/>
        <v>5100.3590399999994</v>
      </c>
      <c r="CP87" s="425">
        <f t="shared" si="79"/>
        <v>1383.9409599999999</v>
      </c>
      <c r="CQ87" s="425">
        <f t="shared" si="80"/>
        <v>3060.215424</v>
      </c>
      <c r="CU87" s="424" t="s">
        <v>401</v>
      </c>
      <c r="CV87" s="425">
        <v>3666899</v>
      </c>
      <c r="CW87" s="425">
        <v>6899021</v>
      </c>
      <c r="CX87" s="426">
        <f t="shared" si="81"/>
        <v>3897.9136369999997</v>
      </c>
      <c r="CY87" s="426">
        <f t="shared" si="82"/>
        <v>7333.6593229999989</v>
      </c>
      <c r="DB87" s="568" t="s">
        <v>394</v>
      </c>
      <c r="DC87" s="569">
        <v>6100000</v>
      </c>
      <c r="DD87" s="569">
        <v>4798080</v>
      </c>
      <c r="DE87" s="569">
        <v>1301920</v>
      </c>
      <c r="DF87" s="569">
        <v>3358656</v>
      </c>
      <c r="DG87" s="570">
        <f t="shared" si="83"/>
        <v>6484.2999999999993</v>
      </c>
      <c r="DH87" s="570">
        <f t="shared" si="84"/>
        <v>5100.3590399999994</v>
      </c>
      <c r="DI87" s="570">
        <f t="shared" si="85"/>
        <v>1383.9409599999999</v>
      </c>
      <c r="DJ87" s="570">
        <f t="shared" si="86"/>
        <v>3570.2513279999998</v>
      </c>
      <c r="DN87" s="93" t="s">
        <v>404</v>
      </c>
      <c r="DO87" s="93">
        <v>0</v>
      </c>
      <c r="DP87" s="93">
        <v>46513324</v>
      </c>
      <c r="DQ87" s="626">
        <f t="shared" si="87"/>
        <v>0</v>
      </c>
      <c r="DR87" s="626">
        <f t="shared" si="88"/>
        <v>49443.663411999994</v>
      </c>
      <c r="DV87" s="93" t="s">
        <v>393</v>
      </c>
      <c r="DW87" s="94">
        <v>2315654</v>
      </c>
      <c r="DX87" s="94">
        <v>1482321</v>
      </c>
      <c r="DY87" s="94">
        <v>833333</v>
      </c>
      <c r="DZ87" s="94">
        <v>762988</v>
      </c>
      <c r="EA87" s="94">
        <f t="shared" si="89"/>
        <v>2461.5402019999997</v>
      </c>
      <c r="EB87" s="94">
        <f t="shared" si="90"/>
        <v>1575.7072229999999</v>
      </c>
      <c r="EC87" s="94">
        <f t="shared" si="91"/>
        <v>885.83297899999991</v>
      </c>
      <c r="ED87" s="94">
        <f t="shared" si="92"/>
        <v>811.05624399999999</v>
      </c>
      <c r="EH87" s="420" t="s">
        <v>601</v>
      </c>
      <c r="EI87" s="420">
        <v>11422711</v>
      </c>
      <c r="EJ87" s="426">
        <f t="shared" si="93"/>
        <v>12142.341792999998</v>
      </c>
      <c r="EN87" s="420" t="s">
        <v>390</v>
      </c>
      <c r="EO87" s="426">
        <v>2002291</v>
      </c>
      <c r="EP87" s="426">
        <v>2002291</v>
      </c>
      <c r="EQ87" s="426">
        <v>0</v>
      </c>
      <c r="ER87" s="426">
        <v>1974341</v>
      </c>
      <c r="ES87" s="700">
        <f t="shared" si="94"/>
        <v>2128.4353329999999</v>
      </c>
      <c r="ET87" s="700">
        <f t="shared" si="95"/>
        <v>2128.4353329999999</v>
      </c>
      <c r="EU87" s="700">
        <f t="shared" si="96"/>
        <v>0</v>
      </c>
      <c r="EV87" s="700">
        <f t="shared" si="97"/>
        <v>2098.724483</v>
      </c>
      <c r="EZ87" s="730" t="s">
        <v>355</v>
      </c>
      <c r="FA87" s="731" t="s">
        <v>403</v>
      </c>
      <c r="FB87" s="420">
        <v>46881437</v>
      </c>
      <c r="FC87" s="426">
        <f t="shared" si="98"/>
        <v>46881.436999999998</v>
      </c>
      <c r="FG87" s="735" t="s">
        <v>553</v>
      </c>
      <c r="FH87" s="734" t="s">
        <v>390</v>
      </c>
      <c r="FI87" s="732">
        <v>2002291</v>
      </c>
      <c r="FJ87" s="733">
        <v>2002291</v>
      </c>
      <c r="FK87" s="733">
        <v>0</v>
      </c>
      <c r="FL87" s="733">
        <v>1974341</v>
      </c>
      <c r="FM87" s="426">
        <f t="shared" si="99"/>
        <v>2002.2909999999999</v>
      </c>
      <c r="FN87" s="426">
        <f t="shared" si="100"/>
        <v>2002.2909999999999</v>
      </c>
      <c r="FO87" s="426">
        <f t="shared" si="101"/>
        <v>0</v>
      </c>
      <c r="FP87" s="426">
        <f t="shared" si="102"/>
        <v>1974.3409999999999</v>
      </c>
      <c r="FT87" s="427" t="s">
        <v>355</v>
      </c>
      <c r="FU87" s="93" t="s">
        <v>400</v>
      </c>
      <c r="FV87" s="94">
        <v>-7668512</v>
      </c>
      <c r="FW87" s="94">
        <v>11495327</v>
      </c>
      <c r="FX87" s="94">
        <v>30412684</v>
      </c>
      <c r="FY87" s="426">
        <f t="shared" si="103"/>
        <v>-7668.5119999999997</v>
      </c>
      <c r="FZ87" s="426">
        <f t="shared" si="104"/>
        <v>11495.326999999999</v>
      </c>
      <c r="GA87" s="426">
        <f t="shared" si="105"/>
        <v>30412.684000000001</v>
      </c>
      <c r="GG87" s="762" t="s">
        <v>553</v>
      </c>
      <c r="GH87" s="763" t="s">
        <v>390</v>
      </c>
      <c r="GI87" s="764">
        <v>2542291</v>
      </c>
      <c r="GJ87" s="764">
        <v>2542291</v>
      </c>
      <c r="GK87" s="764">
        <v>0</v>
      </c>
      <c r="GL87" s="764">
        <v>2208791</v>
      </c>
      <c r="GM87" s="764">
        <v>333500</v>
      </c>
      <c r="GN87" s="426">
        <f t="shared" si="106"/>
        <v>2542.2910000000002</v>
      </c>
      <c r="GO87" s="426">
        <f t="shared" si="107"/>
        <v>2542.2910000000002</v>
      </c>
      <c r="GP87" s="426">
        <f t="shared" si="108"/>
        <v>0</v>
      </c>
      <c r="GQ87" s="426">
        <f t="shared" si="109"/>
        <v>2208.7910000000002</v>
      </c>
      <c r="GR87" s="426">
        <f t="shared" si="110"/>
        <v>333.5</v>
      </c>
      <c r="GV87" s="780" t="s">
        <v>400</v>
      </c>
      <c r="GW87" s="779">
        <v>88215581</v>
      </c>
      <c r="GX87" s="426">
        <f t="shared" si="111"/>
        <v>88215.581000000006</v>
      </c>
      <c r="HB87" s="782" t="s">
        <v>386</v>
      </c>
      <c r="HC87" s="764">
        <v>4716931</v>
      </c>
      <c r="HD87" s="764">
        <v>4716931</v>
      </c>
      <c r="HE87" s="764">
        <v>0</v>
      </c>
      <c r="HF87" s="764">
        <v>4716931</v>
      </c>
      <c r="HG87" s="426">
        <f t="shared" si="112"/>
        <v>4716.9309999999996</v>
      </c>
      <c r="HH87" s="426">
        <f t="shared" si="113"/>
        <v>0</v>
      </c>
      <c r="HI87" s="426">
        <f t="shared" si="114"/>
        <v>4716.9309999999996</v>
      </c>
      <c r="HJ87" s="426">
        <f t="shared" si="115"/>
        <v>0</v>
      </c>
      <c r="HK87" s="426">
        <f t="shared" si="116"/>
        <v>4716.9309999999996</v>
      </c>
    </row>
    <row r="88" spans="1:219" ht="15" customHeight="1" x14ac:dyDescent="0.3">
      <c r="A88" s="287" t="s">
        <v>553</v>
      </c>
      <c r="B88" s="288" t="s">
        <v>600</v>
      </c>
      <c r="C88" s="289">
        <v>7900000</v>
      </c>
      <c r="D88" s="290">
        <f t="shared" si="61"/>
        <v>8397.6999999999989</v>
      </c>
      <c r="E88" s="289">
        <v>0</v>
      </c>
      <c r="F88" s="289">
        <f t="shared" si="62"/>
        <v>0</v>
      </c>
      <c r="J88" s="291" t="s">
        <v>355</v>
      </c>
      <c r="K88" s="292" t="s">
        <v>608</v>
      </c>
      <c r="L88" s="293">
        <v>319659</v>
      </c>
      <c r="M88" s="293">
        <f t="shared" si="63"/>
        <v>339.79751699999997</v>
      </c>
      <c r="Q88" s="291" t="s">
        <v>553</v>
      </c>
      <c r="R88" s="292" t="s">
        <v>717</v>
      </c>
      <c r="S88" s="293">
        <v>1000000</v>
      </c>
      <c r="T88" s="293">
        <v>0</v>
      </c>
      <c r="U88" s="293">
        <f t="shared" si="64"/>
        <v>1063</v>
      </c>
      <c r="V88" s="293">
        <f t="shared" si="65"/>
        <v>0</v>
      </c>
      <c r="Z88" s="288" t="s">
        <v>603</v>
      </c>
      <c r="AA88" s="289">
        <v>0</v>
      </c>
      <c r="AB88" s="289">
        <f t="shared" si="66"/>
        <v>0</v>
      </c>
      <c r="AF88" s="288" t="s">
        <v>596</v>
      </c>
      <c r="AG88" s="289">
        <v>573300</v>
      </c>
      <c r="AH88" s="289">
        <f t="shared" si="60"/>
        <v>609.41789999999992</v>
      </c>
      <c r="AI88" s="289">
        <v>83300</v>
      </c>
      <c r="AL88" s="426"/>
      <c r="AN88" s="423" t="s">
        <v>553</v>
      </c>
      <c r="AO88" s="424" t="s">
        <v>401</v>
      </c>
      <c r="AP88" s="425">
        <v>7002139</v>
      </c>
      <c r="AQ88" s="425">
        <f t="shared" si="67"/>
        <v>7443.2737569999999</v>
      </c>
      <c r="AU88" s="423" t="s">
        <v>553</v>
      </c>
      <c r="AV88" s="424" t="s">
        <v>596</v>
      </c>
      <c r="AW88" s="425">
        <v>345100</v>
      </c>
      <c r="AX88" s="425">
        <v>345100</v>
      </c>
      <c r="AY88" s="425">
        <v>0</v>
      </c>
      <c r="AZ88" s="426">
        <f t="shared" si="68"/>
        <v>366.84129999999999</v>
      </c>
      <c r="BA88" s="426">
        <f t="shared" si="69"/>
        <v>366.84129999999999</v>
      </c>
      <c r="BB88" s="426">
        <f t="shared" si="70"/>
        <v>0</v>
      </c>
      <c r="BF88" s="423" t="s">
        <v>553</v>
      </c>
      <c r="BG88" s="424" t="s">
        <v>406</v>
      </c>
      <c r="BH88" s="425">
        <v>0</v>
      </c>
      <c r="BI88" s="426">
        <f t="shared" si="71"/>
        <v>0</v>
      </c>
      <c r="BM88" s="427" t="s">
        <v>355</v>
      </c>
      <c r="BN88" s="93" t="s">
        <v>395</v>
      </c>
      <c r="BO88" s="94">
        <v>0</v>
      </c>
      <c r="BP88" s="94">
        <v>20765100</v>
      </c>
      <c r="BQ88" s="94">
        <v>9057282</v>
      </c>
      <c r="BR88" s="94">
        <v>11707818</v>
      </c>
      <c r="BS88" s="94">
        <v>6552956</v>
      </c>
      <c r="BT88" s="426">
        <f t="shared" si="72"/>
        <v>22073.301299999996</v>
      </c>
      <c r="BU88" s="426">
        <f t="shared" si="73"/>
        <v>9627.8907659999986</v>
      </c>
      <c r="BV88" s="426">
        <f t="shared" si="74"/>
        <v>12445.410533999999</v>
      </c>
      <c r="BW88" s="426">
        <f t="shared" si="75"/>
        <v>6965.7922279999993</v>
      </c>
      <c r="CA88" s="93" t="s">
        <v>601</v>
      </c>
      <c r="CB88" s="426">
        <v>12145094</v>
      </c>
      <c r="CC88" s="426">
        <f t="shared" si="76"/>
        <v>12910.234921999998</v>
      </c>
      <c r="CG88" s="424" t="s">
        <v>595</v>
      </c>
      <c r="CH88" s="425">
        <v>0</v>
      </c>
      <c r="CI88" s="425">
        <v>33000000</v>
      </c>
      <c r="CJ88" s="425">
        <v>-33000000</v>
      </c>
      <c r="CK88" s="425">
        <v>31745219</v>
      </c>
      <c r="CL88" s="425">
        <v>1254781</v>
      </c>
      <c r="CM88" s="425">
        <v>17315574</v>
      </c>
      <c r="CN88" s="425">
        <f t="shared" si="77"/>
        <v>35079</v>
      </c>
      <c r="CO88" s="425">
        <f t="shared" si="78"/>
        <v>33745.167797000002</v>
      </c>
      <c r="CP88" s="425">
        <f t="shared" si="79"/>
        <v>1333.8322029999999</v>
      </c>
      <c r="CQ88" s="425">
        <f t="shared" si="80"/>
        <v>18406.455161999998</v>
      </c>
      <c r="CU88" s="424" t="s">
        <v>601</v>
      </c>
      <c r="CV88" s="425">
        <v>2505636</v>
      </c>
      <c r="CW88" s="425">
        <v>15047263</v>
      </c>
      <c r="CX88" s="426">
        <f t="shared" si="81"/>
        <v>2663.4910679999998</v>
      </c>
      <c r="CY88" s="426">
        <f t="shared" si="82"/>
        <v>15995.240569</v>
      </c>
      <c r="DB88" s="568" t="s">
        <v>595</v>
      </c>
      <c r="DC88" s="569">
        <v>33000000</v>
      </c>
      <c r="DD88" s="569">
        <v>31947519</v>
      </c>
      <c r="DE88" s="569">
        <v>1052481</v>
      </c>
      <c r="DF88" s="569">
        <v>20403803</v>
      </c>
      <c r="DG88" s="570">
        <f t="shared" si="83"/>
        <v>35079</v>
      </c>
      <c r="DH88" s="570">
        <f t="shared" si="84"/>
        <v>33960.212696999995</v>
      </c>
      <c r="DI88" s="570">
        <f t="shared" si="85"/>
        <v>1118.7873029999998</v>
      </c>
      <c r="DJ88" s="570">
        <f t="shared" si="86"/>
        <v>21689.242588999998</v>
      </c>
      <c r="DN88" s="93" t="s">
        <v>604</v>
      </c>
      <c r="DO88" s="93">
        <v>0</v>
      </c>
      <c r="DP88" s="93">
        <v>2043325</v>
      </c>
      <c r="DQ88" s="626">
        <f t="shared" si="87"/>
        <v>0</v>
      </c>
      <c r="DR88" s="626">
        <f t="shared" si="88"/>
        <v>2172.0544749999999</v>
      </c>
      <c r="DV88" s="93" t="s">
        <v>394</v>
      </c>
      <c r="DW88" s="94">
        <v>16313472</v>
      </c>
      <c r="DX88" s="94">
        <v>16181696</v>
      </c>
      <c r="DY88" s="94">
        <v>131776</v>
      </c>
      <c r="DZ88" s="94">
        <v>3838464</v>
      </c>
      <c r="EA88" s="94">
        <f t="shared" si="89"/>
        <v>17341.220735999999</v>
      </c>
      <c r="EB88" s="94">
        <f t="shared" si="90"/>
        <v>17201.142848</v>
      </c>
      <c r="EC88" s="94">
        <f t="shared" si="91"/>
        <v>140.077888</v>
      </c>
      <c r="ED88" s="94">
        <f t="shared" si="92"/>
        <v>4080.2872319999997</v>
      </c>
      <c r="EH88" s="420" t="s">
        <v>602</v>
      </c>
      <c r="EI88" s="420">
        <v>4080000</v>
      </c>
      <c r="EJ88" s="426">
        <f t="shared" si="93"/>
        <v>4337.04</v>
      </c>
      <c r="EN88" s="420" t="s">
        <v>391</v>
      </c>
      <c r="EO88" s="426">
        <v>15807270</v>
      </c>
      <c r="EP88" s="426">
        <v>15807270</v>
      </c>
      <c r="EQ88" s="426">
        <v>0</v>
      </c>
      <c r="ER88" s="426">
        <v>8653668</v>
      </c>
      <c r="ES88" s="700">
        <f t="shared" si="94"/>
        <v>16803.12801</v>
      </c>
      <c r="ET88" s="700">
        <f t="shared" si="95"/>
        <v>16803.12801</v>
      </c>
      <c r="EU88" s="700">
        <f t="shared" si="96"/>
        <v>0</v>
      </c>
      <c r="EV88" s="700">
        <f t="shared" si="97"/>
        <v>9198.8490839999995</v>
      </c>
      <c r="EZ88" s="730" t="s">
        <v>553</v>
      </c>
      <c r="FA88" s="731" t="s">
        <v>404</v>
      </c>
      <c r="FB88" s="420">
        <v>38027883</v>
      </c>
      <c r="FC88" s="426">
        <f t="shared" si="98"/>
        <v>38027.883000000002</v>
      </c>
      <c r="FG88" s="735" t="s">
        <v>553</v>
      </c>
      <c r="FH88" s="734" t="s">
        <v>391</v>
      </c>
      <c r="FI88" s="732">
        <v>16158010</v>
      </c>
      <c r="FJ88" s="733">
        <v>15807270</v>
      </c>
      <c r="FK88" s="733">
        <v>350740</v>
      </c>
      <c r="FL88" s="733">
        <v>9643696</v>
      </c>
      <c r="FM88" s="426">
        <f t="shared" si="99"/>
        <v>16158.01</v>
      </c>
      <c r="FN88" s="426">
        <f t="shared" si="100"/>
        <v>15807.27</v>
      </c>
      <c r="FO88" s="426">
        <f t="shared" si="101"/>
        <v>350.74</v>
      </c>
      <c r="FP88" s="426">
        <f t="shared" si="102"/>
        <v>9643.6959999999999</v>
      </c>
      <c r="FT88" s="427" t="s">
        <v>553</v>
      </c>
      <c r="FU88" s="93" t="s">
        <v>401</v>
      </c>
      <c r="FV88" s="94">
        <v>-8118671</v>
      </c>
      <c r="FW88" s="94">
        <v>-1802021</v>
      </c>
      <c r="FX88" s="94">
        <v>4703895</v>
      </c>
      <c r="FY88" s="426">
        <f t="shared" si="103"/>
        <v>-8118.6710000000003</v>
      </c>
      <c r="FZ88" s="426">
        <f t="shared" si="104"/>
        <v>-1802.021</v>
      </c>
      <c r="GA88" s="426">
        <f t="shared" si="105"/>
        <v>4703.8950000000004</v>
      </c>
      <c r="GG88" s="762" t="s">
        <v>553</v>
      </c>
      <c r="GH88" s="763" t="s">
        <v>391</v>
      </c>
      <c r="GI88" s="764">
        <v>11768426</v>
      </c>
      <c r="GJ88" s="764">
        <v>11417686</v>
      </c>
      <c r="GK88" s="764">
        <v>350740</v>
      </c>
      <c r="GL88" s="764">
        <v>10397686</v>
      </c>
      <c r="GM88" s="764">
        <v>1020000</v>
      </c>
      <c r="GN88" s="426">
        <f t="shared" si="106"/>
        <v>11768.425999999999</v>
      </c>
      <c r="GO88" s="426">
        <f t="shared" si="107"/>
        <v>11417.686</v>
      </c>
      <c r="GP88" s="426">
        <f t="shared" si="108"/>
        <v>350.74</v>
      </c>
      <c r="GQ88" s="426">
        <f t="shared" si="109"/>
        <v>10397.686</v>
      </c>
      <c r="GR88" s="426">
        <f t="shared" si="110"/>
        <v>1020</v>
      </c>
      <c r="GV88" s="780" t="s">
        <v>401</v>
      </c>
      <c r="GW88" s="779">
        <v>7769361</v>
      </c>
      <c r="GX88" s="426">
        <f t="shared" si="111"/>
        <v>7769.3609999999999</v>
      </c>
      <c r="HB88" s="782" t="s">
        <v>387</v>
      </c>
      <c r="HC88" s="764">
        <v>139189715</v>
      </c>
      <c r="HD88" s="764">
        <v>139189715</v>
      </c>
      <c r="HE88" s="764">
        <v>0</v>
      </c>
      <c r="HF88" s="764">
        <v>139189715</v>
      </c>
      <c r="HG88" s="426">
        <f t="shared" si="112"/>
        <v>139189.715</v>
      </c>
      <c r="HH88" s="426">
        <f t="shared" si="113"/>
        <v>0</v>
      </c>
      <c r="HI88" s="426">
        <f t="shared" si="114"/>
        <v>139189.715</v>
      </c>
      <c r="HJ88" s="426">
        <f t="shared" si="115"/>
        <v>0</v>
      </c>
      <c r="HK88" s="426">
        <f t="shared" si="116"/>
        <v>139189.715</v>
      </c>
    </row>
    <row r="89" spans="1:219" ht="15" customHeight="1" x14ac:dyDescent="0.3">
      <c r="A89" s="287" t="s">
        <v>355</v>
      </c>
      <c r="B89" s="288" t="s">
        <v>397</v>
      </c>
      <c r="C89" s="289">
        <v>25000000</v>
      </c>
      <c r="D89" s="290">
        <f t="shared" si="61"/>
        <v>26575</v>
      </c>
      <c r="E89" s="289">
        <v>715701</v>
      </c>
      <c r="F89" s="289">
        <f t="shared" si="62"/>
        <v>760.79016300000001</v>
      </c>
      <c r="J89" s="291" t="s">
        <v>553</v>
      </c>
      <c r="K89" s="292" t="s">
        <v>410</v>
      </c>
      <c r="L89" s="293">
        <v>96920</v>
      </c>
      <c r="M89" s="293">
        <f t="shared" si="63"/>
        <v>103.02596</v>
      </c>
      <c r="Q89" s="291" t="s">
        <v>553</v>
      </c>
      <c r="R89" s="292" t="s">
        <v>600</v>
      </c>
      <c r="S89" s="293">
        <v>7900000</v>
      </c>
      <c r="T89" s="293">
        <v>421061</v>
      </c>
      <c r="U89" s="293">
        <f t="shared" si="64"/>
        <v>8397.6999999999989</v>
      </c>
      <c r="V89" s="293">
        <f t="shared" si="65"/>
        <v>447.58784299999996</v>
      </c>
      <c r="Z89" s="288" t="s">
        <v>402</v>
      </c>
      <c r="AA89" s="289">
        <v>1547000</v>
      </c>
      <c r="AB89" s="289">
        <f t="shared" si="66"/>
        <v>1644.461</v>
      </c>
      <c r="AF89" s="288" t="s">
        <v>597</v>
      </c>
      <c r="AG89" s="289">
        <v>12000000</v>
      </c>
      <c r="AH89" s="289">
        <f t="shared" si="60"/>
        <v>12756</v>
      </c>
      <c r="AI89" s="289">
        <v>3183982</v>
      </c>
      <c r="AL89" s="426"/>
      <c r="AN89" s="423" t="s">
        <v>553</v>
      </c>
      <c r="AO89" s="424" t="s">
        <v>601</v>
      </c>
      <c r="AP89" s="425">
        <v>5655751</v>
      </c>
      <c r="AQ89" s="425">
        <f t="shared" si="67"/>
        <v>6012.0633129999997</v>
      </c>
      <c r="AU89" s="423" t="s">
        <v>553</v>
      </c>
      <c r="AV89" s="424" t="s">
        <v>597</v>
      </c>
      <c r="AW89" s="425">
        <v>12000000</v>
      </c>
      <c r="AX89" s="425">
        <v>5177894</v>
      </c>
      <c r="AY89" s="425">
        <v>6822106</v>
      </c>
      <c r="AZ89" s="426">
        <f t="shared" si="68"/>
        <v>12756</v>
      </c>
      <c r="BA89" s="426">
        <f t="shared" si="69"/>
        <v>5504.1013219999995</v>
      </c>
      <c r="BB89" s="426">
        <f t="shared" si="70"/>
        <v>7251.8986779999996</v>
      </c>
      <c r="BF89" s="423" t="s">
        <v>553</v>
      </c>
      <c r="BG89" s="424" t="s">
        <v>407</v>
      </c>
      <c r="BH89" s="425">
        <v>0</v>
      </c>
      <c r="BI89" s="426">
        <f t="shared" si="71"/>
        <v>0</v>
      </c>
      <c r="BM89" s="427" t="s">
        <v>553</v>
      </c>
      <c r="BN89" s="93" t="s">
        <v>596</v>
      </c>
      <c r="BO89" s="94">
        <v>0</v>
      </c>
      <c r="BP89" s="94">
        <v>566590</v>
      </c>
      <c r="BQ89" s="94">
        <v>566590</v>
      </c>
      <c r="BR89" s="94">
        <v>0</v>
      </c>
      <c r="BS89" s="94">
        <v>426590</v>
      </c>
      <c r="BT89" s="426">
        <f t="shared" si="72"/>
        <v>602.28516999999999</v>
      </c>
      <c r="BU89" s="426">
        <f t="shared" si="73"/>
        <v>602.28516999999999</v>
      </c>
      <c r="BV89" s="426">
        <f t="shared" si="74"/>
        <v>0</v>
      </c>
      <c r="BW89" s="426">
        <f t="shared" si="75"/>
        <v>453.46516999999994</v>
      </c>
      <c r="CA89" s="93" t="s">
        <v>602</v>
      </c>
      <c r="CB89" s="426">
        <v>2498600</v>
      </c>
      <c r="CC89" s="426">
        <f t="shared" si="76"/>
        <v>2656.0117999999998</v>
      </c>
      <c r="CG89" s="424" t="s">
        <v>395</v>
      </c>
      <c r="CH89" s="425">
        <v>0</v>
      </c>
      <c r="CI89" s="425">
        <v>16723466</v>
      </c>
      <c r="CJ89" s="425">
        <v>-16723466</v>
      </c>
      <c r="CK89" s="425">
        <v>11266752</v>
      </c>
      <c r="CL89" s="425">
        <v>5456714</v>
      </c>
      <c r="CM89" s="425">
        <v>7658475</v>
      </c>
      <c r="CN89" s="425">
        <f t="shared" si="77"/>
        <v>17777.044357999999</v>
      </c>
      <c r="CO89" s="425">
        <f t="shared" si="78"/>
        <v>11976.557376000001</v>
      </c>
      <c r="CP89" s="425">
        <f t="shared" si="79"/>
        <v>5800.4869819999994</v>
      </c>
      <c r="CQ89" s="425">
        <f t="shared" si="80"/>
        <v>8140.9589249999999</v>
      </c>
      <c r="CU89" s="424" t="s">
        <v>602</v>
      </c>
      <c r="CV89" s="425">
        <v>3032800</v>
      </c>
      <c r="CW89" s="425">
        <v>8977000</v>
      </c>
      <c r="CX89" s="426">
        <f t="shared" si="81"/>
        <v>3223.8663999999999</v>
      </c>
      <c r="CY89" s="426">
        <f t="shared" si="82"/>
        <v>9542.5509999999995</v>
      </c>
      <c r="DB89" s="568" t="s">
        <v>395</v>
      </c>
      <c r="DC89" s="569">
        <v>22151804</v>
      </c>
      <c r="DD89" s="569">
        <v>15010959</v>
      </c>
      <c r="DE89" s="569">
        <v>7140845</v>
      </c>
      <c r="DF89" s="569">
        <v>8856752</v>
      </c>
      <c r="DG89" s="570">
        <f t="shared" si="83"/>
        <v>23547.367651999997</v>
      </c>
      <c r="DH89" s="570">
        <f t="shared" si="84"/>
        <v>15956.649417000001</v>
      </c>
      <c r="DI89" s="570">
        <f t="shared" si="85"/>
        <v>7590.7182350000003</v>
      </c>
      <c r="DJ89" s="570">
        <f t="shared" si="86"/>
        <v>9414.7273760000007</v>
      </c>
      <c r="DN89" s="93" t="s">
        <v>605</v>
      </c>
      <c r="DO89" s="93">
        <v>0</v>
      </c>
      <c r="DP89" s="93">
        <v>5457053</v>
      </c>
      <c r="DQ89" s="626">
        <f t="shared" si="87"/>
        <v>0</v>
      </c>
      <c r="DR89" s="626">
        <f t="shared" si="88"/>
        <v>5800.8473389999999</v>
      </c>
      <c r="DV89" s="93" t="s">
        <v>595</v>
      </c>
      <c r="DW89" s="94">
        <v>35147519</v>
      </c>
      <c r="DX89" s="94">
        <v>31947519</v>
      </c>
      <c r="DY89" s="94">
        <v>3200000</v>
      </c>
      <c r="DZ89" s="94">
        <v>23289732</v>
      </c>
      <c r="EA89" s="94">
        <f t="shared" si="89"/>
        <v>37361.812697000001</v>
      </c>
      <c r="EB89" s="94">
        <f t="shared" si="90"/>
        <v>33960.212696999995</v>
      </c>
      <c r="EC89" s="94">
        <f t="shared" si="91"/>
        <v>3401.6</v>
      </c>
      <c r="ED89" s="94">
        <f t="shared" si="92"/>
        <v>24756.985116</v>
      </c>
      <c r="EH89" s="420" t="s">
        <v>603</v>
      </c>
      <c r="EI89" s="420">
        <v>0</v>
      </c>
      <c r="EJ89" s="426">
        <f t="shared" si="93"/>
        <v>0</v>
      </c>
      <c r="EN89" s="420" t="s">
        <v>392</v>
      </c>
      <c r="EO89" s="426">
        <v>65581752</v>
      </c>
      <c r="EP89" s="426">
        <v>65581752</v>
      </c>
      <c r="EQ89" s="426">
        <v>0</v>
      </c>
      <c r="ER89" s="426">
        <v>49186314</v>
      </c>
      <c r="ES89" s="700">
        <f t="shared" si="94"/>
        <v>69713.402375999984</v>
      </c>
      <c r="ET89" s="700">
        <f t="shared" si="95"/>
        <v>69713.402375999984</v>
      </c>
      <c r="EU89" s="700">
        <f t="shared" si="96"/>
        <v>0</v>
      </c>
      <c r="EV89" s="700">
        <f t="shared" si="97"/>
        <v>52285.051781999995</v>
      </c>
      <c r="EZ89" s="730" t="s">
        <v>553</v>
      </c>
      <c r="FA89" s="731" t="s">
        <v>604</v>
      </c>
      <c r="FB89" s="420">
        <v>2082208</v>
      </c>
      <c r="FC89" s="426">
        <f t="shared" si="98"/>
        <v>2082.2080000000001</v>
      </c>
      <c r="FG89" s="735" t="s">
        <v>553</v>
      </c>
      <c r="FH89" s="734" t="s">
        <v>392</v>
      </c>
      <c r="FI89" s="732">
        <v>65581752</v>
      </c>
      <c r="FJ89" s="733">
        <v>65581752</v>
      </c>
      <c r="FK89" s="733">
        <v>0</v>
      </c>
      <c r="FL89" s="733">
        <v>54651460</v>
      </c>
      <c r="FM89" s="426">
        <f t="shared" si="99"/>
        <v>65581.751999999993</v>
      </c>
      <c r="FN89" s="426">
        <f t="shared" si="100"/>
        <v>65581.751999999993</v>
      </c>
      <c r="FO89" s="426">
        <f t="shared" si="101"/>
        <v>0</v>
      </c>
      <c r="FP89" s="426">
        <f t="shared" si="102"/>
        <v>54651.46</v>
      </c>
      <c r="FT89" s="427" t="s">
        <v>553</v>
      </c>
      <c r="FU89" s="93" t="s">
        <v>601</v>
      </c>
      <c r="FV89" s="94">
        <v>1366645</v>
      </c>
      <c r="FW89" s="94">
        <v>9642302</v>
      </c>
      <c r="FX89" s="94">
        <v>14097801</v>
      </c>
      <c r="FY89" s="426">
        <f t="shared" si="103"/>
        <v>1366.645</v>
      </c>
      <c r="FZ89" s="426">
        <f t="shared" si="104"/>
        <v>9642.3019999999997</v>
      </c>
      <c r="GA89" s="426">
        <f t="shared" si="105"/>
        <v>14097.800999999999</v>
      </c>
      <c r="GG89" s="762" t="s">
        <v>553</v>
      </c>
      <c r="GH89" s="763" t="s">
        <v>392</v>
      </c>
      <c r="GI89" s="764">
        <v>65581752</v>
      </c>
      <c r="GJ89" s="764">
        <v>65581752</v>
      </c>
      <c r="GK89" s="764">
        <v>0</v>
      </c>
      <c r="GL89" s="764">
        <v>60116606</v>
      </c>
      <c r="GM89" s="764">
        <v>5465146</v>
      </c>
      <c r="GN89" s="426">
        <f t="shared" si="106"/>
        <v>65581.751999999993</v>
      </c>
      <c r="GO89" s="426">
        <f t="shared" si="107"/>
        <v>65581.751999999993</v>
      </c>
      <c r="GP89" s="426">
        <f t="shared" si="108"/>
        <v>0</v>
      </c>
      <c r="GQ89" s="426">
        <f t="shared" si="109"/>
        <v>60116.606</v>
      </c>
      <c r="GR89" s="426">
        <f t="shared" si="110"/>
        <v>5465.1459999999997</v>
      </c>
      <c r="GV89" s="780" t="s">
        <v>601</v>
      </c>
      <c r="GW89" s="779">
        <v>30029928</v>
      </c>
      <c r="GX89" s="426">
        <f t="shared" si="111"/>
        <v>30029.928</v>
      </c>
      <c r="HB89" s="782" t="s">
        <v>388</v>
      </c>
      <c r="HC89" s="764">
        <v>9655842</v>
      </c>
      <c r="HD89" s="764">
        <v>9655842</v>
      </c>
      <c r="HE89" s="764">
        <v>0</v>
      </c>
      <c r="HF89" s="764">
        <v>9655842</v>
      </c>
      <c r="HG89" s="426">
        <f t="shared" si="112"/>
        <v>9655.8420000000006</v>
      </c>
      <c r="HH89" s="426">
        <f t="shared" si="113"/>
        <v>0</v>
      </c>
      <c r="HI89" s="426">
        <f t="shared" si="114"/>
        <v>9655.8420000000006</v>
      </c>
      <c r="HJ89" s="426">
        <f t="shared" si="115"/>
        <v>0</v>
      </c>
      <c r="HK89" s="426">
        <f t="shared" si="116"/>
        <v>9655.8420000000006</v>
      </c>
    </row>
    <row r="90" spans="1:219" ht="15" customHeight="1" x14ac:dyDescent="0.3">
      <c r="A90" s="287" t="s">
        <v>553</v>
      </c>
      <c r="B90" s="288" t="s">
        <v>398</v>
      </c>
      <c r="C90" s="289">
        <v>10000000</v>
      </c>
      <c r="D90" s="290">
        <f t="shared" si="61"/>
        <v>10630</v>
      </c>
      <c r="E90" s="289">
        <v>694551</v>
      </c>
      <c r="F90" s="289">
        <f t="shared" si="62"/>
        <v>738.30771300000004</v>
      </c>
      <c r="J90" s="291" t="s">
        <v>553</v>
      </c>
      <c r="K90" s="292" t="s">
        <v>411</v>
      </c>
      <c r="L90" s="293">
        <v>222739</v>
      </c>
      <c r="M90" s="293">
        <f t="shared" si="63"/>
        <v>236.771557</v>
      </c>
      <c r="Q90" s="291" t="s">
        <v>355</v>
      </c>
      <c r="R90" s="292" t="s">
        <v>397</v>
      </c>
      <c r="S90" s="293">
        <v>26499400</v>
      </c>
      <c r="T90" s="293">
        <v>1822771</v>
      </c>
      <c r="U90" s="293">
        <f t="shared" si="64"/>
        <v>28168.8622</v>
      </c>
      <c r="V90" s="293">
        <f t="shared" si="65"/>
        <v>1937.6055729999998</v>
      </c>
      <c r="Z90" s="288" t="s">
        <v>403</v>
      </c>
      <c r="AA90" s="289">
        <v>32491178</v>
      </c>
      <c r="AB90" s="289">
        <f t="shared" si="66"/>
        <v>34538.122213999995</v>
      </c>
      <c r="AF90" s="288" t="s">
        <v>717</v>
      </c>
      <c r="AG90" s="289">
        <v>510000</v>
      </c>
      <c r="AH90" s="289">
        <f t="shared" si="60"/>
        <v>542.13</v>
      </c>
      <c r="AI90" s="289">
        <v>0</v>
      </c>
      <c r="AL90" s="426"/>
      <c r="AN90" s="423" t="s">
        <v>553</v>
      </c>
      <c r="AO90" s="424" t="s">
        <v>602</v>
      </c>
      <c r="AP90" s="425">
        <v>8826000</v>
      </c>
      <c r="AQ90" s="425">
        <f t="shared" si="67"/>
        <v>9382.0379999999986</v>
      </c>
      <c r="AU90" s="423" t="s">
        <v>553</v>
      </c>
      <c r="AV90" s="424" t="s">
        <v>717</v>
      </c>
      <c r="AW90" s="425">
        <v>510000</v>
      </c>
      <c r="AX90" s="425">
        <v>0</v>
      </c>
      <c r="AY90" s="425">
        <v>510000</v>
      </c>
      <c r="AZ90" s="426">
        <f t="shared" si="68"/>
        <v>542.13</v>
      </c>
      <c r="BA90" s="426">
        <f t="shared" si="69"/>
        <v>0</v>
      </c>
      <c r="BB90" s="426">
        <f t="shared" si="70"/>
        <v>542.13</v>
      </c>
      <c r="BF90" s="423" t="s">
        <v>553</v>
      </c>
      <c r="BG90" s="424" t="s">
        <v>408</v>
      </c>
      <c r="BH90" s="425">
        <v>124103798</v>
      </c>
      <c r="BI90" s="426">
        <f t="shared" si="71"/>
        <v>131922.33727399999</v>
      </c>
      <c r="BM90" s="427" t="s">
        <v>553</v>
      </c>
      <c r="BN90" s="93" t="s">
        <v>597</v>
      </c>
      <c r="BO90" s="94">
        <v>0</v>
      </c>
      <c r="BP90" s="94">
        <v>12010000</v>
      </c>
      <c r="BQ90" s="94">
        <v>5828702</v>
      </c>
      <c r="BR90" s="94">
        <v>6181298</v>
      </c>
      <c r="BS90" s="94">
        <v>5284244</v>
      </c>
      <c r="BT90" s="426">
        <f t="shared" si="72"/>
        <v>12766.63</v>
      </c>
      <c r="BU90" s="426">
        <f t="shared" si="73"/>
        <v>6195.910226</v>
      </c>
      <c r="BV90" s="426">
        <f t="shared" si="74"/>
        <v>6570.7197739999992</v>
      </c>
      <c r="BW90" s="426">
        <f t="shared" si="75"/>
        <v>5617.1513719999994</v>
      </c>
      <c r="CA90" s="93" t="s">
        <v>603</v>
      </c>
      <c r="CB90" s="426">
        <v>0</v>
      </c>
      <c r="CC90" s="426">
        <f t="shared" si="76"/>
        <v>0</v>
      </c>
      <c r="CG90" s="424" t="s">
        <v>596</v>
      </c>
      <c r="CH90" s="425">
        <v>0</v>
      </c>
      <c r="CI90" s="425">
        <v>1680323</v>
      </c>
      <c r="CJ90" s="425">
        <v>-1680323</v>
      </c>
      <c r="CK90" s="425">
        <v>1680323</v>
      </c>
      <c r="CL90" s="425">
        <v>0</v>
      </c>
      <c r="CM90" s="425">
        <v>566590</v>
      </c>
      <c r="CN90" s="425">
        <f t="shared" si="77"/>
        <v>1786.1833489999999</v>
      </c>
      <c r="CO90" s="425">
        <f t="shared" si="78"/>
        <v>1786.1833489999999</v>
      </c>
      <c r="CP90" s="425">
        <f t="shared" si="79"/>
        <v>0</v>
      </c>
      <c r="CQ90" s="425">
        <f t="shared" si="80"/>
        <v>602.28516999999999</v>
      </c>
      <c r="CU90" s="424" t="s">
        <v>402</v>
      </c>
      <c r="CV90" s="425">
        <v>31806618</v>
      </c>
      <c r="CW90" s="425">
        <v>4596970</v>
      </c>
      <c r="CX90" s="426">
        <f t="shared" si="81"/>
        <v>33810.434933999997</v>
      </c>
      <c r="CY90" s="426">
        <f t="shared" si="82"/>
        <v>4886.5791099999997</v>
      </c>
      <c r="DB90" s="568" t="s">
        <v>596</v>
      </c>
      <c r="DC90" s="569">
        <v>2880323</v>
      </c>
      <c r="DD90" s="569">
        <v>2880323</v>
      </c>
      <c r="DE90" s="569">
        <v>0</v>
      </c>
      <c r="DF90" s="569">
        <v>566590</v>
      </c>
      <c r="DG90" s="570">
        <f t="shared" si="83"/>
        <v>3061.7833489999998</v>
      </c>
      <c r="DH90" s="570">
        <f t="shared" si="84"/>
        <v>3061.7833489999998</v>
      </c>
      <c r="DI90" s="570">
        <f t="shared" si="85"/>
        <v>0</v>
      </c>
      <c r="DJ90" s="570">
        <f t="shared" si="86"/>
        <v>602.28516999999999</v>
      </c>
      <c r="DN90" s="93" t="s">
        <v>494</v>
      </c>
      <c r="DO90" s="93">
        <v>0</v>
      </c>
      <c r="DP90" s="93">
        <v>1041250</v>
      </c>
      <c r="DQ90" s="626">
        <f t="shared" si="87"/>
        <v>0</v>
      </c>
      <c r="DR90" s="626">
        <f t="shared" si="88"/>
        <v>1106.8487499999999</v>
      </c>
      <c r="DV90" s="93" t="s">
        <v>395</v>
      </c>
      <c r="DW90" s="94">
        <v>24673313</v>
      </c>
      <c r="DX90" s="94">
        <v>24673313</v>
      </c>
      <c r="DY90" s="94">
        <v>0</v>
      </c>
      <c r="DZ90" s="94">
        <v>19119163</v>
      </c>
      <c r="EA90" s="94">
        <f t="shared" si="89"/>
        <v>26227.731718999996</v>
      </c>
      <c r="EB90" s="94">
        <f t="shared" si="90"/>
        <v>26227.731718999996</v>
      </c>
      <c r="EC90" s="94">
        <f t="shared" si="91"/>
        <v>0</v>
      </c>
      <c r="ED90" s="94">
        <f t="shared" si="92"/>
        <v>20323.670268999998</v>
      </c>
      <c r="EH90" s="420" t="s">
        <v>402</v>
      </c>
      <c r="EI90" s="420">
        <v>24475425</v>
      </c>
      <c r="EJ90" s="426">
        <f t="shared" si="93"/>
        <v>26017.376774999997</v>
      </c>
      <c r="EN90" s="420" t="s">
        <v>393</v>
      </c>
      <c r="EO90" s="426">
        <v>2315654</v>
      </c>
      <c r="EP90" s="426">
        <v>1860276</v>
      </c>
      <c r="EQ90" s="426">
        <v>455378</v>
      </c>
      <c r="ER90" s="426">
        <v>1379787</v>
      </c>
      <c r="ES90" s="700">
        <f t="shared" si="94"/>
        <v>2461.5402019999997</v>
      </c>
      <c r="ET90" s="700">
        <f t="shared" si="95"/>
        <v>1977.4733879999999</v>
      </c>
      <c r="EU90" s="700">
        <f t="shared" si="96"/>
        <v>484.06681399999997</v>
      </c>
      <c r="EV90" s="700">
        <f t="shared" si="97"/>
        <v>1466.713581</v>
      </c>
      <c r="EZ90" s="730" t="s">
        <v>553</v>
      </c>
      <c r="FA90" s="731" t="s">
        <v>605</v>
      </c>
      <c r="FB90" s="420">
        <v>5730096</v>
      </c>
      <c r="FC90" s="426">
        <f t="shared" si="98"/>
        <v>5730.0959999999995</v>
      </c>
      <c r="FG90" s="735" t="s">
        <v>553</v>
      </c>
      <c r="FH90" s="734" t="s">
        <v>393</v>
      </c>
      <c r="FI90" s="732">
        <v>2315654</v>
      </c>
      <c r="FJ90" s="733">
        <v>1860276</v>
      </c>
      <c r="FK90" s="733">
        <v>455378</v>
      </c>
      <c r="FL90" s="733">
        <v>1539950</v>
      </c>
      <c r="FM90" s="426">
        <f t="shared" si="99"/>
        <v>2315.654</v>
      </c>
      <c r="FN90" s="426">
        <f t="shared" si="100"/>
        <v>1860.2760000000001</v>
      </c>
      <c r="FO90" s="426">
        <f t="shared" si="101"/>
        <v>455.37799999999999</v>
      </c>
      <c r="FP90" s="426">
        <f t="shared" si="102"/>
        <v>1539.95</v>
      </c>
      <c r="FT90" s="427" t="s">
        <v>553</v>
      </c>
      <c r="FU90" s="93" t="s">
        <v>602</v>
      </c>
      <c r="FV90" s="94">
        <v>1611000</v>
      </c>
      <c r="FW90" s="94">
        <v>19000</v>
      </c>
      <c r="FX90" s="94">
        <v>7328000</v>
      </c>
      <c r="FY90" s="426">
        <f t="shared" si="103"/>
        <v>1611</v>
      </c>
      <c r="FZ90" s="426">
        <f t="shared" si="104"/>
        <v>19</v>
      </c>
      <c r="GA90" s="426">
        <f t="shared" si="105"/>
        <v>7328</v>
      </c>
      <c r="GG90" s="762" t="s">
        <v>553</v>
      </c>
      <c r="GH90" s="763" t="s">
        <v>393</v>
      </c>
      <c r="GI90" s="764">
        <v>1860276</v>
      </c>
      <c r="GJ90" s="764">
        <v>1860276</v>
      </c>
      <c r="GK90" s="764">
        <v>0</v>
      </c>
      <c r="GL90" s="764">
        <v>1539950</v>
      </c>
      <c r="GM90" s="764">
        <v>320326</v>
      </c>
      <c r="GN90" s="426">
        <f t="shared" si="106"/>
        <v>1860.2760000000001</v>
      </c>
      <c r="GO90" s="426">
        <f t="shared" si="107"/>
        <v>1860.2760000000001</v>
      </c>
      <c r="GP90" s="426">
        <f t="shared" si="108"/>
        <v>0</v>
      </c>
      <c r="GQ90" s="426">
        <f t="shared" si="109"/>
        <v>1539.95</v>
      </c>
      <c r="GR90" s="426">
        <f t="shared" si="110"/>
        <v>320.32600000000002</v>
      </c>
      <c r="GV90" s="780" t="s">
        <v>602</v>
      </c>
      <c r="GW90" s="779">
        <v>8932000</v>
      </c>
      <c r="GX90" s="426">
        <f t="shared" si="111"/>
        <v>8932</v>
      </c>
      <c r="HB90" s="782" t="s">
        <v>389</v>
      </c>
      <c r="HC90" s="764">
        <v>9914307</v>
      </c>
      <c r="HD90" s="764">
        <v>9914307</v>
      </c>
      <c r="HE90" s="764">
        <v>0</v>
      </c>
      <c r="HF90" s="764">
        <v>9914307</v>
      </c>
      <c r="HG90" s="426">
        <f t="shared" si="112"/>
        <v>9914.3070000000007</v>
      </c>
      <c r="HH90" s="426">
        <f t="shared" si="113"/>
        <v>0</v>
      </c>
      <c r="HI90" s="426">
        <f t="shared" si="114"/>
        <v>9914.3070000000007</v>
      </c>
      <c r="HJ90" s="426">
        <f t="shared" si="115"/>
        <v>0</v>
      </c>
      <c r="HK90" s="426">
        <f t="shared" si="116"/>
        <v>9914.3070000000007</v>
      </c>
    </row>
    <row r="91" spans="1:219" ht="15" customHeight="1" x14ac:dyDescent="0.3">
      <c r="A91" s="287" t="s">
        <v>553</v>
      </c>
      <c r="B91" s="288" t="s">
        <v>399</v>
      </c>
      <c r="C91" s="289">
        <v>15000000</v>
      </c>
      <c r="D91" s="290">
        <f t="shared" si="61"/>
        <v>15945</v>
      </c>
      <c r="E91" s="289">
        <v>21150</v>
      </c>
      <c r="F91" s="289">
        <f t="shared" si="62"/>
        <v>22.482449999999996</v>
      </c>
      <c r="J91" s="291" t="s">
        <v>449</v>
      </c>
      <c r="K91" s="292" t="s">
        <v>412</v>
      </c>
      <c r="L91" s="293">
        <v>13919362</v>
      </c>
      <c r="M91" s="293">
        <f t="shared" si="63"/>
        <v>14796.281805999999</v>
      </c>
      <c r="Q91" s="291" t="s">
        <v>553</v>
      </c>
      <c r="R91" s="292" t="s">
        <v>398</v>
      </c>
      <c r="S91" s="293">
        <v>10000000</v>
      </c>
      <c r="T91" s="293">
        <v>1801621</v>
      </c>
      <c r="U91" s="293">
        <f t="shared" si="64"/>
        <v>10630</v>
      </c>
      <c r="V91" s="293">
        <f t="shared" si="65"/>
        <v>1915.1231230000001</v>
      </c>
      <c r="Z91" s="288" t="s">
        <v>404</v>
      </c>
      <c r="AA91" s="289">
        <v>19716636</v>
      </c>
      <c r="AB91" s="289">
        <f t="shared" si="66"/>
        <v>20958.784067999997</v>
      </c>
      <c r="AF91" s="288" t="s">
        <v>600</v>
      </c>
      <c r="AG91" s="289">
        <v>7900000</v>
      </c>
      <c r="AH91" s="289">
        <f t="shared" si="60"/>
        <v>8397.6999999999989</v>
      </c>
      <c r="AI91" s="289">
        <v>421061</v>
      </c>
      <c r="AL91" s="426"/>
      <c r="AN91" s="423" t="s">
        <v>553</v>
      </c>
      <c r="AO91" s="424" t="s">
        <v>603</v>
      </c>
      <c r="AP91" s="425">
        <v>119879</v>
      </c>
      <c r="AQ91" s="425">
        <f t="shared" si="67"/>
        <v>127.431377</v>
      </c>
      <c r="AU91" s="423" t="s">
        <v>553</v>
      </c>
      <c r="AV91" s="424" t="s">
        <v>600</v>
      </c>
      <c r="AW91" s="425">
        <v>7900000</v>
      </c>
      <c r="AX91" s="425">
        <v>2526370</v>
      </c>
      <c r="AY91" s="425">
        <v>5373630</v>
      </c>
      <c r="AZ91" s="426">
        <f t="shared" si="68"/>
        <v>8397.6999999999989</v>
      </c>
      <c r="BA91" s="426">
        <f t="shared" si="69"/>
        <v>2685.5313099999998</v>
      </c>
      <c r="BB91" s="426">
        <f t="shared" si="70"/>
        <v>5712.1686899999995</v>
      </c>
      <c r="BF91" s="423" t="s">
        <v>553</v>
      </c>
      <c r="BG91" s="424" t="s">
        <v>409</v>
      </c>
      <c r="BH91" s="425">
        <v>1600000</v>
      </c>
      <c r="BI91" s="426">
        <f t="shared" si="71"/>
        <v>1700.8</v>
      </c>
      <c r="BM91" s="427" t="s">
        <v>553</v>
      </c>
      <c r="BN91" s="93" t="s">
        <v>717</v>
      </c>
      <c r="BO91" s="94">
        <v>0</v>
      </c>
      <c r="BP91" s="94">
        <v>288510</v>
      </c>
      <c r="BQ91" s="94">
        <v>0</v>
      </c>
      <c r="BR91" s="94">
        <v>288510</v>
      </c>
      <c r="BS91" s="94">
        <v>0</v>
      </c>
      <c r="BT91" s="426">
        <f t="shared" si="72"/>
        <v>306.68612999999999</v>
      </c>
      <c r="BU91" s="426">
        <f t="shared" si="73"/>
        <v>0</v>
      </c>
      <c r="BV91" s="426">
        <f t="shared" si="74"/>
        <v>306.68612999999999</v>
      </c>
      <c r="BW91" s="426">
        <f t="shared" si="75"/>
        <v>0</v>
      </c>
      <c r="CA91" s="93" t="s">
        <v>402</v>
      </c>
      <c r="CB91" s="426">
        <v>1904000</v>
      </c>
      <c r="CC91" s="426">
        <f t="shared" si="76"/>
        <v>2023.952</v>
      </c>
      <c r="CG91" s="424" t="s">
        <v>597</v>
      </c>
      <c r="CH91" s="425">
        <v>0</v>
      </c>
      <c r="CI91" s="425">
        <v>10854633</v>
      </c>
      <c r="CJ91" s="425">
        <v>-10854633</v>
      </c>
      <c r="CK91" s="425">
        <v>6224439</v>
      </c>
      <c r="CL91" s="425">
        <v>4630194</v>
      </c>
      <c r="CM91" s="425">
        <v>5828702</v>
      </c>
      <c r="CN91" s="425">
        <f t="shared" si="77"/>
        <v>11538.474878999999</v>
      </c>
      <c r="CO91" s="425">
        <f t="shared" si="78"/>
        <v>6616.578657</v>
      </c>
      <c r="CP91" s="425">
        <f t="shared" si="79"/>
        <v>4921.8962220000003</v>
      </c>
      <c r="CQ91" s="425">
        <f t="shared" si="80"/>
        <v>6195.910226</v>
      </c>
      <c r="CU91" s="424" t="s">
        <v>403</v>
      </c>
      <c r="CV91" s="425">
        <v>-330482</v>
      </c>
      <c r="CW91" s="425">
        <v>128608182</v>
      </c>
      <c r="CX91" s="426">
        <f t="shared" si="81"/>
        <v>-351.30236600000001</v>
      </c>
      <c r="CY91" s="426">
        <f t="shared" si="82"/>
        <v>136710.497466</v>
      </c>
      <c r="DB91" s="568" t="s">
        <v>597</v>
      </c>
      <c r="DC91" s="569">
        <v>9212853</v>
      </c>
      <c r="DD91" s="569">
        <v>8768646</v>
      </c>
      <c r="DE91" s="569">
        <v>444207</v>
      </c>
      <c r="DF91" s="569">
        <v>6605918</v>
      </c>
      <c r="DG91" s="570">
        <f t="shared" si="83"/>
        <v>9793.262738999998</v>
      </c>
      <c r="DH91" s="570">
        <f t="shared" si="84"/>
        <v>9321.0706979999995</v>
      </c>
      <c r="DI91" s="570">
        <f t="shared" si="85"/>
        <v>472.19204099999996</v>
      </c>
      <c r="DJ91" s="570">
        <f t="shared" si="86"/>
        <v>7022.0908339999996</v>
      </c>
      <c r="DN91" s="93" t="s">
        <v>606</v>
      </c>
      <c r="DO91" s="93">
        <v>0</v>
      </c>
      <c r="DP91" s="93">
        <v>0</v>
      </c>
      <c r="DQ91" s="626">
        <f t="shared" si="87"/>
        <v>0</v>
      </c>
      <c r="DR91" s="626">
        <f t="shared" si="88"/>
        <v>0</v>
      </c>
      <c r="DV91" s="93" t="s">
        <v>596</v>
      </c>
      <c r="DW91" s="94">
        <v>4917187</v>
      </c>
      <c r="DX91" s="94">
        <v>4917187</v>
      </c>
      <c r="DY91" s="94">
        <v>0</v>
      </c>
      <c r="DZ91" s="94">
        <v>2899123</v>
      </c>
      <c r="EA91" s="94">
        <f t="shared" si="89"/>
        <v>5226.9697809999998</v>
      </c>
      <c r="EB91" s="94">
        <f t="shared" si="90"/>
        <v>5226.9697809999998</v>
      </c>
      <c r="EC91" s="94">
        <f t="shared" si="91"/>
        <v>0</v>
      </c>
      <c r="ED91" s="94">
        <f t="shared" si="92"/>
        <v>3081.7677490000001</v>
      </c>
      <c r="EH91" s="420" t="s">
        <v>403</v>
      </c>
      <c r="EI91" s="420">
        <v>82292236</v>
      </c>
      <c r="EJ91" s="426">
        <f t="shared" si="93"/>
        <v>87476.646867999996</v>
      </c>
      <c r="EN91" s="420" t="s">
        <v>394</v>
      </c>
      <c r="EO91" s="426">
        <v>5746715</v>
      </c>
      <c r="EP91" s="426">
        <v>5746715</v>
      </c>
      <c r="EQ91" s="426">
        <v>0</v>
      </c>
      <c r="ER91" s="426">
        <v>4318272</v>
      </c>
      <c r="ES91" s="700">
        <f t="shared" si="94"/>
        <v>6108.7580449999996</v>
      </c>
      <c r="ET91" s="700">
        <f t="shared" si="95"/>
        <v>6108.7580449999996</v>
      </c>
      <c r="EU91" s="700">
        <f t="shared" si="96"/>
        <v>0</v>
      </c>
      <c r="EV91" s="700">
        <f t="shared" si="97"/>
        <v>4590.323136</v>
      </c>
      <c r="EZ91" s="730" t="s">
        <v>553</v>
      </c>
      <c r="FA91" s="731" t="s">
        <v>494</v>
      </c>
      <c r="FB91" s="420">
        <v>1041250</v>
      </c>
      <c r="FC91" s="426">
        <f t="shared" si="98"/>
        <v>1041.25</v>
      </c>
      <c r="FG91" s="735" t="s">
        <v>553</v>
      </c>
      <c r="FH91" s="734" t="s">
        <v>394</v>
      </c>
      <c r="FI91" s="732">
        <v>5746715</v>
      </c>
      <c r="FJ91" s="733">
        <v>5746715</v>
      </c>
      <c r="FK91" s="733">
        <v>0</v>
      </c>
      <c r="FL91" s="733">
        <v>4798080</v>
      </c>
      <c r="FM91" s="426">
        <f t="shared" si="99"/>
        <v>5746.7150000000001</v>
      </c>
      <c r="FN91" s="426">
        <f t="shared" si="100"/>
        <v>5746.7150000000001</v>
      </c>
      <c r="FO91" s="426">
        <f t="shared" si="101"/>
        <v>0</v>
      </c>
      <c r="FP91" s="426">
        <f t="shared" si="102"/>
        <v>4798.08</v>
      </c>
      <c r="FT91" s="427" t="s">
        <v>553</v>
      </c>
      <c r="FU91" s="93" t="s">
        <v>402</v>
      </c>
      <c r="FV91" s="94">
        <v>-2527486</v>
      </c>
      <c r="FW91" s="94">
        <v>3636046</v>
      </c>
      <c r="FX91" s="94">
        <v>4282988</v>
      </c>
      <c r="FY91" s="426">
        <f t="shared" si="103"/>
        <v>-2527.4859999999999</v>
      </c>
      <c r="FZ91" s="426">
        <f t="shared" si="104"/>
        <v>3636.0459999999998</v>
      </c>
      <c r="GA91" s="426">
        <f t="shared" si="105"/>
        <v>4282.9880000000003</v>
      </c>
      <c r="GG91" s="762" t="s">
        <v>553</v>
      </c>
      <c r="GH91" s="763" t="s">
        <v>394</v>
      </c>
      <c r="GI91" s="764">
        <v>5746715</v>
      </c>
      <c r="GJ91" s="764">
        <v>5746715</v>
      </c>
      <c r="GK91" s="764">
        <v>0</v>
      </c>
      <c r="GL91" s="764">
        <v>4798080</v>
      </c>
      <c r="GM91" s="764">
        <v>948635</v>
      </c>
      <c r="GN91" s="426">
        <f t="shared" si="106"/>
        <v>5746.7150000000001</v>
      </c>
      <c r="GO91" s="426">
        <f t="shared" si="107"/>
        <v>5746.7150000000001</v>
      </c>
      <c r="GP91" s="426">
        <f t="shared" si="108"/>
        <v>0</v>
      </c>
      <c r="GQ91" s="426">
        <f t="shared" si="109"/>
        <v>4798.08</v>
      </c>
      <c r="GR91" s="426">
        <f t="shared" si="110"/>
        <v>948.63499999999999</v>
      </c>
      <c r="GV91" s="780" t="s">
        <v>402</v>
      </c>
      <c r="GW91" s="779">
        <v>41484292</v>
      </c>
      <c r="GX91" s="426">
        <f t="shared" si="111"/>
        <v>41484.292000000001</v>
      </c>
      <c r="HB91" s="782" t="s">
        <v>390</v>
      </c>
      <c r="HC91" s="764">
        <v>2366141</v>
      </c>
      <c r="HD91" s="764">
        <v>2366141</v>
      </c>
      <c r="HE91" s="764">
        <v>0</v>
      </c>
      <c r="HF91" s="764">
        <v>2366141</v>
      </c>
      <c r="HG91" s="426">
        <f t="shared" si="112"/>
        <v>2366.1410000000001</v>
      </c>
      <c r="HH91" s="426">
        <f t="shared" si="113"/>
        <v>0</v>
      </c>
      <c r="HI91" s="426">
        <f t="shared" si="114"/>
        <v>2366.1410000000001</v>
      </c>
      <c r="HJ91" s="426">
        <f t="shared" si="115"/>
        <v>0</v>
      </c>
      <c r="HK91" s="426">
        <f t="shared" si="116"/>
        <v>2366.1410000000001</v>
      </c>
    </row>
    <row r="92" spans="1:219" ht="15" customHeight="1" x14ac:dyDescent="0.3">
      <c r="A92" s="287" t="s">
        <v>355</v>
      </c>
      <c r="B92" s="288" t="s">
        <v>400</v>
      </c>
      <c r="C92" s="289">
        <v>243191180</v>
      </c>
      <c r="D92" s="290">
        <f t="shared" si="61"/>
        <v>258512.22433999999</v>
      </c>
      <c r="E92" s="289">
        <v>11011665</v>
      </c>
      <c r="F92" s="289">
        <f t="shared" si="62"/>
        <v>11705.399895</v>
      </c>
      <c r="J92" s="291" t="s">
        <v>355</v>
      </c>
      <c r="K92" s="292" t="s">
        <v>413</v>
      </c>
      <c r="L92" s="293">
        <v>13919362</v>
      </c>
      <c r="M92" s="293">
        <f t="shared" si="63"/>
        <v>14796.281805999999</v>
      </c>
      <c r="Q92" s="291" t="s">
        <v>553</v>
      </c>
      <c r="R92" s="292" t="s">
        <v>399</v>
      </c>
      <c r="S92" s="293">
        <v>16499400</v>
      </c>
      <c r="T92" s="293">
        <v>21150</v>
      </c>
      <c r="U92" s="293">
        <f t="shared" si="64"/>
        <v>17538.8622</v>
      </c>
      <c r="V92" s="293">
        <f t="shared" si="65"/>
        <v>22.482449999999996</v>
      </c>
      <c r="Z92" s="288" t="s">
        <v>604</v>
      </c>
      <c r="AA92" s="289">
        <v>1856258</v>
      </c>
      <c r="AB92" s="289">
        <f t="shared" si="66"/>
        <v>1973.202254</v>
      </c>
      <c r="AF92" s="288" t="s">
        <v>397</v>
      </c>
      <c r="AG92" s="289">
        <v>17998800</v>
      </c>
      <c r="AH92" s="289">
        <f t="shared" si="60"/>
        <v>19132.724399999999</v>
      </c>
      <c r="AI92" s="289">
        <v>1925629</v>
      </c>
      <c r="AL92" s="426"/>
      <c r="AN92" s="423" t="s">
        <v>553</v>
      </c>
      <c r="AO92" s="424" t="s">
        <v>402</v>
      </c>
      <c r="AP92" s="425">
        <v>773500</v>
      </c>
      <c r="AQ92" s="425">
        <f t="shared" si="67"/>
        <v>822.23050000000001</v>
      </c>
      <c r="AU92" s="423" t="s">
        <v>355</v>
      </c>
      <c r="AV92" s="424" t="s">
        <v>397</v>
      </c>
      <c r="AW92" s="425">
        <v>17998800</v>
      </c>
      <c r="AX92" s="425">
        <v>5828491</v>
      </c>
      <c r="AY92" s="425">
        <v>12170309</v>
      </c>
      <c r="AZ92" s="426">
        <f t="shared" si="68"/>
        <v>19132.724399999999</v>
      </c>
      <c r="BA92" s="426">
        <f t="shared" si="69"/>
        <v>6195.6859329999997</v>
      </c>
      <c r="BB92" s="426">
        <f t="shared" si="70"/>
        <v>12937.038466999998</v>
      </c>
      <c r="BF92" s="423" t="s">
        <v>355</v>
      </c>
      <c r="BG92" s="424" t="s">
        <v>608</v>
      </c>
      <c r="BH92" s="425">
        <v>595442</v>
      </c>
      <c r="BI92" s="426">
        <f t="shared" si="71"/>
        <v>632.95484599999997</v>
      </c>
      <c r="BM92" s="427" t="s">
        <v>553</v>
      </c>
      <c r="BN92" s="93" t="s">
        <v>600</v>
      </c>
      <c r="BO92" s="94">
        <v>0</v>
      </c>
      <c r="BP92" s="94">
        <v>7900000</v>
      </c>
      <c r="BQ92" s="94">
        <v>2661990</v>
      </c>
      <c r="BR92" s="94">
        <v>5238010</v>
      </c>
      <c r="BS92" s="94">
        <v>842122</v>
      </c>
      <c r="BT92" s="426">
        <f t="shared" si="72"/>
        <v>8397.6999999999989</v>
      </c>
      <c r="BU92" s="426">
        <f t="shared" si="73"/>
        <v>2829.6953699999995</v>
      </c>
      <c r="BV92" s="426">
        <f t="shared" si="74"/>
        <v>5568.0046300000004</v>
      </c>
      <c r="BW92" s="426">
        <f t="shared" si="75"/>
        <v>895.17568599999993</v>
      </c>
      <c r="CA92" s="93" t="s">
        <v>403</v>
      </c>
      <c r="CB92" s="426">
        <v>23201637</v>
      </c>
      <c r="CC92" s="426">
        <f t="shared" si="76"/>
        <v>24663.340130999997</v>
      </c>
      <c r="CG92" s="424" t="s">
        <v>717</v>
      </c>
      <c r="CH92" s="425">
        <v>0</v>
      </c>
      <c r="CI92" s="425">
        <v>288510</v>
      </c>
      <c r="CJ92" s="425">
        <v>-288510</v>
      </c>
      <c r="CK92" s="425">
        <v>0</v>
      </c>
      <c r="CL92" s="425">
        <v>288510</v>
      </c>
      <c r="CM92" s="425">
        <v>0</v>
      </c>
      <c r="CN92" s="425">
        <f t="shared" si="77"/>
        <v>306.68612999999999</v>
      </c>
      <c r="CO92" s="425">
        <f t="shared" si="78"/>
        <v>0</v>
      </c>
      <c r="CP92" s="425">
        <f t="shared" si="79"/>
        <v>306.68612999999999</v>
      </c>
      <c r="CQ92" s="425">
        <f t="shared" si="80"/>
        <v>0</v>
      </c>
      <c r="CU92" s="424" t="s">
        <v>404</v>
      </c>
      <c r="CV92" s="425">
        <v>0</v>
      </c>
      <c r="CW92" s="425">
        <v>116349889</v>
      </c>
      <c r="CX92" s="426">
        <f t="shared" si="81"/>
        <v>0</v>
      </c>
      <c r="CY92" s="426">
        <f t="shared" si="82"/>
        <v>123679.932007</v>
      </c>
      <c r="DB92" s="568" t="s">
        <v>717</v>
      </c>
      <c r="DC92" s="569">
        <v>79858</v>
      </c>
      <c r="DD92" s="569">
        <v>0</v>
      </c>
      <c r="DE92" s="569">
        <v>79858</v>
      </c>
      <c r="DF92" s="569">
        <v>0</v>
      </c>
      <c r="DG92" s="570">
        <f t="shared" si="83"/>
        <v>84.889054000000002</v>
      </c>
      <c r="DH92" s="570">
        <f t="shared" si="84"/>
        <v>0</v>
      </c>
      <c r="DI92" s="570">
        <f t="shared" si="85"/>
        <v>84.889054000000002</v>
      </c>
      <c r="DJ92" s="570">
        <f t="shared" si="86"/>
        <v>0</v>
      </c>
      <c r="DN92" s="93" t="s">
        <v>405</v>
      </c>
      <c r="DO92" s="93">
        <v>0</v>
      </c>
      <c r="DP92" s="93">
        <v>0</v>
      </c>
      <c r="DQ92" s="626">
        <f t="shared" si="87"/>
        <v>0</v>
      </c>
      <c r="DR92" s="626">
        <f t="shared" si="88"/>
        <v>0</v>
      </c>
      <c r="DV92" s="93" t="s">
        <v>597</v>
      </c>
      <c r="DW92" s="94">
        <v>9610666</v>
      </c>
      <c r="DX92" s="94">
        <v>9610666</v>
      </c>
      <c r="DY92" s="94">
        <v>0</v>
      </c>
      <c r="DZ92" s="94">
        <v>7802026</v>
      </c>
      <c r="EA92" s="94">
        <f t="shared" si="89"/>
        <v>10216.137957999999</v>
      </c>
      <c r="EB92" s="94">
        <f t="shared" si="90"/>
        <v>10216.137957999999</v>
      </c>
      <c r="EC92" s="94">
        <f t="shared" si="91"/>
        <v>0</v>
      </c>
      <c r="ED92" s="94">
        <f t="shared" si="92"/>
        <v>8293.5536379999994</v>
      </c>
      <c r="EH92" s="420" t="s">
        <v>404</v>
      </c>
      <c r="EI92" s="420">
        <v>73595562</v>
      </c>
      <c r="EJ92" s="426">
        <f t="shared" si="93"/>
        <v>78232.082406000001</v>
      </c>
      <c r="EN92" s="420" t="s">
        <v>595</v>
      </c>
      <c r="EO92" s="426">
        <v>35147519</v>
      </c>
      <c r="EP92" s="426">
        <v>31947519</v>
      </c>
      <c r="EQ92" s="426">
        <v>3200000</v>
      </c>
      <c r="ER92" s="426">
        <v>26175661</v>
      </c>
      <c r="ES92" s="700">
        <f t="shared" si="94"/>
        <v>37361.812697000001</v>
      </c>
      <c r="ET92" s="700">
        <f t="shared" si="95"/>
        <v>33960.212696999995</v>
      </c>
      <c r="EU92" s="700">
        <f t="shared" si="96"/>
        <v>3401.6</v>
      </c>
      <c r="EV92" s="700">
        <f t="shared" si="97"/>
        <v>27824.727642999998</v>
      </c>
      <c r="EZ92" s="730" t="s">
        <v>355</v>
      </c>
      <c r="FA92" s="731" t="s">
        <v>607</v>
      </c>
      <c r="FB92" s="420">
        <v>107741699</v>
      </c>
      <c r="FC92" s="426">
        <f t="shared" si="98"/>
        <v>107741.69899999999</v>
      </c>
      <c r="FG92" s="735" t="s">
        <v>553</v>
      </c>
      <c r="FH92" s="734" t="s">
        <v>595</v>
      </c>
      <c r="FI92" s="732">
        <v>35147519</v>
      </c>
      <c r="FJ92" s="733">
        <v>31947519</v>
      </c>
      <c r="FK92" s="733">
        <v>3200000</v>
      </c>
      <c r="FL92" s="733">
        <v>29061590</v>
      </c>
      <c r="FM92" s="426">
        <f t="shared" si="99"/>
        <v>35147.519</v>
      </c>
      <c r="FN92" s="426">
        <f t="shared" si="100"/>
        <v>31947.519</v>
      </c>
      <c r="FO92" s="426">
        <f t="shared" si="101"/>
        <v>3200</v>
      </c>
      <c r="FP92" s="426">
        <f t="shared" si="102"/>
        <v>29061.59</v>
      </c>
      <c r="FT92" s="427" t="s">
        <v>355</v>
      </c>
      <c r="FU92" s="93" t="s">
        <v>403</v>
      </c>
      <c r="FV92" s="94">
        <v>16277507</v>
      </c>
      <c r="FW92" s="94">
        <v>24317661</v>
      </c>
      <c r="FX92" s="94">
        <v>61890003</v>
      </c>
      <c r="FY92" s="426">
        <f t="shared" si="103"/>
        <v>16277.507</v>
      </c>
      <c r="FZ92" s="426">
        <f t="shared" si="104"/>
        <v>24317.661</v>
      </c>
      <c r="GA92" s="426">
        <f t="shared" si="105"/>
        <v>61890.002999999997</v>
      </c>
      <c r="GG92" s="762" t="s">
        <v>553</v>
      </c>
      <c r="GH92" s="763" t="s">
        <v>595</v>
      </c>
      <c r="GI92" s="764">
        <v>35083325</v>
      </c>
      <c r="GJ92" s="764">
        <v>35083325</v>
      </c>
      <c r="GK92" s="764">
        <v>0</v>
      </c>
      <c r="GL92" s="764">
        <v>31947519</v>
      </c>
      <c r="GM92" s="764">
        <v>3135806</v>
      </c>
      <c r="GN92" s="426">
        <f t="shared" si="106"/>
        <v>35083.324999999997</v>
      </c>
      <c r="GO92" s="426">
        <f t="shared" si="107"/>
        <v>35083.324999999997</v>
      </c>
      <c r="GP92" s="426">
        <f t="shared" si="108"/>
        <v>0</v>
      </c>
      <c r="GQ92" s="426">
        <f t="shared" si="109"/>
        <v>31947.519</v>
      </c>
      <c r="GR92" s="426">
        <f t="shared" si="110"/>
        <v>3135.806</v>
      </c>
      <c r="GV92" s="780" t="s">
        <v>403</v>
      </c>
      <c r="GW92" s="779">
        <v>96322559</v>
      </c>
      <c r="GX92" s="426">
        <f t="shared" si="111"/>
        <v>96322.558999999994</v>
      </c>
      <c r="HB92" s="782" t="s">
        <v>391</v>
      </c>
      <c r="HC92" s="764">
        <v>13065798</v>
      </c>
      <c r="HD92" s="764">
        <v>13065798</v>
      </c>
      <c r="HE92" s="764">
        <v>0</v>
      </c>
      <c r="HF92" s="764">
        <v>13065798</v>
      </c>
      <c r="HG92" s="426">
        <f t="shared" si="112"/>
        <v>13065.798000000001</v>
      </c>
      <c r="HH92" s="426">
        <f t="shared" si="113"/>
        <v>0</v>
      </c>
      <c r="HI92" s="426">
        <f t="shared" si="114"/>
        <v>13065.798000000001</v>
      </c>
      <c r="HJ92" s="426">
        <f t="shared" si="115"/>
        <v>0</v>
      </c>
      <c r="HK92" s="426">
        <f t="shared" si="116"/>
        <v>13065.798000000001</v>
      </c>
    </row>
    <row r="93" spans="1:219" ht="15" customHeight="1" x14ac:dyDescent="0.3">
      <c r="A93" s="287" t="s">
        <v>553</v>
      </c>
      <c r="B93" s="288" t="s">
        <v>401</v>
      </c>
      <c r="C93" s="289">
        <v>82850500</v>
      </c>
      <c r="D93" s="290">
        <f t="shared" si="61"/>
        <v>88070.0815</v>
      </c>
      <c r="E93" s="289">
        <v>3679782</v>
      </c>
      <c r="F93" s="289">
        <f t="shared" si="62"/>
        <v>3911.6082660000002</v>
      </c>
      <c r="J93" s="291" t="s">
        <v>553</v>
      </c>
      <c r="K93" s="292" t="s">
        <v>532</v>
      </c>
      <c r="L93" s="293">
        <v>13919362</v>
      </c>
      <c r="M93" s="293">
        <f t="shared" si="63"/>
        <v>14796.281805999999</v>
      </c>
      <c r="Q93" s="291" t="s">
        <v>355</v>
      </c>
      <c r="R93" s="292" t="s">
        <v>400</v>
      </c>
      <c r="S93" s="293">
        <v>240918035</v>
      </c>
      <c r="T93" s="293">
        <v>24850362</v>
      </c>
      <c r="U93" s="293">
        <f t="shared" si="64"/>
        <v>256095.871205</v>
      </c>
      <c r="V93" s="293">
        <f t="shared" si="65"/>
        <v>26415.934806000001</v>
      </c>
      <c r="Z93" s="288" t="s">
        <v>605</v>
      </c>
      <c r="AA93" s="289">
        <v>9877034</v>
      </c>
      <c r="AB93" s="289">
        <f t="shared" si="66"/>
        <v>10499.287141999999</v>
      </c>
      <c r="AF93" s="288" t="s">
        <v>398</v>
      </c>
      <c r="AG93" s="289">
        <v>10000000</v>
      </c>
      <c r="AH93" s="289">
        <f t="shared" si="60"/>
        <v>10630</v>
      </c>
      <c r="AI93" s="289">
        <v>1904479</v>
      </c>
      <c r="AL93" s="426"/>
      <c r="AN93" s="423" t="s">
        <v>355</v>
      </c>
      <c r="AO93" s="424" t="s">
        <v>403</v>
      </c>
      <c r="AP93" s="425">
        <v>106991959</v>
      </c>
      <c r="AQ93" s="425">
        <f t="shared" si="67"/>
        <v>113732.45241699999</v>
      </c>
      <c r="AU93" s="423" t="s">
        <v>553</v>
      </c>
      <c r="AV93" s="424" t="s">
        <v>398</v>
      </c>
      <c r="AW93" s="425">
        <v>10000000</v>
      </c>
      <c r="AX93" s="425">
        <v>2808541</v>
      </c>
      <c r="AY93" s="425">
        <v>7191459</v>
      </c>
      <c r="AZ93" s="426">
        <f t="shared" si="68"/>
        <v>10630</v>
      </c>
      <c r="BA93" s="426">
        <f t="shared" si="69"/>
        <v>2985.4790830000002</v>
      </c>
      <c r="BB93" s="426">
        <f t="shared" si="70"/>
        <v>7644.5209169999998</v>
      </c>
      <c r="BF93" s="423" t="s">
        <v>553</v>
      </c>
      <c r="BG93" s="424" t="s">
        <v>410</v>
      </c>
      <c r="BH93" s="425">
        <v>595442</v>
      </c>
      <c r="BI93" s="426">
        <f t="shared" si="71"/>
        <v>632.95484599999997</v>
      </c>
      <c r="BM93" s="427" t="s">
        <v>355</v>
      </c>
      <c r="BN93" s="93" t="s">
        <v>397</v>
      </c>
      <c r="BO93" s="94">
        <v>0</v>
      </c>
      <c r="BP93" s="94">
        <v>13421075</v>
      </c>
      <c r="BQ93" s="94">
        <v>7915936</v>
      </c>
      <c r="BR93" s="94">
        <v>5505139</v>
      </c>
      <c r="BS93" s="94">
        <v>3457663</v>
      </c>
      <c r="BT93" s="426">
        <f t="shared" si="72"/>
        <v>14266.602725000001</v>
      </c>
      <c r="BU93" s="426">
        <f t="shared" si="73"/>
        <v>8414.6399679999995</v>
      </c>
      <c r="BV93" s="426">
        <f t="shared" si="74"/>
        <v>5851.9627570000002</v>
      </c>
      <c r="BW93" s="426">
        <f t="shared" si="75"/>
        <v>3675.4957689999997</v>
      </c>
      <c r="CA93" s="93" t="s">
        <v>404</v>
      </c>
      <c r="CB93" s="426">
        <v>15051525</v>
      </c>
      <c r="CC93" s="426">
        <f t="shared" si="76"/>
        <v>15999.771074999999</v>
      </c>
      <c r="CG93" s="424" t="s">
        <v>600</v>
      </c>
      <c r="CH93" s="425">
        <v>0</v>
      </c>
      <c r="CI93" s="425">
        <v>3900000</v>
      </c>
      <c r="CJ93" s="425">
        <v>-3900000</v>
      </c>
      <c r="CK93" s="425">
        <v>3361990</v>
      </c>
      <c r="CL93" s="425">
        <v>538010</v>
      </c>
      <c r="CM93" s="425">
        <v>1263183</v>
      </c>
      <c r="CN93" s="425">
        <f t="shared" si="77"/>
        <v>4145.7</v>
      </c>
      <c r="CO93" s="425">
        <f t="shared" si="78"/>
        <v>3573.7953699999994</v>
      </c>
      <c r="CP93" s="425">
        <f t="shared" si="79"/>
        <v>571.90463</v>
      </c>
      <c r="CQ93" s="425">
        <f t="shared" si="80"/>
        <v>1342.7635289999998</v>
      </c>
      <c r="CU93" s="424" t="s">
        <v>604</v>
      </c>
      <c r="CV93" s="425">
        <v>-738426</v>
      </c>
      <c r="CW93" s="425">
        <v>2009028</v>
      </c>
      <c r="CX93" s="426">
        <f t="shared" si="81"/>
        <v>-784.94683799999996</v>
      </c>
      <c r="CY93" s="426">
        <f t="shared" si="82"/>
        <v>2135.5967639999999</v>
      </c>
      <c r="DB93" s="568" t="s">
        <v>600</v>
      </c>
      <c r="DC93" s="569">
        <v>9978770</v>
      </c>
      <c r="DD93" s="569">
        <v>3361990</v>
      </c>
      <c r="DE93" s="569">
        <v>6616780</v>
      </c>
      <c r="DF93" s="569">
        <v>1684244</v>
      </c>
      <c r="DG93" s="570">
        <f t="shared" si="83"/>
        <v>10607.432510000001</v>
      </c>
      <c r="DH93" s="570">
        <f t="shared" si="84"/>
        <v>3573.7953699999994</v>
      </c>
      <c r="DI93" s="570">
        <f t="shared" si="85"/>
        <v>7033.6371399999998</v>
      </c>
      <c r="DJ93" s="570">
        <f t="shared" si="86"/>
        <v>1790.3513719999999</v>
      </c>
      <c r="DN93" s="93" t="s">
        <v>607</v>
      </c>
      <c r="DO93" s="93">
        <v>465428</v>
      </c>
      <c r="DP93" s="93">
        <v>86211699</v>
      </c>
      <c r="DQ93" s="626">
        <f t="shared" si="87"/>
        <v>494.74996399999998</v>
      </c>
      <c r="DR93" s="626">
        <f t="shared" si="88"/>
        <v>91643.036036999983</v>
      </c>
      <c r="DV93" s="93" t="s">
        <v>598</v>
      </c>
      <c r="DW93" s="94">
        <v>749700</v>
      </c>
      <c r="DX93" s="94">
        <v>749700</v>
      </c>
      <c r="DY93" s="94">
        <v>0</v>
      </c>
      <c r="DZ93" s="94">
        <v>0</v>
      </c>
      <c r="EA93" s="94">
        <f t="shared" si="89"/>
        <v>796.93110000000001</v>
      </c>
      <c r="EB93" s="94">
        <f t="shared" si="90"/>
        <v>796.93110000000001</v>
      </c>
      <c r="EC93" s="94">
        <f t="shared" si="91"/>
        <v>0</v>
      </c>
      <c r="ED93" s="94">
        <f t="shared" si="92"/>
        <v>0</v>
      </c>
      <c r="EH93" s="420" t="s">
        <v>604</v>
      </c>
      <c r="EI93" s="420">
        <v>2217024</v>
      </c>
      <c r="EJ93" s="426">
        <f t="shared" si="93"/>
        <v>2356.696512</v>
      </c>
      <c r="EN93" s="420" t="s">
        <v>395</v>
      </c>
      <c r="EO93" s="426">
        <v>25087763</v>
      </c>
      <c r="EP93" s="426">
        <v>24768513</v>
      </c>
      <c r="EQ93" s="426">
        <v>319250</v>
      </c>
      <c r="ER93" s="426">
        <v>21974368</v>
      </c>
      <c r="ES93" s="700">
        <f t="shared" si="94"/>
        <v>26668.292068999999</v>
      </c>
      <c r="ET93" s="700">
        <f t="shared" si="95"/>
        <v>26328.929318999999</v>
      </c>
      <c r="EU93" s="700">
        <f t="shared" si="96"/>
        <v>339.36275000000001</v>
      </c>
      <c r="EV93" s="700">
        <f t="shared" si="97"/>
        <v>23358.753183999997</v>
      </c>
      <c r="EZ93" s="730" t="s">
        <v>553</v>
      </c>
      <c r="FA93" s="731" t="s">
        <v>406</v>
      </c>
      <c r="FB93" s="420">
        <v>39492000</v>
      </c>
      <c r="FC93" s="426">
        <f t="shared" si="98"/>
        <v>39492</v>
      </c>
      <c r="FG93" s="735" t="s">
        <v>355</v>
      </c>
      <c r="FH93" s="734" t="s">
        <v>395</v>
      </c>
      <c r="FI93" s="732">
        <v>53584864</v>
      </c>
      <c r="FJ93" s="733">
        <v>27284864</v>
      </c>
      <c r="FK93" s="733">
        <v>26300000</v>
      </c>
      <c r="FL93" s="733">
        <v>23274138</v>
      </c>
      <c r="FM93" s="426">
        <f t="shared" si="99"/>
        <v>53584.864000000001</v>
      </c>
      <c r="FN93" s="426">
        <f t="shared" si="100"/>
        <v>27284.864000000001</v>
      </c>
      <c r="FO93" s="426">
        <f t="shared" si="101"/>
        <v>26300</v>
      </c>
      <c r="FP93" s="426">
        <f t="shared" si="102"/>
        <v>23274.137999999999</v>
      </c>
      <c r="FT93" s="427" t="s">
        <v>553</v>
      </c>
      <c r="FU93" s="93" t="s">
        <v>404</v>
      </c>
      <c r="FV93" s="94">
        <v>27095195</v>
      </c>
      <c r="FW93" s="94">
        <v>32236017</v>
      </c>
      <c r="FX93" s="94">
        <v>53266101</v>
      </c>
      <c r="FY93" s="426">
        <f t="shared" si="103"/>
        <v>27095.195</v>
      </c>
      <c r="FZ93" s="426">
        <f t="shared" si="104"/>
        <v>32236.017</v>
      </c>
      <c r="GA93" s="426">
        <f t="shared" si="105"/>
        <v>53266.101000000002</v>
      </c>
      <c r="GG93" s="762" t="s">
        <v>355</v>
      </c>
      <c r="GH93" s="763" t="s">
        <v>395</v>
      </c>
      <c r="GI93" s="764">
        <v>54076602</v>
      </c>
      <c r="GJ93" s="764">
        <v>29076602</v>
      </c>
      <c r="GK93" s="764">
        <v>25000000</v>
      </c>
      <c r="GL93" s="764">
        <v>26857476</v>
      </c>
      <c r="GM93" s="764">
        <v>2219126</v>
      </c>
      <c r="GN93" s="426">
        <f t="shared" si="106"/>
        <v>54076.601999999999</v>
      </c>
      <c r="GO93" s="426">
        <f t="shared" si="107"/>
        <v>29076.601999999999</v>
      </c>
      <c r="GP93" s="426">
        <f t="shared" si="108"/>
        <v>25000</v>
      </c>
      <c r="GQ93" s="426">
        <f t="shared" si="109"/>
        <v>26857.475999999999</v>
      </c>
      <c r="GR93" s="426">
        <f t="shared" si="110"/>
        <v>2219.1260000000002</v>
      </c>
      <c r="GV93" s="780" t="s">
        <v>404</v>
      </c>
      <c r="GW93" s="779">
        <v>86897458</v>
      </c>
      <c r="GX93" s="426">
        <f t="shared" si="111"/>
        <v>86897.457999999999</v>
      </c>
      <c r="HB93" s="782" t="s">
        <v>392</v>
      </c>
      <c r="HC93" s="764">
        <v>65581752</v>
      </c>
      <c r="HD93" s="764">
        <v>65581752</v>
      </c>
      <c r="HE93" s="764">
        <v>0</v>
      </c>
      <c r="HF93" s="764">
        <v>65581752</v>
      </c>
      <c r="HG93" s="426">
        <f t="shared" si="112"/>
        <v>65581.751999999993</v>
      </c>
      <c r="HH93" s="426">
        <f t="shared" si="113"/>
        <v>0</v>
      </c>
      <c r="HI93" s="426">
        <f t="shared" si="114"/>
        <v>65581.751999999993</v>
      </c>
      <c r="HJ93" s="426">
        <f t="shared" si="115"/>
        <v>0</v>
      </c>
      <c r="HK93" s="426">
        <f t="shared" si="116"/>
        <v>65581.751999999993</v>
      </c>
    </row>
    <row r="94" spans="1:219" ht="15" customHeight="1" x14ac:dyDescent="0.3">
      <c r="A94" s="287" t="s">
        <v>553</v>
      </c>
      <c r="B94" s="288" t="s">
        <v>601</v>
      </c>
      <c r="C94" s="289">
        <v>64384680</v>
      </c>
      <c r="D94" s="290">
        <f t="shared" si="61"/>
        <v>68440.914839999998</v>
      </c>
      <c r="E94" s="289">
        <v>3846883</v>
      </c>
      <c r="F94" s="289">
        <f t="shared" si="62"/>
        <v>4089.2366289999995</v>
      </c>
      <c r="J94" s="291" t="s">
        <v>553</v>
      </c>
      <c r="K94" s="292" t="s">
        <v>531</v>
      </c>
      <c r="L94" s="293">
        <v>0</v>
      </c>
      <c r="M94" s="293">
        <f t="shared" si="63"/>
        <v>0</v>
      </c>
      <c r="Q94" s="291" t="s">
        <v>553</v>
      </c>
      <c r="R94" s="292" t="s">
        <v>401</v>
      </c>
      <c r="S94" s="293">
        <v>83529996</v>
      </c>
      <c r="T94" s="293">
        <v>10335783</v>
      </c>
      <c r="U94" s="293">
        <f t="shared" si="64"/>
        <v>88792.385748000001</v>
      </c>
      <c r="V94" s="293">
        <f t="shared" si="65"/>
        <v>10986.937328999998</v>
      </c>
      <c r="Z94" s="288" t="s">
        <v>494</v>
      </c>
      <c r="AA94" s="289">
        <v>1041250</v>
      </c>
      <c r="AB94" s="289">
        <f t="shared" si="66"/>
        <v>1106.8487499999999</v>
      </c>
      <c r="AF94" s="288" t="s">
        <v>399</v>
      </c>
      <c r="AG94" s="289">
        <v>7998800</v>
      </c>
      <c r="AH94" s="289">
        <f t="shared" si="60"/>
        <v>8502.7243999999992</v>
      </c>
      <c r="AI94" s="289">
        <v>21150</v>
      </c>
      <c r="AL94" s="426"/>
      <c r="AN94" s="423" t="s">
        <v>553</v>
      </c>
      <c r="AO94" s="424" t="s">
        <v>404</v>
      </c>
      <c r="AP94" s="425">
        <v>99048618</v>
      </c>
      <c r="AQ94" s="425">
        <f t="shared" si="67"/>
        <v>105288.680934</v>
      </c>
      <c r="AU94" s="423" t="s">
        <v>553</v>
      </c>
      <c r="AV94" s="424" t="s">
        <v>399</v>
      </c>
      <c r="AW94" s="425">
        <v>7998800</v>
      </c>
      <c r="AX94" s="425">
        <v>3019950</v>
      </c>
      <c r="AY94" s="425">
        <v>4978850</v>
      </c>
      <c r="AZ94" s="426">
        <f t="shared" si="68"/>
        <v>8502.7243999999992</v>
      </c>
      <c r="BA94" s="426">
        <f t="shared" si="69"/>
        <v>3210.2068499999996</v>
      </c>
      <c r="BB94" s="426">
        <f t="shared" si="70"/>
        <v>5292.5175500000005</v>
      </c>
      <c r="BF94" s="423" t="s">
        <v>553</v>
      </c>
      <c r="BG94" s="424" t="s">
        <v>411</v>
      </c>
      <c r="BH94" s="425">
        <v>0</v>
      </c>
      <c r="BI94" s="426">
        <f t="shared" si="71"/>
        <v>0</v>
      </c>
      <c r="BM94" s="427" t="s">
        <v>553</v>
      </c>
      <c r="BN94" s="93" t="s">
        <v>398</v>
      </c>
      <c r="BO94" s="94">
        <v>0</v>
      </c>
      <c r="BP94" s="94">
        <v>10000000</v>
      </c>
      <c r="BQ94" s="94">
        <v>4494861</v>
      </c>
      <c r="BR94" s="94">
        <v>5505139</v>
      </c>
      <c r="BS94" s="94">
        <v>3436513</v>
      </c>
      <c r="BT94" s="426">
        <f t="shared" si="72"/>
        <v>10630</v>
      </c>
      <c r="BU94" s="426">
        <f t="shared" si="73"/>
        <v>4778.0372429999998</v>
      </c>
      <c r="BV94" s="426">
        <f t="shared" si="74"/>
        <v>5851.9627570000002</v>
      </c>
      <c r="BW94" s="426">
        <f t="shared" si="75"/>
        <v>3653.0133189999997</v>
      </c>
      <c r="CA94" s="93" t="s">
        <v>604</v>
      </c>
      <c r="CB94" s="426">
        <v>2022350</v>
      </c>
      <c r="CC94" s="426">
        <f t="shared" si="76"/>
        <v>2149.7580499999999</v>
      </c>
      <c r="CG94" s="424" t="s">
        <v>397</v>
      </c>
      <c r="CH94" s="425">
        <v>0</v>
      </c>
      <c r="CI94" s="425">
        <v>13421075</v>
      </c>
      <c r="CJ94" s="425">
        <v>-13421075</v>
      </c>
      <c r="CK94" s="425">
        <v>7915936</v>
      </c>
      <c r="CL94" s="425">
        <v>5505139</v>
      </c>
      <c r="CM94" s="425">
        <v>4516011</v>
      </c>
      <c r="CN94" s="425">
        <f t="shared" si="77"/>
        <v>14266.602725000001</v>
      </c>
      <c r="CO94" s="425">
        <f t="shared" si="78"/>
        <v>8414.6399679999995</v>
      </c>
      <c r="CP94" s="425">
        <f t="shared" si="79"/>
        <v>5851.9627570000002</v>
      </c>
      <c r="CQ94" s="425">
        <f t="shared" si="80"/>
        <v>4800.5196930000002</v>
      </c>
      <c r="CU94" s="424" t="s">
        <v>605</v>
      </c>
      <c r="CV94" s="425">
        <v>407944</v>
      </c>
      <c r="CW94" s="425">
        <v>9208015</v>
      </c>
      <c r="CX94" s="426">
        <f t="shared" si="81"/>
        <v>433.64447200000001</v>
      </c>
      <c r="CY94" s="426">
        <f t="shared" si="82"/>
        <v>9788.1199449999986</v>
      </c>
      <c r="DB94" s="568" t="s">
        <v>397</v>
      </c>
      <c r="DC94" s="569">
        <v>13468675</v>
      </c>
      <c r="DD94" s="569">
        <v>8063686</v>
      </c>
      <c r="DE94" s="569">
        <v>5404989</v>
      </c>
      <c r="DF94" s="569">
        <v>4616161</v>
      </c>
      <c r="DG94" s="570">
        <f t="shared" si="83"/>
        <v>14317.201524999999</v>
      </c>
      <c r="DH94" s="570">
        <f t="shared" si="84"/>
        <v>8571.6982179999995</v>
      </c>
      <c r="DI94" s="570">
        <f t="shared" si="85"/>
        <v>5745.503306999999</v>
      </c>
      <c r="DJ94" s="570">
        <f t="shared" si="86"/>
        <v>4906.9791429999996</v>
      </c>
      <c r="DN94" s="93" t="s">
        <v>406</v>
      </c>
      <c r="DO94" s="93">
        <v>0</v>
      </c>
      <c r="DP94" s="93">
        <v>20000000</v>
      </c>
      <c r="DQ94" s="626">
        <f t="shared" si="87"/>
        <v>0</v>
      </c>
      <c r="DR94" s="626">
        <f t="shared" si="88"/>
        <v>21260</v>
      </c>
      <c r="DV94" s="93" t="s">
        <v>717</v>
      </c>
      <c r="DW94" s="94">
        <v>0</v>
      </c>
      <c r="DX94" s="94">
        <v>0</v>
      </c>
      <c r="DY94" s="94">
        <v>0</v>
      </c>
      <c r="DZ94" s="94">
        <v>0</v>
      </c>
      <c r="EA94" s="94">
        <f t="shared" si="89"/>
        <v>0</v>
      </c>
      <c r="EB94" s="94">
        <f t="shared" si="90"/>
        <v>0</v>
      </c>
      <c r="EC94" s="94">
        <f t="shared" si="91"/>
        <v>0</v>
      </c>
      <c r="ED94" s="94">
        <f t="shared" si="92"/>
        <v>0</v>
      </c>
      <c r="EH94" s="420" t="s">
        <v>605</v>
      </c>
      <c r="EI94" s="420">
        <v>5438400</v>
      </c>
      <c r="EJ94" s="426">
        <f t="shared" si="93"/>
        <v>5781.0191999999997</v>
      </c>
      <c r="EN94" s="420" t="s">
        <v>596</v>
      </c>
      <c r="EO94" s="426">
        <v>4917187</v>
      </c>
      <c r="EP94" s="426">
        <v>4917187</v>
      </c>
      <c r="EQ94" s="426">
        <v>0</v>
      </c>
      <c r="ER94" s="426">
        <v>4917187</v>
      </c>
      <c r="ES94" s="700">
        <f t="shared" si="94"/>
        <v>5226.9697809999998</v>
      </c>
      <c r="ET94" s="700">
        <f t="shared" si="95"/>
        <v>5226.9697809999998</v>
      </c>
      <c r="EU94" s="700">
        <f t="shared" si="96"/>
        <v>0</v>
      </c>
      <c r="EV94" s="700">
        <f t="shared" si="97"/>
        <v>5226.9697809999998</v>
      </c>
      <c r="EZ94" s="730" t="s">
        <v>553</v>
      </c>
      <c r="FA94" s="731" t="s">
        <v>407</v>
      </c>
      <c r="FB94" s="420">
        <v>8288000</v>
      </c>
      <c r="FC94" s="426">
        <f t="shared" si="98"/>
        <v>8288</v>
      </c>
      <c r="FG94" s="735" t="s">
        <v>553</v>
      </c>
      <c r="FH94" s="734" t="s">
        <v>596</v>
      </c>
      <c r="FI94" s="732">
        <v>30914288</v>
      </c>
      <c r="FJ94" s="733">
        <v>5914288</v>
      </c>
      <c r="FK94" s="733">
        <v>25000000</v>
      </c>
      <c r="FL94" s="733">
        <v>4917187</v>
      </c>
      <c r="FM94" s="426">
        <f t="shared" si="99"/>
        <v>30914.288</v>
      </c>
      <c r="FN94" s="426">
        <f t="shared" si="100"/>
        <v>5914.2879999999996</v>
      </c>
      <c r="FO94" s="426">
        <f t="shared" si="101"/>
        <v>25000</v>
      </c>
      <c r="FP94" s="426">
        <f t="shared" si="102"/>
        <v>4917.1869999999999</v>
      </c>
      <c r="FT94" s="427" t="s">
        <v>553</v>
      </c>
      <c r="FU94" s="93" t="s">
        <v>604</v>
      </c>
      <c r="FV94" s="94">
        <v>-7626065</v>
      </c>
      <c r="FW94" s="94">
        <v>-7173739</v>
      </c>
      <c r="FX94" s="94">
        <v>2068291</v>
      </c>
      <c r="FY94" s="426">
        <f t="shared" si="103"/>
        <v>-7626.0649999999996</v>
      </c>
      <c r="FZ94" s="426">
        <f t="shared" si="104"/>
        <v>-7173.7389999999996</v>
      </c>
      <c r="GA94" s="426">
        <f t="shared" si="105"/>
        <v>2068.2910000000002</v>
      </c>
      <c r="GG94" s="762" t="s">
        <v>553</v>
      </c>
      <c r="GH94" s="763" t="s">
        <v>596</v>
      </c>
      <c r="GI94" s="764">
        <v>30914288</v>
      </c>
      <c r="GJ94" s="764">
        <v>5914288</v>
      </c>
      <c r="GK94" s="764">
        <v>25000000</v>
      </c>
      <c r="GL94" s="764">
        <v>4917187</v>
      </c>
      <c r="GM94" s="764">
        <v>997101</v>
      </c>
      <c r="GN94" s="426">
        <f t="shared" si="106"/>
        <v>30914.288</v>
      </c>
      <c r="GO94" s="426">
        <f t="shared" si="107"/>
        <v>5914.2879999999996</v>
      </c>
      <c r="GP94" s="426">
        <f t="shared" si="108"/>
        <v>25000</v>
      </c>
      <c r="GQ94" s="426">
        <f t="shared" si="109"/>
        <v>4917.1869999999999</v>
      </c>
      <c r="GR94" s="426">
        <f t="shared" si="110"/>
        <v>997.101</v>
      </c>
      <c r="GV94" s="780" t="s">
        <v>604</v>
      </c>
      <c r="GW94" s="779">
        <v>1970345</v>
      </c>
      <c r="GX94" s="426">
        <f t="shared" si="111"/>
        <v>1970.345</v>
      </c>
      <c r="HB94" s="782" t="s">
        <v>393</v>
      </c>
      <c r="HC94" s="764">
        <v>1860276</v>
      </c>
      <c r="HD94" s="764">
        <v>1860276</v>
      </c>
      <c r="HE94" s="764">
        <v>0</v>
      </c>
      <c r="HF94" s="764">
        <v>1860276</v>
      </c>
      <c r="HG94" s="426">
        <f t="shared" si="112"/>
        <v>1860.2760000000001</v>
      </c>
      <c r="HH94" s="426">
        <f t="shared" si="113"/>
        <v>0</v>
      </c>
      <c r="HI94" s="426">
        <f t="shared" si="114"/>
        <v>1860.2760000000001</v>
      </c>
      <c r="HJ94" s="426">
        <f t="shared" si="115"/>
        <v>0</v>
      </c>
      <c r="HK94" s="426">
        <f t="shared" si="116"/>
        <v>1860.2760000000001</v>
      </c>
    </row>
    <row r="95" spans="1:219" ht="15" customHeight="1" x14ac:dyDescent="0.3">
      <c r="A95" s="287" t="s">
        <v>553</v>
      </c>
      <c r="B95" s="288" t="s">
        <v>602</v>
      </c>
      <c r="C95" s="289">
        <v>82656000</v>
      </c>
      <c r="D95" s="290">
        <f t="shared" si="61"/>
        <v>87863.327999999994</v>
      </c>
      <c r="E95" s="289">
        <v>3304000</v>
      </c>
      <c r="F95" s="289">
        <f t="shared" si="62"/>
        <v>3512.152</v>
      </c>
      <c r="J95" s="291" t="s">
        <v>449</v>
      </c>
      <c r="K95" s="292" t="s">
        <v>618</v>
      </c>
      <c r="L95" s="293">
        <v>0</v>
      </c>
      <c r="M95" s="293">
        <f t="shared" si="63"/>
        <v>0</v>
      </c>
      <c r="Q95" s="291" t="s">
        <v>553</v>
      </c>
      <c r="R95" s="292" t="s">
        <v>601</v>
      </c>
      <c r="S95" s="293">
        <v>62971439</v>
      </c>
      <c r="T95" s="293">
        <v>7371918</v>
      </c>
      <c r="U95" s="293">
        <f t="shared" si="64"/>
        <v>66938.639656999992</v>
      </c>
      <c r="V95" s="293">
        <f t="shared" si="65"/>
        <v>7836.3488339999994</v>
      </c>
      <c r="Z95" s="288" t="s">
        <v>606</v>
      </c>
      <c r="AA95" s="289">
        <v>115100</v>
      </c>
      <c r="AB95" s="289">
        <f t="shared" si="66"/>
        <v>122.35129999999998</v>
      </c>
      <c r="AF95" s="288" t="s">
        <v>400</v>
      </c>
      <c r="AG95" s="289">
        <v>202186964</v>
      </c>
      <c r="AH95" s="289">
        <f t="shared" si="60"/>
        <v>214924.74273199998</v>
      </c>
      <c r="AI95" s="289">
        <v>49190488</v>
      </c>
      <c r="AL95" s="426"/>
      <c r="AN95" s="423" t="s">
        <v>553</v>
      </c>
      <c r="AO95" s="424" t="s">
        <v>604</v>
      </c>
      <c r="AP95" s="425">
        <v>1964126</v>
      </c>
      <c r="AQ95" s="425">
        <f t="shared" si="67"/>
        <v>2087.8659379999999</v>
      </c>
      <c r="AU95" s="423" t="s">
        <v>355</v>
      </c>
      <c r="AV95" s="424" t="s">
        <v>400</v>
      </c>
      <c r="AW95" s="425">
        <v>206819084</v>
      </c>
      <c r="AX95" s="425">
        <v>183627516</v>
      </c>
      <c r="AY95" s="425">
        <v>23191568</v>
      </c>
      <c r="AZ95" s="426">
        <f t="shared" si="68"/>
        <v>219848.686292</v>
      </c>
      <c r="BA95" s="426">
        <f t="shared" si="69"/>
        <v>195196.049508</v>
      </c>
      <c r="BB95" s="426">
        <f t="shared" si="70"/>
        <v>24652.636783999998</v>
      </c>
      <c r="BF95" s="423" t="s">
        <v>449</v>
      </c>
      <c r="BG95" s="424" t="s">
        <v>412</v>
      </c>
      <c r="BH95" s="425">
        <v>17219157</v>
      </c>
      <c r="BI95" s="426">
        <f t="shared" si="71"/>
        <v>18303.963890999999</v>
      </c>
      <c r="BM95" s="427" t="s">
        <v>553</v>
      </c>
      <c r="BN95" s="93" t="s">
        <v>399</v>
      </c>
      <c r="BO95" s="94">
        <v>0</v>
      </c>
      <c r="BP95" s="94">
        <v>3421075</v>
      </c>
      <c r="BQ95" s="94">
        <v>3421075</v>
      </c>
      <c r="BR95" s="94">
        <v>0</v>
      </c>
      <c r="BS95" s="94">
        <v>21150</v>
      </c>
      <c r="BT95" s="426">
        <f t="shared" si="72"/>
        <v>3636.6027249999997</v>
      </c>
      <c r="BU95" s="426">
        <f t="shared" si="73"/>
        <v>3636.6027249999997</v>
      </c>
      <c r="BV95" s="426">
        <f t="shared" si="74"/>
        <v>0</v>
      </c>
      <c r="BW95" s="426">
        <f t="shared" si="75"/>
        <v>22.482449999999996</v>
      </c>
      <c r="CA95" s="93" t="s">
        <v>605</v>
      </c>
      <c r="CB95" s="426">
        <v>5086512</v>
      </c>
      <c r="CC95" s="426">
        <f t="shared" si="76"/>
        <v>5406.9622559999998</v>
      </c>
      <c r="CG95" s="424" t="s">
        <v>398</v>
      </c>
      <c r="CH95" s="425">
        <v>0</v>
      </c>
      <c r="CI95" s="425">
        <v>10000000</v>
      </c>
      <c r="CJ95" s="425">
        <v>-10000000</v>
      </c>
      <c r="CK95" s="425">
        <v>4494861</v>
      </c>
      <c r="CL95" s="425">
        <v>5505139</v>
      </c>
      <c r="CM95" s="425">
        <v>4494861</v>
      </c>
      <c r="CN95" s="425">
        <f t="shared" si="77"/>
        <v>10630</v>
      </c>
      <c r="CO95" s="425">
        <f t="shared" si="78"/>
        <v>4778.0372429999998</v>
      </c>
      <c r="CP95" s="425">
        <f t="shared" si="79"/>
        <v>5851.9627570000002</v>
      </c>
      <c r="CQ95" s="425">
        <f t="shared" si="80"/>
        <v>4778.0372429999998</v>
      </c>
      <c r="CU95" s="424" t="s">
        <v>494</v>
      </c>
      <c r="CV95" s="425">
        <v>0</v>
      </c>
      <c r="CW95" s="425">
        <v>1041250</v>
      </c>
      <c r="CX95" s="426">
        <f t="shared" si="81"/>
        <v>0</v>
      </c>
      <c r="CY95" s="426">
        <f t="shared" si="82"/>
        <v>1106.8487499999999</v>
      </c>
      <c r="DB95" s="568" t="s">
        <v>398</v>
      </c>
      <c r="DC95" s="569">
        <v>10000000</v>
      </c>
      <c r="DD95" s="569">
        <v>4595011</v>
      </c>
      <c r="DE95" s="569">
        <v>5404989</v>
      </c>
      <c r="DF95" s="569">
        <v>4595011</v>
      </c>
      <c r="DG95" s="570">
        <f t="shared" si="83"/>
        <v>10630</v>
      </c>
      <c r="DH95" s="570">
        <f t="shared" si="84"/>
        <v>4884.4966930000001</v>
      </c>
      <c r="DI95" s="570">
        <f t="shared" si="85"/>
        <v>5745.503306999999</v>
      </c>
      <c r="DJ95" s="570">
        <f t="shared" si="86"/>
        <v>4884.4966930000001</v>
      </c>
      <c r="DN95" s="93" t="s">
        <v>407</v>
      </c>
      <c r="DO95" s="93">
        <v>9804000</v>
      </c>
      <c r="DP95" s="93">
        <v>0</v>
      </c>
      <c r="DQ95" s="626">
        <f t="shared" si="87"/>
        <v>10421.652</v>
      </c>
      <c r="DR95" s="626">
        <f t="shared" si="88"/>
        <v>0</v>
      </c>
      <c r="DV95" s="93" t="s">
        <v>600</v>
      </c>
      <c r="DW95" s="94">
        <v>9395760</v>
      </c>
      <c r="DX95" s="94">
        <v>9395760</v>
      </c>
      <c r="DY95" s="94">
        <v>0</v>
      </c>
      <c r="DZ95" s="94">
        <v>8418014</v>
      </c>
      <c r="EA95" s="94">
        <f t="shared" si="89"/>
        <v>9987.6928800000005</v>
      </c>
      <c r="EB95" s="94">
        <f t="shared" si="90"/>
        <v>9987.6928800000005</v>
      </c>
      <c r="EC95" s="94">
        <f t="shared" si="91"/>
        <v>0</v>
      </c>
      <c r="ED95" s="94">
        <f t="shared" si="92"/>
        <v>8948.3488819999984</v>
      </c>
      <c r="EH95" s="420" t="s">
        <v>494</v>
      </c>
      <c r="EI95" s="420">
        <v>1041250</v>
      </c>
      <c r="EJ95" s="426">
        <f t="shared" si="93"/>
        <v>1106.8487499999999</v>
      </c>
      <c r="EN95" s="420" t="s">
        <v>597</v>
      </c>
      <c r="EO95" s="426">
        <v>10025116</v>
      </c>
      <c r="EP95" s="426">
        <v>9705866</v>
      </c>
      <c r="EQ95" s="426">
        <v>319250</v>
      </c>
      <c r="ER95" s="426">
        <v>8218106</v>
      </c>
      <c r="ES95" s="700">
        <f t="shared" si="94"/>
        <v>10656.698307999999</v>
      </c>
      <c r="ET95" s="700">
        <f t="shared" si="95"/>
        <v>10317.335557999999</v>
      </c>
      <c r="EU95" s="700">
        <f t="shared" si="96"/>
        <v>339.36275000000001</v>
      </c>
      <c r="EV95" s="700">
        <f t="shared" si="97"/>
        <v>8735.8466779999999</v>
      </c>
      <c r="EZ95" s="730" t="s">
        <v>553</v>
      </c>
      <c r="FA95" s="731" t="s">
        <v>408</v>
      </c>
      <c r="FB95" s="420">
        <v>57961699</v>
      </c>
      <c r="FC95" s="426">
        <f t="shared" si="98"/>
        <v>57961.699000000001</v>
      </c>
      <c r="FG95" s="735" t="s">
        <v>553</v>
      </c>
      <c r="FH95" s="734" t="s">
        <v>597</v>
      </c>
      <c r="FI95" s="732">
        <v>11225116</v>
      </c>
      <c r="FJ95" s="733">
        <v>11225116</v>
      </c>
      <c r="FK95" s="733">
        <v>0</v>
      </c>
      <c r="FL95" s="733">
        <v>8632556</v>
      </c>
      <c r="FM95" s="426">
        <f t="shared" si="99"/>
        <v>11225.116</v>
      </c>
      <c r="FN95" s="426">
        <f t="shared" si="100"/>
        <v>11225.116</v>
      </c>
      <c r="FO95" s="426">
        <f t="shared" si="101"/>
        <v>0</v>
      </c>
      <c r="FP95" s="426">
        <f t="shared" si="102"/>
        <v>8632.5560000000005</v>
      </c>
      <c r="FT95" s="427" t="s">
        <v>553</v>
      </c>
      <c r="FU95" s="93" t="s">
        <v>605</v>
      </c>
      <c r="FV95" s="94">
        <v>-3191623</v>
      </c>
      <c r="FW95" s="94">
        <v>-744617</v>
      </c>
      <c r="FX95" s="94">
        <v>5514361</v>
      </c>
      <c r="FY95" s="426">
        <f t="shared" si="103"/>
        <v>-3191.623</v>
      </c>
      <c r="FZ95" s="426">
        <f t="shared" si="104"/>
        <v>-744.61699999999996</v>
      </c>
      <c r="GA95" s="426">
        <f t="shared" si="105"/>
        <v>5514.3609999999999</v>
      </c>
      <c r="GG95" s="762" t="s">
        <v>553</v>
      </c>
      <c r="GH95" s="763" t="s">
        <v>597</v>
      </c>
      <c r="GI95" s="764">
        <v>12028523</v>
      </c>
      <c r="GJ95" s="764">
        <v>12028523</v>
      </c>
      <c r="GK95" s="764">
        <v>0</v>
      </c>
      <c r="GL95" s="764">
        <v>11794833</v>
      </c>
      <c r="GM95" s="764">
        <v>233690</v>
      </c>
      <c r="GN95" s="426">
        <f t="shared" si="106"/>
        <v>12028.522999999999</v>
      </c>
      <c r="GO95" s="426">
        <f t="shared" si="107"/>
        <v>12028.522999999999</v>
      </c>
      <c r="GP95" s="426">
        <f t="shared" si="108"/>
        <v>0</v>
      </c>
      <c r="GQ95" s="426">
        <f t="shared" si="109"/>
        <v>11794.833000000001</v>
      </c>
      <c r="GR95" s="426">
        <f t="shared" si="110"/>
        <v>233.69</v>
      </c>
      <c r="GV95" s="780" t="s">
        <v>605</v>
      </c>
      <c r="GW95" s="779">
        <v>5372256</v>
      </c>
      <c r="GX95" s="426">
        <f t="shared" si="111"/>
        <v>5372.2560000000003</v>
      </c>
      <c r="HB95" s="782" t="s">
        <v>394</v>
      </c>
      <c r="HC95" s="764">
        <v>4798080</v>
      </c>
      <c r="HD95" s="764">
        <v>4798080</v>
      </c>
      <c r="HE95" s="764">
        <v>0</v>
      </c>
      <c r="HF95" s="764">
        <v>4798080</v>
      </c>
      <c r="HG95" s="426">
        <f t="shared" si="112"/>
        <v>4798.08</v>
      </c>
      <c r="HH95" s="426">
        <f t="shared" si="113"/>
        <v>0</v>
      </c>
      <c r="HI95" s="426">
        <f t="shared" si="114"/>
        <v>4798.08</v>
      </c>
      <c r="HJ95" s="426">
        <f t="shared" si="115"/>
        <v>0</v>
      </c>
      <c r="HK95" s="426">
        <f t="shared" si="116"/>
        <v>4798.08</v>
      </c>
    </row>
    <row r="96" spans="1:219" ht="15" customHeight="1" x14ac:dyDescent="0.3">
      <c r="A96" s="287" t="s">
        <v>553</v>
      </c>
      <c r="B96" s="288" t="s">
        <v>603</v>
      </c>
      <c r="C96" s="289">
        <v>3300000</v>
      </c>
      <c r="D96" s="290">
        <f t="shared" si="61"/>
        <v>3507.8999999999996</v>
      </c>
      <c r="E96" s="289">
        <v>181000</v>
      </c>
      <c r="F96" s="289">
        <f t="shared" si="62"/>
        <v>192.40299999999999</v>
      </c>
      <c r="J96" s="291" t="s">
        <v>355</v>
      </c>
      <c r="K96" s="292" t="s">
        <v>415</v>
      </c>
      <c r="L96" s="293">
        <v>0</v>
      </c>
      <c r="M96" s="293">
        <f t="shared" si="63"/>
        <v>0</v>
      </c>
      <c r="Q96" s="291" t="s">
        <v>553</v>
      </c>
      <c r="R96" s="292" t="s">
        <v>602</v>
      </c>
      <c r="S96" s="293">
        <v>81116600</v>
      </c>
      <c r="T96" s="293">
        <v>4437000</v>
      </c>
      <c r="U96" s="293">
        <f t="shared" si="64"/>
        <v>86226.945800000001</v>
      </c>
      <c r="V96" s="293">
        <f t="shared" si="65"/>
        <v>4716.5309999999999</v>
      </c>
      <c r="Z96" s="288" t="s">
        <v>405</v>
      </c>
      <c r="AA96" s="289">
        <v>115100</v>
      </c>
      <c r="AB96" s="289">
        <f t="shared" si="66"/>
        <v>122.35129999999998</v>
      </c>
      <c r="AF96" s="288" t="s">
        <v>401</v>
      </c>
      <c r="AG96" s="289">
        <v>83544996</v>
      </c>
      <c r="AH96" s="289">
        <f t="shared" si="60"/>
        <v>88808.330747999993</v>
      </c>
      <c r="AI96" s="289">
        <v>18376590</v>
      </c>
      <c r="AL96" s="426"/>
      <c r="AN96" s="423" t="s">
        <v>553</v>
      </c>
      <c r="AO96" s="424" t="s">
        <v>605</v>
      </c>
      <c r="AP96" s="425">
        <v>4937965</v>
      </c>
      <c r="AQ96" s="425">
        <f t="shared" si="67"/>
        <v>5249.0567949999995</v>
      </c>
      <c r="AU96" s="423" t="s">
        <v>553</v>
      </c>
      <c r="AV96" s="424" t="s">
        <v>401</v>
      </c>
      <c r="AW96" s="425">
        <v>85040739</v>
      </c>
      <c r="AX96" s="425">
        <v>68594132</v>
      </c>
      <c r="AY96" s="425">
        <v>16446607</v>
      </c>
      <c r="AZ96" s="426">
        <f t="shared" si="68"/>
        <v>90398.305557</v>
      </c>
      <c r="BA96" s="426">
        <f t="shared" si="69"/>
        <v>72915.562315999996</v>
      </c>
      <c r="BB96" s="426">
        <f t="shared" si="70"/>
        <v>17482.743241</v>
      </c>
      <c r="BF96" s="423" t="s">
        <v>355</v>
      </c>
      <c r="BG96" s="424" t="s">
        <v>413</v>
      </c>
      <c r="BH96" s="425">
        <v>17219157</v>
      </c>
      <c r="BI96" s="426">
        <f t="shared" si="71"/>
        <v>18303.963890999999</v>
      </c>
      <c r="BM96" s="427" t="s">
        <v>355</v>
      </c>
      <c r="BN96" s="93" t="s">
        <v>400</v>
      </c>
      <c r="BO96" s="94">
        <v>0</v>
      </c>
      <c r="BP96" s="94">
        <v>219196365</v>
      </c>
      <c r="BQ96" s="94">
        <v>198538204</v>
      </c>
      <c r="BR96" s="94">
        <v>20658161</v>
      </c>
      <c r="BS96" s="94">
        <v>94581865</v>
      </c>
      <c r="BT96" s="426">
        <f t="shared" si="72"/>
        <v>233005.73599499997</v>
      </c>
      <c r="BU96" s="426">
        <f t="shared" si="73"/>
        <v>211046.11085199998</v>
      </c>
      <c r="BV96" s="426">
        <f t="shared" si="74"/>
        <v>21959.625142999997</v>
      </c>
      <c r="BW96" s="426">
        <f t="shared" si="75"/>
        <v>100540.522495</v>
      </c>
      <c r="CA96" s="93" t="s">
        <v>494</v>
      </c>
      <c r="CB96" s="426">
        <v>1041250</v>
      </c>
      <c r="CC96" s="426">
        <f t="shared" si="76"/>
        <v>1106.8487499999999</v>
      </c>
      <c r="CG96" s="424" t="s">
        <v>399</v>
      </c>
      <c r="CH96" s="425">
        <v>0</v>
      </c>
      <c r="CI96" s="425">
        <v>3421075</v>
      </c>
      <c r="CJ96" s="425">
        <v>-3421075</v>
      </c>
      <c r="CK96" s="425">
        <v>3421075</v>
      </c>
      <c r="CL96" s="425">
        <v>0</v>
      </c>
      <c r="CM96" s="425">
        <v>21150</v>
      </c>
      <c r="CN96" s="425">
        <f t="shared" si="77"/>
        <v>3636.6027249999997</v>
      </c>
      <c r="CO96" s="425">
        <f t="shared" si="78"/>
        <v>3636.6027249999997</v>
      </c>
      <c r="CP96" s="425">
        <f t="shared" si="79"/>
        <v>0</v>
      </c>
      <c r="CQ96" s="425">
        <f t="shared" si="80"/>
        <v>22.482449999999996</v>
      </c>
      <c r="CU96" s="424" t="s">
        <v>606</v>
      </c>
      <c r="CV96" s="425">
        <v>0</v>
      </c>
      <c r="CW96" s="425">
        <v>8349307</v>
      </c>
      <c r="CX96" s="426">
        <f t="shared" si="81"/>
        <v>0</v>
      </c>
      <c r="CY96" s="426">
        <f t="shared" si="82"/>
        <v>8875.3133410000009</v>
      </c>
      <c r="DB96" s="568" t="s">
        <v>399</v>
      </c>
      <c r="DC96" s="569">
        <v>3468675</v>
      </c>
      <c r="DD96" s="569">
        <v>3468675</v>
      </c>
      <c r="DE96" s="569">
        <v>0</v>
      </c>
      <c r="DF96" s="569">
        <v>21150</v>
      </c>
      <c r="DG96" s="570">
        <f t="shared" si="83"/>
        <v>3687.2015249999999</v>
      </c>
      <c r="DH96" s="570">
        <f t="shared" si="84"/>
        <v>3687.2015249999999</v>
      </c>
      <c r="DI96" s="570">
        <f t="shared" si="85"/>
        <v>0</v>
      </c>
      <c r="DJ96" s="570">
        <f t="shared" si="86"/>
        <v>22.482449999999996</v>
      </c>
      <c r="DN96" s="93" t="s">
        <v>408</v>
      </c>
      <c r="DO96" s="93">
        <v>-13588472</v>
      </c>
      <c r="DP96" s="93">
        <v>66211699</v>
      </c>
      <c r="DQ96" s="626">
        <f t="shared" si="87"/>
        <v>-14444.545735999998</v>
      </c>
      <c r="DR96" s="626">
        <f t="shared" si="88"/>
        <v>70383.036036999983</v>
      </c>
      <c r="DV96" s="93" t="s">
        <v>397</v>
      </c>
      <c r="DW96" s="94">
        <v>13468675</v>
      </c>
      <c r="DX96" s="94">
        <v>8063686</v>
      </c>
      <c r="DY96" s="94">
        <v>5404989</v>
      </c>
      <c r="DZ96" s="94">
        <v>6516686</v>
      </c>
      <c r="EA96" s="94">
        <f t="shared" si="89"/>
        <v>14317.201524999999</v>
      </c>
      <c r="EB96" s="94">
        <f t="shared" si="90"/>
        <v>8571.6982179999995</v>
      </c>
      <c r="EC96" s="94">
        <f t="shared" si="91"/>
        <v>5745.503306999999</v>
      </c>
      <c r="ED96" s="94">
        <f t="shared" si="92"/>
        <v>6927.2372179999993</v>
      </c>
      <c r="EH96" s="420" t="s">
        <v>606</v>
      </c>
      <c r="EI96" s="420">
        <v>0</v>
      </c>
      <c r="EJ96" s="426">
        <f t="shared" si="93"/>
        <v>0</v>
      </c>
      <c r="EN96" s="420" t="s">
        <v>598</v>
      </c>
      <c r="EO96" s="426">
        <v>749700</v>
      </c>
      <c r="EP96" s="426">
        <v>749700</v>
      </c>
      <c r="EQ96" s="426">
        <v>0</v>
      </c>
      <c r="ER96" s="426">
        <v>0</v>
      </c>
      <c r="ES96" s="700">
        <f t="shared" si="94"/>
        <v>796.93110000000001</v>
      </c>
      <c r="ET96" s="700">
        <f t="shared" si="95"/>
        <v>796.93110000000001</v>
      </c>
      <c r="EU96" s="700">
        <f t="shared" si="96"/>
        <v>0</v>
      </c>
      <c r="EV96" s="700">
        <f t="shared" si="97"/>
        <v>0</v>
      </c>
      <c r="EZ96" s="730" t="s">
        <v>553</v>
      </c>
      <c r="FA96" s="731" t="s">
        <v>409</v>
      </c>
      <c r="FB96" s="420">
        <v>2000000</v>
      </c>
      <c r="FC96" s="426">
        <f t="shared" si="98"/>
        <v>2000</v>
      </c>
      <c r="FG96" s="735" t="s">
        <v>553</v>
      </c>
      <c r="FH96" s="734" t="s">
        <v>598</v>
      </c>
      <c r="FI96" s="732">
        <v>749700</v>
      </c>
      <c r="FJ96" s="733">
        <v>749700</v>
      </c>
      <c r="FK96" s="733">
        <v>0</v>
      </c>
      <c r="FL96" s="733">
        <v>749700</v>
      </c>
      <c r="FM96" s="426">
        <f t="shared" si="99"/>
        <v>749.7</v>
      </c>
      <c r="FN96" s="426">
        <f t="shared" si="100"/>
        <v>749.7</v>
      </c>
      <c r="FO96" s="426">
        <f t="shared" si="101"/>
        <v>0</v>
      </c>
      <c r="FP96" s="426">
        <f t="shared" si="102"/>
        <v>749.7</v>
      </c>
      <c r="FT96" s="427" t="s">
        <v>553</v>
      </c>
      <c r="FU96" s="93" t="s">
        <v>494</v>
      </c>
      <c r="FV96" s="94">
        <v>0</v>
      </c>
      <c r="FW96" s="94">
        <v>0</v>
      </c>
      <c r="FX96" s="94">
        <v>1041250</v>
      </c>
      <c r="FY96" s="426">
        <f t="shared" si="103"/>
        <v>0</v>
      </c>
      <c r="FZ96" s="426">
        <f t="shared" si="104"/>
        <v>0</v>
      </c>
      <c r="GA96" s="426">
        <f t="shared" si="105"/>
        <v>1041.25</v>
      </c>
      <c r="GG96" s="762" t="s">
        <v>553</v>
      </c>
      <c r="GH96" s="763" t="s">
        <v>598</v>
      </c>
      <c r="GI96" s="764">
        <v>749700</v>
      </c>
      <c r="GJ96" s="764">
        <v>749700</v>
      </c>
      <c r="GK96" s="764">
        <v>0</v>
      </c>
      <c r="GL96" s="764">
        <v>749700</v>
      </c>
      <c r="GM96" s="764">
        <v>0</v>
      </c>
      <c r="GN96" s="426">
        <f t="shared" si="106"/>
        <v>749.7</v>
      </c>
      <c r="GO96" s="426">
        <f t="shared" si="107"/>
        <v>749.7</v>
      </c>
      <c r="GP96" s="426">
        <f t="shared" si="108"/>
        <v>0</v>
      </c>
      <c r="GQ96" s="426">
        <f t="shared" si="109"/>
        <v>749.7</v>
      </c>
      <c r="GR96" s="426">
        <f t="shared" si="110"/>
        <v>0</v>
      </c>
      <c r="GV96" s="780" t="s">
        <v>494</v>
      </c>
      <c r="GW96" s="779">
        <v>2082500</v>
      </c>
      <c r="GX96" s="426">
        <f t="shared" si="111"/>
        <v>2082.5</v>
      </c>
      <c r="HB96" s="782" t="s">
        <v>595</v>
      </c>
      <c r="HC96" s="764">
        <v>31947519</v>
      </c>
      <c r="HD96" s="764">
        <v>31947519</v>
      </c>
      <c r="HE96" s="764">
        <v>0</v>
      </c>
      <c r="HF96" s="764">
        <v>31947519</v>
      </c>
      <c r="HG96" s="426">
        <f t="shared" si="112"/>
        <v>31947.519</v>
      </c>
      <c r="HH96" s="426">
        <f t="shared" si="113"/>
        <v>0</v>
      </c>
      <c r="HI96" s="426">
        <f t="shared" si="114"/>
        <v>31947.519</v>
      </c>
      <c r="HJ96" s="426">
        <f t="shared" si="115"/>
        <v>0</v>
      </c>
      <c r="HK96" s="426">
        <f t="shared" si="116"/>
        <v>31947.519</v>
      </c>
    </row>
    <row r="97" spans="1:219" ht="15" customHeight="1" x14ac:dyDescent="0.3">
      <c r="A97" s="287" t="s">
        <v>553</v>
      </c>
      <c r="B97" s="288" t="s">
        <v>402</v>
      </c>
      <c r="C97" s="289">
        <v>10000000</v>
      </c>
      <c r="D97" s="290">
        <f t="shared" si="61"/>
        <v>10630</v>
      </c>
      <c r="E97" s="289">
        <v>0</v>
      </c>
      <c r="F97" s="289">
        <f t="shared" si="62"/>
        <v>0</v>
      </c>
      <c r="J97" s="291" t="s">
        <v>553</v>
      </c>
      <c r="K97" s="292" t="s">
        <v>620</v>
      </c>
      <c r="L97" s="293">
        <v>0</v>
      </c>
      <c r="M97" s="293">
        <f t="shared" si="63"/>
        <v>0</v>
      </c>
      <c r="Q97" s="291" t="s">
        <v>553</v>
      </c>
      <c r="R97" s="292" t="s">
        <v>603</v>
      </c>
      <c r="S97" s="293">
        <v>3300000</v>
      </c>
      <c r="T97" s="293">
        <v>1932161</v>
      </c>
      <c r="U97" s="293">
        <f t="shared" si="64"/>
        <v>3507.8999999999996</v>
      </c>
      <c r="V97" s="293">
        <f t="shared" si="65"/>
        <v>2053.8871429999999</v>
      </c>
      <c r="Z97" s="288" t="s">
        <v>607</v>
      </c>
      <c r="AA97" s="289">
        <v>73543799</v>
      </c>
      <c r="AB97" s="289">
        <f t="shared" si="66"/>
        <v>78177.058336999995</v>
      </c>
      <c r="AF97" s="288" t="s">
        <v>601</v>
      </c>
      <c r="AG97" s="289">
        <v>52237268</v>
      </c>
      <c r="AH97" s="289">
        <f t="shared" si="60"/>
        <v>55528.21588399999</v>
      </c>
      <c r="AI97" s="289">
        <v>17021237</v>
      </c>
      <c r="AL97" s="426"/>
      <c r="AN97" s="423" t="s">
        <v>553</v>
      </c>
      <c r="AO97" s="424" t="s">
        <v>494</v>
      </c>
      <c r="AP97" s="425">
        <v>1041250</v>
      </c>
      <c r="AQ97" s="425">
        <f t="shared" si="67"/>
        <v>1106.8487499999999</v>
      </c>
      <c r="AU97" s="423" t="s">
        <v>553</v>
      </c>
      <c r="AV97" s="424" t="s">
        <v>601</v>
      </c>
      <c r="AW97" s="425">
        <v>54639687</v>
      </c>
      <c r="AX97" s="425">
        <v>49639569</v>
      </c>
      <c r="AY97" s="425">
        <v>5000118</v>
      </c>
      <c r="AZ97" s="426">
        <f t="shared" si="68"/>
        <v>58081.987280999994</v>
      </c>
      <c r="BA97" s="426">
        <f t="shared" si="69"/>
        <v>52766.861847</v>
      </c>
      <c r="BB97" s="426">
        <f t="shared" si="70"/>
        <v>5315.1254340000005</v>
      </c>
      <c r="BF97" s="423" t="s">
        <v>553</v>
      </c>
      <c r="BG97" s="424" t="s">
        <v>532</v>
      </c>
      <c r="BH97" s="425">
        <v>17219157</v>
      </c>
      <c r="BI97" s="426">
        <f t="shared" si="71"/>
        <v>18303.963890999999</v>
      </c>
      <c r="BM97" s="427" t="s">
        <v>553</v>
      </c>
      <c r="BN97" s="93" t="s">
        <v>401</v>
      </c>
      <c r="BO97" s="94">
        <v>0</v>
      </c>
      <c r="BP97" s="94">
        <v>85633619</v>
      </c>
      <c r="BQ97" s="94">
        <v>70936132</v>
      </c>
      <c r="BR97" s="94">
        <v>14697487</v>
      </c>
      <c r="BS97" s="94">
        <v>29969686</v>
      </c>
      <c r="BT97" s="426">
        <f t="shared" si="72"/>
        <v>91028.536997000003</v>
      </c>
      <c r="BU97" s="426">
        <f t="shared" si="73"/>
        <v>75405.108315999998</v>
      </c>
      <c r="BV97" s="426">
        <f t="shared" si="74"/>
        <v>15623.428680999998</v>
      </c>
      <c r="BW97" s="426">
        <f t="shared" si="75"/>
        <v>31857.776217999999</v>
      </c>
      <c r="CA97" s="93" t="s">
        <v>606</v>
      </c>
      <c r="CB97" s="426">
        <v>0</v>
      </c>
      <c r="CC97" s="426">
        <f t="shared" si="76"/>
        <v>0</v>
      </c>
      <c r="CG97" s="424" t="s">
        <v>400</v>
      </c>
      <c r="CH97" s="425">
        <v>0</v>
      </c>
      <c r="CI97" s="425">
        <v>291215314</v>
      </c>
      <c r="CJ97" s="425">
        <v>-291215314</v>
      </c>
      <c r="CK97" s="425">
        <v>224887172</v>
      </c>
      <c r="CL97" s="425">
        <v>66328142</v>
      </c>
      <c r="CM97" s="425">
        <v>119023584</v>
      </c>
      <c r="CN97" s="425">
        <f t="shared" si="77"/>
        <v>309561.87878199999</v>
      </c>
      <c r="CO97" s="425">
        <f t="shared" si="78"/>
        <v>239055.06383599999</v>
      </c>
      <c r="CP97" s="425">
        <f t="shared" si="79"/>
        <v>70506.814945999999</v>
      </c>
      <c r="CQ97" s="425">
        <f t="shared" si="80"/>
        <v>126522.06979199999</v>
      </c>
      <c r="CU97" s="424" t="s">
        <v>405</v>
      </c>
      <c r="CV97" s="425">
        <v>0</v>
      </c>
      <c r="CW97" s="425">
        <v>8349307</v>
      </c>
      <c r="CX97" s="426">
        <f t="shared" si="81"/>
        <v>0</v>
      </c>
      <c r="CY97" s="426">
        <f t="shared" si="82"/>
        <v>8875.3133410000009</v>
      </c>
      <c r="DB97" s="568" t="s">
        <v>400</v>
      </c>
      <c r="DC97" s="569">
        <v>301359816</v>
      </c>
      <c r="DD97" s="569">
        <v>265899125</v>
      </c>
      <c r="DE97" s="569">
        <v>35460691</v>
      </c>
      <c r="DF97" s="569">
        <v>154543838</v>
      </c>
      <c r="DG97" s="570">
        <f t="shared" si="83"/>
        <v>320345.48440799996</v>
      </c>
      <c r="DH97" s="570">
        <f t="shared" si="84"/>
        <v>282650.769875</v>
      </c>
      <c r="DI97" s="570">
        <f t="shared" si="85"/>
        <v>37694.714532999998</v>
      </c>
      <c r="DJ97" s="570">
        <f t="shared" si="86"/>
        <v>164280.09979399998</v>
      </c>
      <c r="DN97" s="93" t="s">
        <v>409</v>
      </c>
      <c r="DO97" s="93">
        <v>4249900</v>
      </c>
      <c r="DP97" s="93">
        <v>0</v>
      </c>
      <c r="DQ97" s="626">
        <f t="shared" si="87"/>
        <v>4517.6436999999996</v>
      </c>
      <c r="DR97" s="626">
        <f t="shared" si="88"/>
        <v>0</v>
      </c>
      <c r="DV97" s="93" t="s">
        <v>398</v>
      </c>
      <c r="DW97" s="94">
        <v>10000000</v>
      </c>
      <c r="DX97" s="94">
        <v>4595011</v>
      </c>
      <c r="DY97" s="94">
        <v>5404989</v>
      </c>
      <c r="DZ97" s="94">
        <v>4595011</v>
      </c>
      <c r="EA97" s="94">
        <f t="shared" si="89"/>
        <v>10630</v>
      </c>
      <c r="EB97" s="94">
        <f t="shared" si="90"/>
        <v>4884.4966930000001</v>
      </c>
      <c r="EC97" s="94">
        <f t="shared" si="91"/>
        <v>5745.503306999999</v>
      </c>
      <c r="ED97" s="94">
        <f t="shared" si="92"/>
        <v>4884.4966930000001</v>
      </c>
      <c r="EH97" s="420" t="s">
        <v>405</v>
      </c>
      <c r="EI97" s="420">
        <v>0</v>
      </c>
      <c r="EJ97" s="426">
        <f t="shared" si="93"/>
        <v>0</v>
      </c>
      <c r="EN97" s="420" t="s">
        <v>717</v>
      </c>
      <c r="EO97" s="426">
        <v>0</v>
      </c>
      <c r="EP97" s="426">
        <v>0</v>
      </c>
      <c r="EQ97" s="426">
        <v>0</v>
      </c>
      <c r="ER97" s="426">
        <v>0</v>
      </c>
      <c r="ES97" s="700">
        <f t="shared" si="94"/>
        <v>0</v>
      </c>
      <c r="ET97" s="700">
        <f t="shared" si="95"/>
        <v>0</v>
      </c>
      <c r="EU97" s="700">
        <f t="shared" si="96"/>
        <v>0</v>
      </c>
      <c r="EV97" s="700">
        <f t="shared" si="97"/>
        <v>0</v>
      </c>
      <c r="EZ97" s="730" t="s">
        <v>355</v>
      </c>
      <c r="FA97" s="731" t="s">
        <v>608</v>
      </c>
      <c r="FB97" s="420">
        <v>1534672</v>
      </c>
      <c r="FC97" s="426">
        <f t="shared" si="98"/>
        <v>1534.672</v>
      </c>
      <c r="FG97" s="735" t="s">
        <v>553</v>
      </c>
      <c r="FH97" s="734" t="s">
        <v>717</v>
      </c>
      <c r="FI97" s="732">
        <v>0</v>
      </c>
      <c r="FJ97" s="733">
        <v>0</v>
      </c>
      <c r="FK97" s="733">
        <v>0</v>
      </c>
      <c r="FL97" s="733">
        <v>0</v>
      </c>
      <c r="FM97" s="426">
        <f t="shared" si="99"/>
        <v>0</v>
      </c>
      <c r="FN97" s="426">
        <f t="shared" si="100"/>
        <v>0</v>
      </c>
      <c r="FO97" s="426">
        <f t="shared" si="101"/>
        <v>0</v>
      </c>
      <c r="FP97" s="426">
        <f t="shared" si="102"/>
        <v>0</v>
      </c>
      <c r="FT97" s="427" t="s">
        <v>355</v>
      </c>
      <c r="FU97" s="93" t="s">
        <v>606</v>
      </c>
      <c r="FV97" s="94">
        <v>2000000</v>
      </c>
      <c r="FW97" s="94">
        <v>0</v>
      </c>
      <c r="FX97" s="94">
        <v>0</v>
      </c>
      <c r="FY97" s="426">
        <f t="shared" si="103"/>
        <v>2000</v>
      </c>
      <c r="FZ97" s="426">
        <f t="shared" si="104"/>
        <v>0</v>
      </c>
      <c r="GA97" s="426">
        <f t="shared" si="105"/>
        <v>0</v>
      </c>
      <c r="GG97" s="762" t="s">
        <v>553</v>
      </c>
      <c r="GH97" s="763" t="s">
        <v>717</v>
      </c>
      <c r="GI97" s="764">
        <v>0</v>
      </c>
      <c r="GJ97" s="764">
        <v>0</v>
      </c>
      <c r="GK97" s="764">
        <v>0</v>
      </c>
      <c r="GL97" s="764">
        <v>0</v>
      </c>
      <c r="GM97" s="764">
        <v>0</v>
      </c>
      <c r="GN97" s="426">
        <f t="shared" si="106"/>
        <v>0</v>
      </c>
      <c r="GO97" s="426">
        <f t="shared" si="107"/>
        <v>0</v>
      </c>
      <c r="GP97" s="426">
        <f t="shared" si="108"/>
        <v>0</v>
      </c>
      <c r="GQ97" s="426">
        <f t="shared" si="109"/>
        <v>0</v>
      </c>
      <c r="GR97" s="426">
        <f t="shared" si="110"/>
        <v>0</v>
      </c>
      <c r="GV97" s="780" t="s">
        <v>606</v>
      </c>
      <c r="GW97" s="779">
        <v>4272463</v>
      </c>
      <c r="GX97" s="426">
        <f t="shared" si="111"/>
        <v>4272.4629999999997</v>
      </c>
      <c r="HB97" s="782" t="s">
        <v>395</v>
      </c>
      <c r="HC97" s="764">
        <v>42664398</v>
      </c>
      <c r="HD97" s="764">
        <v>42664398</v>
      </c>
      <c r="HE97" s="764">
        <v>0</v>
      </c>
      <c r="HF97" s="764">
        <v>40759767</v>
      </c>
      <c r="HG97" s="426">
        <f t="shared" si="112"/>
        <v>42664.398000000001</v>
      </c>
      <c r="HH97" s="426">
        <f t="shared" si="113"/>
        <v>0</v>
      </c>
      <c r="HI97" s="426">
        <f t="shared" si="114"/>
        <v>42664.398000000001</v>
      </c>
      <c r="HJ97" s="426">
        <f t="shared" si="115"/>
        <v>0</v>
      </c>
      <c r="HK97" s="426">
        <f t="shared" si="116"/>
        <v>40759.767</v>
      </c>
    </row>
    <row r="98" spans="1:219" ht="15" customHeight="1" x14ac:dyDescent="0.3">
      <c r="A98" s="287" t="s">
        <v>355</v>
      </c>
      <c r="B98" s="288" t="s">
        <v>403</v>
      </c>
      <c r="C98" s="289">
        <v>754122960</v>
      </c>
      <c r="D98" s="290">
        <f t="shared" si="61"/>
        <v>801632.70647999994</v>
      </c>
      <c r="E98" s="289">
        <v>9645933</v>
      </c>
      <c r="F98" s="289">
        <f t="shared" si="62"/>
        <v>10253.626779</v>
      </c>
      <c r="J98" s="291" t="s">
        <v>449</v>
      </c>
      <c r="K98" s="292" t="s">
        <v>416</v>
      </c>
      <c r="L98" s="293">
        <v>239547467</v>
      </c>
      <c r="M98" s="293">
        <f t="shared" si="63"/>
        <v>254638.957421</v>
      </c>
      <c r="Q98" s="291" t="s">
        <v>553</v>
      </c>
      <c r="R98" s="292" t="s">
        <v>402</v>
      </c>
      <c r="S98" s="293">
        <v>10000000</v>
      </c>
      <c r="T98" s="293">
        <v>773500</v>
      </c>
      <c r="U98" s="293">
        <f t="shared" si="64"/>
        <v>10630</v>
      </c>
      <c r="V98" s="293">
        <f t="shared" si="65"/>
        <v>822.23050000000001</v>
      </c>
      <c r="Z98" s="288" t="s">
        <v>406</v>
      </c>
      <c r="AA98" s="289">
        <v>0</v>
      </c>
      <c r="AB98" s="289">
        <f t="shared" si="66"/>
        <v>0</v>
      </c>
      <c r="AF98" s="288" t="s">
        <v>602</v>
      </c>
      <c r="AG98" s="289">
        <v>53104700</v>
      </c>
      <c r="AH98" s="289">
        <f t="shared" si="60"/>
        <v>56450.296099999992</v>
      </c>
      <c r="AI98" s="289">
        <v>9540000</v>
      </c>
      <c r="AL98" s="426"/>
      <c r="AN98" s="423" t="s">
        <v>355</v>
      </c>
      <c r="AO98" s="424" t="s">
        <v>606</v>
      </c>
      <c r="AP98" s="425">
        <v>0</v>
      </c>
      <c r="AQ98" s="425">
        <f t="shared" si="67"/>
        <v>0</v>
      </c>
      <c r="AU98" s="423" t="s">
        <v>553</v>
      </c>
      <c r="AV98" s="424" t="s">
        <v>602</v>
      </c>
      <c r="AW98" s="425">
        <v>54556658</v>
      </c>
      <c r="AX98" s="425">
        <v>53556658</v>
      </c>
      <c r="AY98" s="425">
        <v>1000000</v>
      </c>
      <c r="AZ98" s="426">
        <f t="shared" si="68"/>
        <v>57993.727454</v>
      </c>
      <c r="BA98" s="426">
        <f t="shared" si="69"/>
        <v>56930.727454</v>
      </c>
      <c r="BB98" s="426">
        <f t="shared" si="70"/>
        <v>1063</v>
      </c>
      <c r="BF98" s="423" t="s">
        <v>449</v>
      </c>
      <c r="BG98" s="424" t="s">
        <v>638</v>
      </c>
      <c r="BH98" s="425">
        <v>392905708</v>
      </c>
      <c r="BI98" s="426">
        <f t="shared" si="71"/>
        <v>417658.76760399994</v>
      </c>
      <c r="BM98" s="427" t="s">
        <v>553</v>
      </c>
      <c r="BN98" s="93" t="s">
        <v>601</v>
      </c>
      <c r="BO98" s="94">
        <v>0</v>
      </c>
      <c r="BP98" s="94">
        <v>62836588</v>
      </c>
      <c r="BQ98" s="94">
        <v>60168757</v>
      </c>
      <c r="BR98" s="94">
        <v>2667831</v>
      </c>
      <c r="BS98" s="94">
        <v>34686864</v>
      </c>
      <c r="BT98" s="426">
        <f t="shared" si="72"/>
        <v>66795.293044000005</v>
      </c>
      <c r="BU98" s="426">
        <f t="shared" si="73"/>
        <v>63959.388690999993</v>
      </c>
      <c r="BV98" s="426">
        <f t="shared" si="74"/>
        <v>2835.9043529999999</v>
      </c>
      <c r="BW98" s="426">
        <f t="shared" si="75"/>
        <v>36872.136431999999</v>
      </c>
      <c r="CA98" s="93" t="s">
        <v>405</v>
      </c>
      <c r="CB98" s="426">
        <v>0</v>
      </c>
      <c r="CC98" s="426">
        <f t="shared" si="76"/>
        <v>0</v>
      </c>
      <c r="CG98" s="424" t="s">
        <v>401</v>
      </c>
      <c r="CH98" s="425">
        <v>0</v>
      </c>
      <c r="CI98" s="425">
        <v>85633623</v>
      </c>
      <c r="CJ98" s="425">
        <v>-85633623</v>
      </c>
      <c r="CK98" s="425">
        <v>72936136</v>
      </c>
      <c r="CL98" s="425">
        <v>12697487</v>
      </c>
      <c r="CM98" s="425">
        <v>37863711</v>
      </c>
      <c r="CN98" s="425">
        <f t="shared" si="77"/>
        <v>91028.541249000002</v>
      </c>
      <c r="CO98" s="425">
        <f t="shared" si="78"/>
        <v>77531.112567999997</v>
      </c>
      <c r="CP98" s="425">
        <f t="shared" si="79"/>
        <v>13497.428680999998</v>
      </c>
      <c r="CQ98" s="425">
        <f t="shared" si="80"/>
        <v>40249.124793000003</v>
      </c>
      <c r="CU98" s="424" t="s">
        <v>607</v>
      </c>
      <c r="CV98" s="425">
        <v>-52018046</v>
      </c>
      <c r="CW98" s="425">
        <v>140396698</v>
      </c>
      <c r="CX98" s="426">
        <f t="shared" si="81"/>
        <v>-55295.182897999999</v>
      </c>
      <c r="CY98" s="426">
        <f t="shared" si="82"/>
        <v>149241.68997400001</v>
      </c>
      <c r="DB98" s="568" t="s">
        <v>401</v>
      </c>
      <c r="DC98" s="569">
        <v>84938088</v>
      </c>
      <c r="DD98" s="569">
        <v>76603035</v>
      </c>
      <c r="DE98" s="569">
        <v>8335053</v>
      </c>
      <c r="DF98" s="569">
        <v>44762732</v>
      </c>
      <c r="DG98" s="570">
        <f t="shared" si="83"/>
        <v>90289.187544</v>
      </c>
      <c r="DH98" s="570">
        <f t="shared" si="84"/>
        <v>81429.026205000002</v>
      </c>
      <c r="DI98" s="570">
        <f t="shared" si="85"/>
        <v>8860.1613390000002</v>
      </c>
      <c r="DJ98" s="570">
        <f t="shared" si="86"/>
        <v>47582.784116000003</v>
      </c>
      <c r="DN98" s="93" t="s">
        <v>608</v>
      </c>
      <c r="DO98" s="93">
        <v>1481860</v>
      </c>
      <c r="DP98" s="93">
        <v>608720</v>
      </c>
      <c r="DQ98" s="626">
        <f t="shared" si="87"/>
        <v>1575.2171799999999</v>
      </c>
      <c r="DR98" s="626">
        <f t="shared" si="88"/>
        <v>647.06935999999996</v>
      </c>
      <c r="DV98" s="93" t="s">
        <v>399</v>
      </c>
      <c r="DW98" s="94">
        <v>3468675</v>
      </c>
      <c r="DX98" s="94">
        <v>3468675</v>
      </c>
      <c r="DY98" s="94">
        <v>0</v>
      </c>
      <c r="DZ98" s="94">
        <v>1921675</v>
      </c>
      <c r="EA98" s="94">
        <f t="shared" si="89"/>
        <v>3687.2015249999999</v>
      </c>
      <c r="EB98" s="94">
        <f t="shared" si="90"/>
        <v>3687.2015249999999</v>
      </c>
      <c r="EC98" s="94">
        <f t="shared" si="91"/>
        <v>0</v>
      </c>
      <c r="ED98" s="94">
        <f t="shared" si="92"/>
        <v>2042.7405249999999</v>
      </c>
      <c r="EH98" s="420" t="s">
        <v>607</v>
      </c>
      <c r="EI98" s="420">
        <v>92524769</v>
      </c>
      <c r="EJ98" s="426">
        <f t="shared" si="93"/>
        <v>98353.829446999996</v>
      </c>
      <c r="EN98" s="420" t="s">
        <v>600</v>
      </c>
      <c r="EO98" s="426">
        <v>9395760</v>
      </c>
      <c r="EP98" s="426">
        <v>9395760</v>
      </c>
      <c r="EQ98" s="426">
        <v>0</v>
      </c>
      <c r="ER98" s="426">
        <v>8839075</v>
      </c>
      <c r="ES98" s="700">
        <f t="shared" si="94"/>
        <v>9987.6928800000005</v>
      </c>
      <c r="ET98" s="700">
        <f t="shared" si="95"/>
        <v>9987.6928800000005</v>
      </c>
      <c r="EU98" s="700">
        <f t="shared" si="96"/>
        <v>0</v>
      </c>
      <c r="EV98" s="700">
        <f t="shared" si="97"/>
        <v>9395.9367249999996</v>
      </c>
      <c r="EZ98" s="730" t="s">
        <v>553</v>
      </c>
      <c r="FA98" s="731" t="s">
        <v>410</v>
      </c>
      <c r="FB98" s="420">
        <v>1534672</v>
      </c>
      <c r="FC98" s="426">
        <f t="shared" si="98"/>
        <v>1534.672</v>
      </c>
      <c r="FG98" s="735" t="s">
        <v>553</v>
      </c>
      <c r="FH98" s="734" t="s">
        <v>600</v>
      </c>
      <c r="FI98" s="732">
        <v>10695760</v>
      </c>
      <c r="FJ98" s="733">
        <v>9395760</v>
      </c>
      <c r="FK98" s="733">
        <v>1300000</v>
      </c>
      <c r="FL98" s="733">
        <v>8974695</v>
      </c>
      <c r="FM98" s="426">
        <f t="shared" si="99"/>
        <v>10695.76</v>
      </c>
      <c r="FN98" s="426">
        <f t="shared" si="100"/>
        <v>9395.76</v>
      </c>
      <c r="FO98" s="426">
        <f t="shared" si="101"/>
        <v>1300</v>
      </c>
      <c r="FP98" s="426">
        <f t="shared" si="102"/>
        <v>8974.6949999999997</v>
      </c>
      <c r="FT98" s="427" t="s">
        <v>553</v>
      </c>
      <c r="FU98" s="93" t="s">
        <v>405</v>
      </c>
      <c r="FV98" s="94">
        <v>2000000</v>
      </c>
      <c r="FW98" s="94">
        <v>0</v>
      </c>
      <c r="FX98" s="94">
        <v>0</v>
      </c>
      <c r="FY98" s="426">
        <f t="shared" si="103"/>
        <v>2000</v>
      </c>
      <c r="FZ98" s="426">
        <f t="shared" si="104"/>
        <v>0</v>
      </c>
      <c r="GA98" s="426">
        <f t="shared" si="105"/>
        <v>0</v>
      </c>
      <c r="GG98" s="762" t="s">
        <v>553</v>
      </c>
      <c r="GH98" s="763" t="s">
        <v>600</v>
      </c>
      <c r="GI98" s="764">
        <v>10384091</v>
      </c>
      <c r="GJ98" s="764">
        <v>10384091</v>
      </c>
      <c r="GK98" s="764">
        <v>0</v>
      </c>
      <c r="GL98" s="764">
        <v>9395756</v>
      </c>
      <c r="GM98" s="764">
        <v>988335</v>
      </c>
      <c r="GN98" s="426">
        <f t="shared" si="106"/>
        <v>10384.091</v>
      </c>
      <c r="GO98" s="426">
        <f t="shared" si="107"/>
        <v>10384.091</v>
      </c>
      <c r="GP98" s="426">
        <f t="shared" si="108"/>
        <v>0</v>
      </c>
      <c r="GQ98" s="426">
        <f t="shared" si="109"/>
        <v>9395.7559999999994</v>
      </c>
      <c r="GR98" s="426">
        <f t="shared" si="110"/>
        <v>988.33500000000004</v>
      </c>
      <c r="GV98" s="780" t="s">
        <v>405</v>
      </c>
      <c r="GW98" s="779">
        <v>4254029</v>
      </c>
      <c r="GX98" s="426">
        <f t="shared" si="111"/>
        <v>4254.0290000000005</v>
      </c>
      <c r="HB98" s="782" t="s">
        <v>596</v>
      </c>
      <c r="HC98" s="764">
        <v>17516788</v>
      </c>
      <c r="HD98" s="764">
        <v>17516788</v>
      </c>
      <c r="HE98" s="764">
        <v>0</v>
      </c>
      <c r="HF98" s="764">
        <v>17516788</v>
      </c>
      <c r="HG98" s="426">
        <f t="shared" si="112"/>
        <v>17516.788</v>
      </c>
      <c r="HH98" s="426">
        <f t="shared" si="113"/>
        <v>0</v>
      </c>
      <c r="HI98" s="426">
        <f t="shared" si="114"/>
        <v>17516.788</v>
      </c>
      <c r="HJ98" s="426">
        <f t="shared" si="115"/>
        <v>0</v>
      </c>
      <c r="HK98" s="426">
        <f t="shared" si="116"/>
        <v>17516.788</v>
      </c>
    </row>
    <row r="99" spans="1:219" ht="15" customHeight="1" x14ac:dyDescent="0.3">
      <c r="A99" s="287" t="s">
        <v>553</v>
      </c>
      <c r="B99" s="288" t="s">
        <v>404</v>
      </c>
      <c r="C99" s="289">
        <v>601706293</v>
      </c>
      <c r="D99" s="290">
        <f t="shared" si="61"/>
        <v>639613.78945899988</v>
      </c>
      <c r="E99" s="289">
        <v>7712720</v>
      </c>
      <c r="F99" s="289">
        <f t="shared" si="62"/>
        <v>8198.6213599999992</v>
      </c>
      <c r="J99" s="291" t="s">
        <v>355</v>
      </c>
      <c r="K99" s="292" t="s">
        <v>422</v>
      </c>
      <c r="L99" s="293">
        <v>239547467</v>
      </c>
      <c r="M99" s="293">
        <f t="shared" si="63"/>
        <v>254638.957421</v>
      </c>
      <c r="Q99" s="291" t="s">
        <v>355</v>
      </c>
      <c r="R99" s="292" t="s">
        <v>403</v>
      </c>
      <c r="S99" s="293">
        <v>754122960</v>
      </c>
      <c r="T99" s="293">
        <v>30862382</v>
      </c>
      <c r="U99" s="293">
        <f t="shared" si="64"/>
        <v>801632.70647999994</v>
      </c>
      <c r="V99" s="293">
        <f t="shared" si="65"/>
        <v>32806.712066</v>
      </c>
      <c r="Z99" s="288" t="s">
        <v>407</v>
      </c>
      <c r="AA99" s="289">
        <v>1300000</v>
      </c>
      <c r="AB99" s="289">
        <f t="shared" si="66"/>
        <v>1381.8999999999999</v>
      </c>
      <c r="AF99" s="288" t="s">
        <v>603</v>
      </c>
      <c r="AG99" s="289">
        <v>3300000</v>
      </c>
      <c r="AH99" s="289">
        <f t="shared" ref="AH99:AH130" si="117">+AG99/$AJ$2*$AK$2</f>
        <v>3507.8999999999996</v>
      </c>
      <c r="AI99" s="289">
        <v>1932161</v>
      </c>
      <c r="AL99" s="426"/>
      <c r="AN99" s="423" t="s">
        <v>553</v>
      </c>
      <c r="AO99" s="424" t="s">
        <v>405</v>
      </c>
      <c r="AP99" s="425">
        <v>0</v>
      </c>
      <c r="AQ99" s="425">
        <f t="shared" si="67"/>
        <v>0</v>
      </c>
      <c r="AU99" s="423" t="s">
        <v>553</v>
      </c>
      <c r="AV99" s="424" t="s">
        <v>603</v>
      </c>
      <c r="AW99" s="425">
        <v>3300000</v>
      </c>
      <c r="AX99" s="425">
        <v>2555157</v>
      </c>
      <c r="AY99" s="425">
        <v>744843</v>
      </c>
      <c r="AZ99" s="426">
        <f t="shared" si="68"/>
        <v>3507.8999999999996</v>
      </c>
      <c r="BA99" s="426">
        <f t="shared" si="69"/>
        <v>2716.131891</v>
      </c>
      <c r="BB99" s="426">
        <f t="shared" si="70"/>
        <v>791.76810899999987</v>
      </c>
      <c r="BF99" s="423" t="s">
        <v>355</v>
      </c>
      <c r="BG99" s="424" t="s">
        <v>639</v>
      </c>
      <c r="BH99" s="425">
        <v>392905708</v>
      </c>
      <c r="BI99" s="426">
        <f t="shared" si="71"/>
        <v>417658.76760399994</v>
      </c>
      <c r="BM99" s="427" t="s">
        <v>553</v>
      </c>
      <c r="BN99" s="93" t="s">
        <v>602</v>
      </c>
      <c r="BO99" s="94">
        <v>0</v>
      </c>
      <c r="BP99" s="94">
        <v>56656658</v>
      </c>
      <c r="BQ99" s="94">
        <v>54108658</v>
      </c>
      <c r="BR99" s="94">
        <v>2548000</v>
      </c>
      <c r="BS99" s="94">
        <v>23145658</v>
      </c>
      <c r="BT99" s="426">
        <f t="shared" si="72"/>
        <v>60226.027454000003</v>
      </c>
      <c r="BU99" s="426">
        <f t="shared" si="73"/>
        <v>57517.503453999998</v>
      </c>
      <c r="BV99" s="426">
        <f t="shared" si="74"/>
        <v>2708.5239999999999</v>
      </c>
      <c r="BW99" s="426">
        <f t="shared" si="75"/>
        <v>24603.834454</v>
      </c>
      <c r="CA99" s="93" t="s">
        <v>607</v>
      </c>
      <c r="CB99" s="426">
        <v>85515549</v>
      </c>
      <c r="CC99" s="426">
        <f t="shared" si="76"/>
        <v>90903.028586999993</v>
      </c>
      <c r="CG99" s="424" t="s">
        <v>601</v>
      </c>
      <c r="CH99" s="425">
        <v>0</v>
      </c>
      <c r="CI99" s="425">
        <v>82909009</v>
      </c>
      <c r="CJ99" s="425">
        <v>-82909009</v>
      </c>
      <c r="CK99" s="425">
        <v>79870086</v>
      </c>
      <c r="CL99" s="425">
        <v>3038923</v>
      </c>
      <c r="CM99" s="425">
        <v>46831958</v>
      </c>
      <c r="CN99" s="425">
        <f t="shared" si="77"/>
        <v>88132.276567000008</v>
      </c>
      <c r="CO99" s="425">
        <f t="shared" si="78"/>
        <v>84901.901417999994</v>
      </c>
      <c r="CP99" s="425">
        <f t="shared" si="79"/>
        <v>3230.3751489999995</v>
      </c>
      <c r="CQ99" s="425">
        <f t="shared" si="80"/>
        <v>49782.371353999995</v>
      </c>
      <c r="CU99" s="424" t="s">
        <v>406</v>
      </c>
      <c r="CV99" s="425">
        <v>19746000</v>
      </c>
      <c r="CW99" s="425">
        <v>19746000</v>
      </c>
      <c r="CX99" s="426">
        <f t="shared" si="81"/>
        <v>20989.998</v>
      </c>
      <c r="CY99" s="426">
        <f t="shared" si="82"/>
        <v>20989.998</v>
      </c>
      <c r="DB99" s="568" t="s">
        <v>601</v>
      </c>
      <c r="DC99" s="569">
        <v>87094604</v>
      </c>
      <c r="DD99" s="569">
        <v>82375722</v>
      </c>
      <c r="DE99" s="569">
        <v>4718882</v>
      </c>
      <c r="DF99" s="569">
        <v>61879221</v>
      </c>
      <c r="DG99" s="570">
        <f t="shared" si="83"/>
        <v>92581.564052000002</v>
      </c>
      <c r="DH99" s="570">
        <f t="shared" si="84"/>
        <v>87565.392485999982</v>
      </c>
      <c r="DI99" s="570">
        <f t="shared" si="85"/>
        <v>5016.1715659999991</v>
      </c>
      <c r="DJ99" s="570">
        <f t="shared" si="86"/>
        <v>65777.611922999989</v>
      </c>
      <c r="DN99" s="93" t="s">
        <v>410</v>
      </c>
      <c r="DO99" s="93">
        <v>601860</v>
      </c>
      <c r="DP99" s="93">
        <v>458780</v>
      </c>
      <c r="DQ99" s="626">
        <f t="shared" si="87"/>
        <v>639.77717999999993</v>
      </c>
      <c r="DR99" s="626">
        <f t="shared" si="88"/>
        <v>487.68313999999992</v>
      </c>
      <c r="DV99" s="93" t="s">
        <v>400</v>
      </c>
      <c r="DW99" s="94">
        <v>324513716</v>
      </c>
      <c r="DX99" s="94">
        <v>298629982</v>
      </c>
      <c r="DY99" s="94">
        <v>25883734</v>
      </c>
      <c r="DZ99" s="94">
        <v>187313675</v>
      </c>
      <c r="EA99" s="94">
        <f>+DW99/$EE$2*$EF$2</f>
        <v>344958.08010800002</v>
      </c>
      <c r="EB99" s="94">
        <f t="shared" si="90"/>
        <v>317443.670866</v>
      </c>
      <c r="EC99" s="94">
        <f t="shared" si="91"/>
        <v>27514.409241999998</v>
      </c>
      <c r="ED99" s="94">
        <f t="shared" si="92"/>
        <v>199114.43652499997</v>
      </c>
      <c r="EH99" s="420" t="s">
        <v>406</v>
      </c>
      <c r="EI99" s="420">
        <v>33200000</v>
      </c>
      <c r="EJ99" s="426">
        <f t="shared" si="93"/>
        <v>35291.599999999999</v>
      </c>
      <c r="EN99" s="420" t="s">
        <v>397</v>
      </c>
      <c r="EO99" s="426">
        <v>11969275</v>
      </c>
      <c r="EP99" s="426">
        <v>6667144</v>
      </c>
      <c r="EQ99" s="426">
        <v>5302131</v>
      </c>
      <c r="ER99" s="426">
        <v>6667144</v>
      </c>
      <c r="ES99" s="700">
        <f t="shared" si="94"/>
        <v>12723.339324999999</v>
      </c>
      <c r="ET99" s="700">
        <f t="shared" si="95"/>
        <v>7087.1740719999998</v>
      </c>
      <c r="EU99" s="700">
        <f t="shared" si="96"/>
        <v>5636.1652530000001</v>
      </c>
      <c r="EV99" s="700">
        <f t="shared" si="97"/>
        <v>7087.1740719999998</v>
      </c>
      <c r="EZ99" s="730" t="s">
        <v>553</v>
      </c>
      <c r="FA99" s="731" t="s">
        <v>411</v>
      </c>
      <c r="FB99" s="420">
        <v>0</v>
      </c>
      <c r="FC99" s="426">
        <f t="shared" si="98"/>
        <v>0</v>
      </c>
      <c r="FG99" s="735" t="s">
        <v>355</v>
      </c>
      <c r="FH99" s="734" t="s">
        <v>397</v>
      </c>
      <c r="FI99" s="732">
        <v>11969275</v>
      </c>
      <c r="FJ99" s="733">
        <v>6788949</v>
      </c>
      <c r="FK99" s="733">
        <v>5180326</v>
      </c>
      <c r="FL99" s="733">
        <v>6788949</v>
      </c>
      <c r="FM99" s="426">
        <f t="shared" si="99"/>
        <v>11969.275</v>
      </c>
      <c r="FN99" s="426">
        <f t="shared" si="100"/>
        <v>6788.9489999999996</v>
      </c>
      <c r="FO99" s="426">
        <f t="shared" si="101"/>
        <v>5180.326</v>
      </c>
      <c r="FP99" s="426">
        <f t="shared" si="102"/>
        <v>6788.9489999999996</v>
      </c>
      <c r="FT99" s="427" t="s">
        <v>355</v>
      </c>
      <c r="FU99" s="93" t="s">
        <v>607</v>
      </c>
      <c r="FV99" s="94">
        <v>29121839</v>
      </c>
      <c r="FW99" s="94">
        <v>102881941</v>
      </c>
      <c r="FX99" s="94">
        <v>87860673</v>
      </c>
      <c r="FY99" s="426">
        <f t="shared" si="103"/>
        <v>29121.839</v>
      </c>
      <c r="FZ99" s="426">
        <f t="shared" si="104"/>
        <v>102881.94100000001</v>
      </c>
      <c r="GA99" s="426">
        <f t="shared" si="105"/>
        <v>87860.672999999995</v>
      </c>
      <c r="GG99" s="762" t="s">
        <v>355</v>
      </c>
      <c r="GH99" s="763" t="s">
        <v>397</v>
      </c>
      <c r="GI99" s="764">
        <v>8219051</v>
      </c>
      <c r="GJ99" s="764">
        <v>7641583</v>
      </c>
      <c r="GK99" s="764">
        <v>577468</v>
      </c>
      <c r="GL99" s="764">
        <v>7538725</v>
      </c>
      <c r="GM99" s="764">
        <v>102858</v>
      </c>
      <c r="GN99" s="426">
        <f t="shared" si="106"/>
        <v>8219.0509999999995</v>
      </c>
      <c r="GO99" s="426">
        <f t="shared" si="107"/>
        <v>7641.5829999999996</v>
      </c>
      <c r="GP99" s="426">
        <f t="shared" si="108"/>
        <v>577.46799999999996</v>
      </c>
      <c r="GQ99" s="426">
        <f t="shared" si="109"/>
        <v>7538.7250000000004</v>
      </c>
      <c r="GR99" s="426">
        <f t="shared" si="110"/>
        <v>102.858</v>
      </c>
      <c r="GV99" s="780" t="s">
        <v>504</v>
      </c>
      <c r="GW99" s="779">
        <v>18434</v>
      </c>
      <c r="GX99" s="426">
        <f t="shared" si="111"/>
        <v>18.434000000000001</v>
      </c>
      <c r="HB99" s="782" t="s">
        <v>597</v>
      </c>
      <c r="HC99" s="764">
        <v>13097523</v>
      </c>
      <c r="HD99" s="764">
        <v>13097523</v>
      </c>
      <c r="HE99" s="764">
        <v>0</v>
      </c>
      <c r="HF99" s="764">
        <v>13097523</v>
      </c>
      <c r="HG99" s="426">
        <f t="shared" si="112"/>
        <v>13097.522999999999</v>
      </c>
      <c r="HH99" s="426">
        <f t="shared" si="113"/>
        <v>0</v>
      </c>
      <c r="HI99" s="426">
        <f t="shared" si="114"/>
        <v>13097.522999999999</v>
      </c>
      <c r="HJ99" s="426">
        <f t="shared" si="115"/>
        <v>0</v>
      </c>
      <c r="HK99" s="426">
        <f t="shared" si="116"/>
        <v>13097.522999999999</v>
      </c>
    </row>
    <row r="100" spans="1:219" ht="15" customHeight="1" x14ac:dyDescent="0.3">
      <c r="A100" s="287" t="s">
        <v>553</v>
      </c>
      <c r="B100" s="288" t="s">
        <v>604</v>
      </c>
      <c r="C100" s="289">
        <v>44416667</v>
      </c>
      <c r="D100" s="290">
        <f t="shared" si="61"/>
        <v>47214.917021000001</v>
      </c>
      <c r="E100" s="289">
        <v>1933213</v>
      </c>
      <c r="F100" s="289">
        <f t="shared" si="62"/>
        <v>2055.0054190000001</v>
      </c>
      <c r="Q100" s="291" t="s">
        <v>553</v>
      </c>
      <c r="R100" s="292" t="s">
        <v>404</v>
      </c>
      <c r="S100" s="293">
        <v>601706293</v>
      </c>
      <c r="T100" s="293">
        <v>26069033</v>
      </c>
      <c r="U100" s="293">
        <f t="shared" si="64"/>
        <v>639613.78945899988</v>
      </c>
      <c r="V100" s="293">
        <f t="shared" si="65"/>
        <v>27711.382078999999</v>
      </c>
      <c r="Z100" s="288" t="s">
        <v>408</v>
      </c>
      <c r="AA100" s="289">
        <v>72243799</v>
      </c>
      <c r="AB100" s="289">
        <f t="shared" si="66"/>
        <v>76795.158337000001</v>
      </c>
      <c r="AF100" s="288" t="s">
        <v>402</v>
      </c>
      <c r="AG100" s="289">
        <v>10000000</v>
      </c>
      <c r="AH100" s="289">
        <f t="shared" si="117"/>
        <v>10630</v>
      </c>
      <c r="AI100" s="289">
        <v>2320500</v>
      </c>
      <c r="AL100" s="426"/>
      <c r="AN100" s="423" t="s">
        <v>355</v>
      </c>
      <c r="AO100" s="424" t="s">
        <v>607</v>
      </c>
      <c r="AP100" s="425">
        <v>66255600</v>
      </c>
      <c r="AQ100" s="425">
        <f t="shared" si="67"/>
        <v>70429.702799999999</v>
      </c>
      <c r="AU100" s="423" t="s">
        <v>553</v>
      </c>
      <c r="AV100" s="424" t="s">
        <v>402</v>
      </c>
      <c r="AW100" s="425">
        <v>9282000</v>
      </c>
      <c r="AX100" s="425">
        <v>9282000</v>
      </c>
      <c r="AY100" s="425">
        <v>0</v>
      </c>
      <c r="AZ100" s="426">
        <f t="shared" si="68"/>
        <v>9866.7659999999996</v>
      </c>
      <c r="BA100" s="426">
        <f t="shared" si="69"/>
        <v>9866.7659999999996</v>
      </c>
      <c r="BB100" s="426">
        <f t="shared" si="70"/>
        <v>0</v>
      </c>
      <c r="BF100" s="423" t="s">
        <v>449</v>
      </c>
      <c r="BG100" s="424" t="s">
        <v>618</v>
      </c>
      <c r="BH100" s="425">
        <v>15029540</v>
      </c>
      <c r="BI100" s="426">
        <f t="shared" si="71"/>
        <v>15976.401019999999</v>
      </c>
      <c r="BM100" s="427" t="s">
        <v>553</v>
      </c>
      <c r="BN100" s="93" t="s">
        <v>603</v>
      </c>
      <c r="BO100" s="94">
        <v>0</v>
      </c>
      <c r="BP100" s="94">
        <v>3300000</v>
      </c>
      <c r="BQ100" s="94">
        <v>2555157</v>
      </c>
      <c r="BR100" s="94">
        <v>744843</v>
      </c>
      <c r="BS100" s="94">
        <v>2555157</v>
      </c>
      <c r="BT100" s="426">
        <f t="shared" si="72"/>
        <v>3507.8999999999996</v>
      </c>
      <c r="BU100" s="426">
        <f t="shared" si="73"/>
        <v>2716.131891</v>
      </c>
      <c r="BV100" s="426">
        <f t="shared" si="74"/>
        <v>791.76810899999987</v>
      </c>
      <c r="BW100" s="426">
        <f t="shared" si="75"/>
        <v>2716.131891</v>
      </c>
      <c r="CA100" s="93" t="s">
        <v>406</v>
      </c>
      <c r="CB100" s="426">
        <v>20000000</v>
      </c>
      <c r="CC100" s="426">
        <f t="shared" si="76"/>
        <v>21260</v>
      </c>
      <c r="CG100" s="424" t="s">
        <v>602</v>
      </c>
      <c r="CH100" s="425">
        <v>0</v>
      </c>
      <c r="CI100" s="425">
        <v>56259190</v>
      </c>
      <c r="CJ100" s="425">
        <v>-56259190</v>
      </c>
      <c r="CK100" s="425">
        <v>55667458</v>
      </c>
      <c r="CL100" s="425">
        <v>591732</v>
      </c>
      <c r="CM100" s="425">
        <v>25644258</v>
      </c>
      <c r="CN100" s="425">
        <f t="shared" si="77"/>
        <v>59803.518969999997</v>
      </c>
      <c r="CO100" s="425">
        <f t="shared" si="78"/>
        <v>59174.507853999996</v>
      </c>
      <c r="CP100" s="425">
        <f t="shared" si="79"/>
        <v>629.0111159999999</v>
      </c>
      <c r="CQ100" s="425">
        <f t="shared" si="80"/>
        <v>27259.846254</v>
      </c>
      <c r="CU100" s="424" t="s">
        <v>407</v>
      </c>
      <c r="CV100" s="425">
        <v>-680000</v>
      </c>
      <c r="CW100" s="425">
        <v>0</v>
      </c>
      <c r="CX100" s="426">
        <f t="shared" si="81"/>
        <v>-722.83999999999992</v>
      </c>
      <c r="CY100" s="426">
        <f t="shared" si="82"/>
        <v>0</v>
      </c>
      <c r="DB100" s="568" t="s">
        <v>602</v>
      </c>
      <c r="DC100" s="569">
        <v>59058590</v>
      </c>
      <c r="DD100" s="569">
        <v>58700258</v>
      </c>
      <c r="DE100" s="569">
        <v>358332</v>
      </c>
      <c r="DF100" s="569">
        <v>34621258</v>
      </c>
      <c r="DG100" s="570">
        <f t="shared" si="83"/>
        <v>62779.281169999995</v>
      </c>
      <c r="DH100" s="570">
        <f t="shared" si="84"/>
        <v>62398.374254000002</v>
      </c>
      <c r="DI100" s="570">
        <f t="shared" si="85"/>
        <v>380.90691599999997</v>
      </c>
      <c r="DJ100" s="570">
        <f t="shared" si="86"/>
        <v>36802.397254000003</v>
      </c>
      <c r="DN100" s="93" t="s">
        <v>609</v>
      </c>
      <c r="DO100" s="93">
        <v>880000</v>
      </c>
      <c r="DP100" s="93">
        <v>149940</v>
      </c>
      <c r="DQ100" s="626">
        <f t="shared" si="87"/>
        <v>935.43999999999994</v>
      </c>
      <c r="DR100" s="626">
        <f t="shared" si="88"/>
        <v>159.38621999999998</v>
      </c>
      <c r="DV100" s="93" t="s">
        <v>401</v>
      </c>
      <c r="DW100" s="94">
        <v>81604202</v>
      </c>
      <c r="DX100" s="94">
        <v>76603035</v>
      </c>
      <c r="DY100" s="94">
        <v>5001167</v>
      </c>
      <c r="DZ100" s="94">
        <v>49975647</v>
      </c>
      <c r="EA100" s="94">
        <f t="shared" si="89"/>
        <v>86745.266726000002</v>
      </c>
      <c r="EB100" s="94">
        <f t="shared" si="90"/>
        <v>81429.026205000002</v>
      </c>
      <c r="EC100" s="94">
        <f t="shared" si="91"/>
        <v>5316.2405209999997</v>
      </c>
      <c r="ED100" s="94">
        <f t="shared" si="92"/>
        <v>53124.112760999997</v>
      </c>
      <c r="EH100" s="420" t="s">
        <v>407</v>
      </c>
      <c r="EI100" s="420">
        <v>1300000</v>
      </c>
      <c r="EJ100" s="426">
        <f t="shared" si="93"/>
        <v>1381.8999999999999</v>
      </c>
      <c r="EN100" s="420" t="s">
        <v>398</v>
      </c>
      <c r="EO100" s="426">
        <v>10000000</v>
      </c>
      <c r="EP100" s="426">
        <v>4697869</v>
      </c>
      <c r="EQ100" s="426">
        <v>5302131</v>
      </c>
      <c r="ER100" s="426">
        <v>4697869</v>
      </c>
      <c r="ES100" s="700">
        <f t="shared" si="94"/>
        <v>10630</v>
      </c>
      <c r="ET100" s="700">
        <f t="shared" si="95"/>
        <v>4993.834746999999</v>
      </c>
      <c r="EU100" s="700">
        <f t="shared" si="96"/>
        <v>5636.1652530000001</v>
      </c>
      <c r="EV100" s="700">
        <f t="shared" si="97"/>
        <v>4993.834746999999</v>
      </c>
      <c r="EZ100" s="730" t="s">
        <v>449</v>
      </c>
      <c r="FA100" s="731" t="s">
        <v>412</v>
      </c>
      <c r="FB100" s="420">
        <v>11418412</v>
      </c>
      <c r="FC100" s="426">
        <f t="shared" si="98"/>
        <v>11418.412</v>
      </c>
      <c r="FG100" s="735" t="s">
        <v>553</v>
      </c>
      <c r="FH100" s="734" t="s">
        <v>398</v>
      </c>
      <c r="FI100" s="732">
        <v>10000000</v>
      </c>
      <c r="FJ100" s="733">
        <v>4819674</v>
      </c>
      <c r="FK100" s="733">
        <v>5180326</v>
      </c>
      <c r="FL100" s="733">
        <v>4819674</v>
      </c>
      <c r="FM100" s="426">
        <f t="shared" si="99"/>
        <v>10000</v>
      </c>
      <c r="FN100" s="426">
        <f t="shared" si="100"/>
        <v>4819.674</v>
      </c>
      <c r="FO100" s="426">
        <f t="shared" si="101"/>
        <v>5180.326</v>
      </c>
      <c r="FP100" s="426">
        <f t="shared" si="102"/>
        <v>4819.674</v>
      </c>
      <c r="FT100" s="427" t="s">
        <v>553</v>
      </c>
      <c r="FU100" s="93" t="s">
        <v>406</v>
      </c>
      <c r="FV100" s="94">
        <v>16036905</v>
      </c>
      <c r="FW100" s="94">
        <v>100702154</v>
      </c>
      <c r="FX100" s="94">
        <v>19746000</v>
      </c>
      <c r="FY100" s="426">
        <f t="shared" si="103"/>
        <v>16036.905000000001</v>
      </c>
      <c r="FZ100" s="426">
        <f t="shared" si="104"/>
        <v>100702.15399999999</v>
      </c>
      <c r="GA100" s="426">
        <f t="shared" si="105"/>
        <v>19746</v>
      </c>
      <c r="GG100" s="762" t="s">
        <v>553</v>
      </c>
      <c r="GH100" s="763" t="s">
        <v>398</v>
      </c>
      <c r="GI100" s="764">
        <v>6249776</v>
      </c>
      <c r="GJ100" s="764">
        <v>5672308</v>
      </c>
      <c r="GK100" s="764">
        <v>577468</v>
      </c>
      <c r="GL100" s="764">
        <v>5569450</v>
      </c>
      <c r="GM100" s="764">
        <v>102858</v>
      </c>
      <c r="GN100" s="426">
        <f t="shared" si="106"/>
        <v>6249.7759999999998</v>
      </c>
      <c r="GO100" s="426">
        <f t="shared" si="107"/>
        <v>5672.308</v>
      </c>
      <c r="GP100" s="426">
        <f t="shared" si="108"/>
        <v>577.46799999999996</v>
      </c>
      <c r="GQ100" s="426">
        <f t="shared" si="109"/>
        <v>5569.45</v>
      </c>
      <c r="GR100" s="426">
        <f t="shared" si="110"/>
        <v>102.858</v>
      </c>
      <c r="GV100" s="780" t="s">
        <v>607</v>
      </c>
      <c r="GW100" s="779">
        <v>290196955</v>
      </c>
      <c r="GX100" s="426">
        <f t="shared" si="111"/>
        <v>290196.95500000002</v>
      </c>
      <c r="HB100" s="782" t="s">
        <v>598</v>
      </c>
      <c r="HC100" s="764">
        <v>749700</v>
      </c>
      <c r="HD100" s="764">
        <v>749700</v>
      </c>
      <c r="HE100" s="764">
        <v>0</v>
      </c>
      <c r="HF100" s="764">
        <v>749700</v>
      </c>
      <c r="HG100" s="426">
        <f t="shared" si="112"/>
        <v>749.7</v>
      </c>
      <c r="HH100" s="426">
        <f t="shared" si="113"/>
        <v>0</v>
      </c>
      <c r="HI100" s="426">
        <f t="shared" si="114"/>
        <v>749.7</v>
      </c>
      <c r="HJ100" s="426">
        <f t="shared" si="115"/>
        <v>0</v>
      </c>
      <c r="HK100" s="426">
        <f t="shared" si="116"/>
        <v>749.7</v>
      </c>
    </row>
    <row r="101" spans="1:219" ht="15" customHeight="1" x14ac:dyDescent="0.3">
      <c r="A101" s="287" t="s">
        <v>553</v>
      </c>
      <c r="B101" s="288" t="s">
        <v>605</v>
      </c>
      <c r="C101" s="289">
        <v>95000000</v>
      </c>
      <c r="D101" s="290">
        <f t="shared" si="61"/>
        <v>100985</v>
      </c>
      <c r="E101" s="289">
        <v>0</v>
      </c>
      <c r="F101" s="289">
        <f t="shared" si="62"/>
        <v>0</v>
      </c>
      <c r="Q101" s="291" t="s">
        <v>553</v>
      </c>
      <c r="R101" s="292" t="s">
        <v>604</v>
      </c>
      <c r="S101" s="293">
        <v>44416667</v>
      </c>
      <c r="T101" s="293">
        <v>3752099</v>
      </c>
      <c r="U101" s="293">
        <f t="shared" si="64"/>
        <v>47214.917021000001</v>
      </c>
      <c r="V101" s="293">
        <f t="shared" si="65"/>
        <v>3988.481237</v>
      </c>
      <c r="Z101" s="288" t="s">
        <v>608</v>
      </c>
      <c r="AA101" s="289">
        <v>1631436</v>
      </c>
      <c r="AB101" s="289">
        <f t="shared" si="66"/>
        <v>1734.2164679999998</v>
      </c>
      <c r="AF101" s="288" t="s">
        <v>403</v>
      </c>
      <c r="AG101" s="289">
        <v>745672960</v>
      </c>
      <c r="AH101" s="289">
        <f t="shared" si="117"/>
        <v>792650.35647999996</v>
      </c>
      <c r="AI101" s="289">
        <v>63353560</v>
      </c>
      <c r="AL101" s="426"/>
      <c r="AN101" s="423" t="s">
        <v>553</v>
      </c>
      <c r="AO101" s="424" t="s">
        <v>406</v>
      </c>
      <c r="AP101" s="425">
        <v>54525000</v>
      </c>
      <c r="AQ101" s="425">
        <f t="shared" si="67"/>
        <v>57960.074999999997</v>
      </c>
      <c r="AU101" s="423" t="s">
        <v>355</v>
      </c>
      <c r="AV101" s="424" t="s">
        <v>403</v>
      </c>
      <c r="AW101" s="425">
        <v>745172960</v>
      </c>
      <c r="AX101" s="425">
        <v>667192099</v>
      </c>
      <c r="AY101" s="425">
        <v>77980861</v>
      </c>
      <c r="AZ101" s="426">
        <f t="shared" si="68"/>
        <v>792118.85647999996</v>
      </c>
      <c r="BA101" s="426">
        <f t="shared" si="69"/>
        <v>709225.20123700006</v>
      </c>
      <c r="BB101" s="426">
        <f t="shared" si="70"/>
        <v>82893.655243000001</v>
      </c>
      <c r="BF101" s="423" t="s">
        <v>355</v>
      </c>
      <c r="BG101" s="424" t="s">
        <v>415</v>
      </c>
      <c r="BH101" s="425">
        <v>15029540</v>
      </c>
      <c r="BI101" s="426">
        <f t="shared" si="71"/>
        <v>15976.401019999999</v>
      </c>
      <c r="BM101" s="427" t="s">
        <v>553</v>
      </c>
      <c r="BN101" s="93" t="s">
        <v>402</v>
      </c>
      <c r="BO101" s="94">
        <v>0</v>
      </c>
      <c r="BP101" s="94">
        <v>10769500</v>
      </c>
      <c r="BQ101" s="94">
        <v>10769500</v>
      </c>
      <c r="BR101" s="94">
        <v>0</v>
      </c>
      <c r="BS101" s="94">
        <v>4224500</v>
      </c>
      <c r="BT101" s="426">
        <f t="shared" si="72"/>
        <v>11447.978499999999</v>
      </c>
      <c r="BU101" s="426">
        <f t="shared" si="73"/>
        <v>11447.978499999999</v>
      </c>
      <c r="BV101" s="426">
        <f t="shared" si="74"/>
        <v>0</v>
      </c>
      <c r="BW101" s="426">
        <f t="shared" si="75"/>
        <v>4490.6435000000001</v>
      </c>
      <c r="CA101" s="93" t="s">
        <v>407</v>
      </c>
      <c r="CB101" s="426">
        <v>0</v>
      </c>
      <c r="CC101" s="426">
        <f t="shared" si="76"/>
        <v>0</v>
      </c>
      <c r="CG101" s="424" t="s">
        <v>603</v>
      </c>
      <c r="CH101" s="425">
        <v>0</v>
      </c>
      <c r="CI101" s="425">
        <v>2555157</v>
      </c>
      <c r="CJ101" s="425">
        <v>-2555157</v>
      </c>
      <c r="CK101" s="425">
        <v>2555157</v>
      </c>
      <c r="CL101" s="425">
        <v>0</v>
      </c>
      <c r="CM101" s="425">
        <v>2555157</v>
      </c>
      <c r="CN101" s="425">
        <f t="shared" si="77"/>
        <v>2716.131891</v>
      </c>
      <c r="CO101" s="425">
        <f t="shared" si="78"/>
        <v>2716.131891</v>
      </c>
      <c r="CP101" s="425">
        <f t="shared" si="79"/>
        <v>0</v>
      </c>
      <c r="CQ101" s="425">
        <f t="shared" si="80"/>
        <v>2716.131891</v>
      </c>
      <c r="CU101" s="424" t="s">
        <v>408</v>
      </c>
      <c r="CV101" s="425">
        <v>-71397016</v>
      </c>
      <c r="CW101" s="425">
        <v>120400798</v>
      </c>
      <c r="CX101" s="426">
        <f t="shared" si="81"/>
        <v>-75895.028007999994</v>
      </c>
      <c r="CY101" s="426">
        <f t="shared" si="82"/>
        <v>127986.04827399999</v>
      </c>
      <c r="DB101" s="568" t="s">
        <v>603</v>
      </c>
      <c r="DC101" s="569">
        <v>2555157</v>
      </c>
      <c r="DD101" s="569">
        <v>2555157</v>
      </c>
      <c r="DE101" s="569">
        <v>0</v>
      </c>
      <c r="DF101" s="569">
        <v>2555157</v>
      </c>
      <c r="DG101" s="570">
        <f t="shared" si="83"/>
        <v>2716.131891</v>
      </c>
      <c r="DH101" s="570">
        <f t="shared" si="84"/>
        <v>2716.131891</v>
      </c>
      <c r="DI101" s="570">
        <f t="shared" si="85"/>
        <v>0</v>
      </c>
      <c r="DJ101" s="570">
        <f t="shared" si="86"/>
        <v>2716.131891</v>
      </c>
      <c r="DN101" s="93" t="s">
        <v>411</v>
      </c>
      <c r="DO101" s="93">
        <v>0</v>
      </c>
      <c r="DP101" s="93">
        <v>0</v>
      </c>
      <c r="DQ101" s="626">
        <f t="shared" si="87"/>
        <v>0</v>
      </c>
      <c r="DR101" s="626">
        <f t="shared" si="88"/>
        <v>0</v>
      </c>
      <c r="DV101" s="1750" t="s">
        <v>601</v>
      </c>
      <c r="DW101" s="1751">
        <f>108368773+2300</f>
        <v>108371073</v>
      </c>
      <c r="DX101" s="1751">
        <v>107498207</v>
      </c>
      <c r="DY101" s="1751">
        <v>870566</v>
      </c>
      <c r="DZ101" s="1751">
        <v>75116493</v>
      </c>
      <c r="EA101" s="1751">
        <f>+DW101/$EE$2*$EF$2-2</f>
        <v>115196.450599</v>
      </c>
      <c r="EB101" s="94">
        <f t="shared" si="90"/>
        <v>114270.59404099999</v>
      </c>
      <c r="EC101" s="94">
        <f t="shared" si="91"/>
        <v>925.41165799999999</v>
      </c>
      <c r="ED101" s="94">
        <f t="shared" si="92"/>
        <v>79848.832058999993</v>
      </c>
      <c r="EH101" s="420" t="s">
        <v>408</v>
      </c>
      <c r="EI101" s="420">
        <v>57961699</v>
      </c>
      <c r="EJ101" s="426">
        <f t="shared" si="93"/>
        <v>61613.286036999998</v>
      </c>
      <c r="EN101" s="420" t="s">
        <v>399</v>
      </c>
      <c r="EO101" s="426">
        <v>1969275</v>
      </c>
      <c r="EP101" s="426">
        <v>1969275</v>
      </c>
      <c r="EQ101" s="426">
        <v>0</v>
      </c>
      <c r="ER101" s="426">
        <v>1969275</v>
      </c>
      <c r="ES101" s="700">
        <f t="shared" si="94"/>
        <v>2093.3393249999999</v>
      </c>
      <c r="ET101" s="700">
        <f t="shared" si="95"/>
        <v>2093.3393249999999</v>
      </c>
      <c r="EU101" s="700">
        <f t="shared" si="96"/>
        <v>0</v>
      </c>
      <c r="EV101" s="700">
        <f t="shared" si="97"/>
        <v>2093.3393249999999</v>
      </c>
      <c r="EZ101" s="730" t="s">
        <v>355</v>
      </c>
      <c r="FA101" s="731" t="s">
        <v>538</v>
      </c>
      <c r="FB101" s="420">
        <v>0</v>
      </c>
      <c r="FC101" s="426">
        <f t="shared" si="98"/>
        <v>0</v>
      </c>
      <c r="FG101" s="735" t="s">
        <v>553</v>
      </c>
      <c r="FH101" s="734" t="s">
        <v>399</v>
      </c>
      <c r="FI101" s="732">
        <v>1969275</v>
      </c>
      <c r="FJ101" s="733">
        <v>1969275</v>
      </c>
      <c r="FK101" s="733">
        <v>0</v>
      </c>
      <c r="FL101" s="733">
        <v>1969275</v>
      </c>
      <c r="FM101" s="426">
        <f t="shared" si="99"/>
        <v>1969.2750000000001</v>
      </c>
      <c r="FN101" s="426">
        <f t="shared" si="100"/>
        <v>1969.2750000000001</v>
      </c>
      <c r="FO101" s="426">
        <f t="shared" si="101"/>
        <v>0</v>
      </c>
      <c r="FP101" s="426">
        <f t="shared" si="102"/>
        <v>1969.2750000000001</v>
      </c>
      <c r="FT101" s="427" t="s">
        <v>553</v>
      </c>
      <c r="FU101" s="93" t="s">
        <v>407</v>
      </c>
      <c r="FV101" s="94">
        <v>90426</v>
      </c>
      <c r="FW101" s="94">
        <v>2179787</v>
      </c>
      <c r="FX101" s="94">
        <v>6947574</v>
      </c>
      <c r="FY101" s="426">
        <f t="shared" si="103"/>
        <v>90.426000000000002</v>
      </c>
      <c r="FZ101" s="426">
        <f t="shared" si="104"/>
        <v>2179.7869999999998</v>
      </c>
      <c r="GA101" s="426">
        <f t="shared" si="105"/>
        <v>6947.5739999999996</v>
      </c>
      <c r="GG101" s="762" t="s">
        <v>553</v>
      </c>
      <c r="GH101" s="763" t="s">
        <v>399</v>
      </c>
      <c r="GI101" s="764">
        <v>1969275</v>
      </c>
      <c r="GJ101" s="764">
        <v>1969275</v>
      </c>
      <c r="GK101" s="764">
        <v>0</v>
      </c>
      <c r="GL101" s="764">
        <v>1969275</v>
      </c>
      <c r="GM101" s="764">
        <v>0</v>
      </c>
      <c r="GN101" s="426">
        <f t="shared" si="106"/>
        <v>1969.2750000000001</v>
      </c>
      <c r="GO101" s="426">
        <f t="shared" si="107"/>
        <v>1969.2750000000001</v>
      </c>
      <c r="GP101" s="426">
        <f t="shared" si="108"/>
        <v>0</v>
      </c>
      <c r="GQ101" s="426">
        <f t="shared" si="109"/>
        <v>1969.2750000000001</v>
      </c>
      <c r="GR101" s="426">
        <f t="shared" si="110"/>
        <v>0</v>
      </c>
      <c r="GV101" s="780" t="s">
        <v>406</v>
      </c>
      <c r="GW101" s="779">
        <v>80956155</v>
      </c>
      <c r="GX101" s="426">
        <f t="shared" si="111"/>
        <v>80956.154999999999</v>
      </c>
      <c r="HB101" s="782" t="s">
        <v>599</v>
      </c>
      <c r="HC101" s="764">
        <v>916300</v>
      </c>
      <c r="HD101" s="764">
        <v>916300</v>
      </c>
      <c r="HE101" s="764">
        <v>0</v>
      </c>
      <c r="HF101" s="764">
        <v>0</v>
      </c>
      <c r="HG101" s="426">
        <f t="shared" si="112"/>
        <v>916.3</v>
      </c>
      <c r="HH101" s="426">
        <f t="shared" si="113"/>
        <v>0</v>
      </c>
      <c r="HI101" s="426">
        <f t="shared" si="114"/>
        <v>916.3</v>
      </c>
      <c r="HJ101" s="426">
        <f t="shared" si="115"/>
        <v>0</v>
      </c>
      <c r="HK101" s="426">
        <f t="shared" si="116"/>
        <v>0</v>
      </c>
    </row>
    <row r="102" spans="1:219" ht="15" customHeight="1" x14ac:dyDescent="0.3">
      <c r="A102" s="287" t="s">
        <v>553</v>
      </c>
      <c r="B102" s="288" t="s">
        <v>494</v>
      </c>
      <c r="C102" s="289">
        <v>13000000</v>
      </c>
      <c r="D102" s="290">
        <f t="shared" si="61"/>
        <v>13819</v>
      </c>
      <c r="E102" s="289">
        <v>0</v>
      </c>
      <c r="F102" s="289">
        <f t="shared" si="62"/>
        <v>0</v>
      </c>
      <c r="Q102" s="291" t="s">
        <v>553</v>
      </c>
      <c r="R102" s="292" t="s">
        <v>605</v>
      </c>
      <c r="S102" s="293">
        <v>95000000</v>
      </c>
      <c r="T102" s="293">
        <v>0</v>
      </c>
      <c r="U102" s="293">
        <f t="shared" si="64"/>
        <v>100985</v>
      </c>
      <c r="V102" s="293">
        <f t="shared" si="65"/>
        <v>0</v>
      </c>
      <c r="Z102" s="288" t="s">
        <v>410</v>
      </c>
      <c r="AA102" s="289">
        <v>1631436</v>
      </c>
      <c r="AB102" s="289">
        <f t="shared" si="66"/>
        <v>1734.2164679999998</v>
      </c>
      <c r="AF102" s="288" t="s">
        <v>404</v>
      </c>
      <c r="AG102" s="289">
        <v>593256293</v>
      </c>
      <c r="AH102" s="289">
        <f t="shared" si="117"/>
        <v>630631.4394589999</v>
      </c>
      <c r="AI102" s="289">
        <v>45785669</v>
      </c>
      <c r="AL102" s="426"/>
      <c r="AN102" s="423" t="s">
        <v>553</v>
      </c>
      <c r="AO102" s="424" t="s">
        <v>407</v>
      </c>
      <c r="AP102" s="425">
        <v>5000000</v>
      </c>
      <c r="AQ102" s="425">
        <f t="shared" si="67"/>
        <v>5315</v>
      </c>
      <c r="AU102" s="423" t="s">
        <v>553</v>
      </c>
      <c r="AV102" s="424" t="s">
        <v>404</v>
      </c>
      <c r="AW102" s="425">
        <v>593256293</v>
      </c>
      <c r="AX102" s="425">
        <v>584340000</v>
      </c>
      <c r="AY102" s="425">
        <v>8916293</v>
      </c>
      <c r="AZ102" s="426">
        <f t="shared" si="68"/>
        <v>630631.4394589999</v>
      </c>
      <c r="BA102" s="426">
        <f t="shared" si="69"/>
        <v>621153.41999999993</v>
      </c>
      <c r="BB102" s="426">
        <f t="shared" si="70"/>
        <v>9478.0194589999992</v>
      </c>
      <c r="BF102" s="423" t="s">
        <v>553</v>
      </c>
      <c r="BG102" s="424" t="s">
        <v>620</v>
      </c>
      <c r="BH102" s="425">
        <v>15029540</v>
      </c>
      <c r="BI102" s="426">
        <f t="shared" si="71"/>
        <v>15976.401019999999</v>
      </c>
      <c r="BM102" s="427" t="s">
        <v>355</v>
      </c>
      <c r="BN102" s="93" t="s">
        <v>403</v>
      </c>
      <c r="BO102" s="94">
        <v>0</v>
      </c>
      <c r="BP102" s="94">
        <v>701972960</v>
      </c>
      <c r="BQ102" s="94">
        <v>677192099</v>
      </c>
      <c r="BR102" s="94">
        <v>24780861</v>
      </c>
      <c r="BS102" s="94">
        <v>224412422</v>
      </c>
      <c r="BT102" s="426">
        <f t="shared" si="72"/>
        <v>746197.25647999987</v>
      </c>
      <c r="BU102" s="426">
        <f t="shared" si="73"/>
        <v>719855.20123700006</v>
      </c>
      <c r="BV102" s="426">
        <f t="shared" si="74"/>
        <v>26342.055242999999</v>
      </c>
      <c r="BW102" s="426">
        <f t="shared" si="75"/>
        <v>238550.40458599999</v>
      </c>
      <c r="CA102" s="93" t="s">
        <v>408</v>
      </c>
      <c r="CB102" s="426">
        <v>65515549</v>
      </c>
      <c r="CC102" s="426">
        <f t="shared" si="76"/>
        <v>69643.028586999993</v>
      </c>
      <c r="CG102" s="424" t="s">
        <v>402</v>
      </c>
      <c r="CH102" s="425">
        <v>0</v>
      </c>
      <c r="CI102" s="425">
        <v>63858335</v>
      </c>
      <c r="CJ102" s="425">
        <v>-63858335</v>
      </c>
      <c r="CK102" s="425">
        <v>13858335</v>
      </c>
      <c r="CL102" s="425">
        <v>50000000</v>
      </c>
      <c r="CM102" s="425">
        <v>6128500</v>
      </c>
      <c r="CN102" s="425">
        <f t="shared" si="77"/>
        <v>67881.410105000003</v>
      </c>
      <c r="CO102" s="425">
        <f t="shared" si="78"/>
        <v>14731.410104999999</v>
      </c>
      <c r="CP102" s="425">
        <f t="shared" si="79"/>
        <v>53150</v>
      </c>
      <c r="CQ102" s="425">
        <f t="shared" si="80"/>
        <v>6514.5954999999994</v>
      </c>
      <c r="CU102" s="424" t="s">
        <v>409</v>
      </c>
      <c r="CV102" s="425">
        <v>312970</v>
      </c>
      <c r="CW102" s="425">
        <v>249900</v>
      </c>
      <c r="CX102" s="426">
        <f t="shared" si="81"/>
        <v>332.68711000000002</v>
      </c>
      <c r="CY102" s="426">
        <f t="shared" si="82"/>
        <v>265.64369999999997</v>
      </c>
      <c r="DB102" s="568" t="s">
        <v>402</v>
      </c>
      <c r="DC102" s="569">
        <v>67713377</v>
      </c>
      <c r="DD102" s="569">
        <v>45664953</v>
      </c>
      <c r="DE102" s="569">
        <v>22048424</v>
      </c>
      <c r="DF102" s="569">
        <v>10725470</v>
      </c>
      <c r="DG102" s="570">
        <f t="shared" si="83"/>
        <v>71979.319750999988</v>
      </c>
      <c r="DH102" s="570">
        <f t="shared" si="84"/>
        <v>48541.845039</v>
      </c>
      <c r="DI102" s="570">
        <f t="shared" si="85"/>
        <v>23437.474711999999</v>
      </c>
      <c r="DJ102" s="570">
        <f t="shared" si="86"/>
        <v>11401.174609999998</v>
      </c>
      <c r="DN102" s="93" t="s">
        <v>412</v>
      </c>
      <c r="DO102" s="93">
        <v>-15528219</v>
      </c>
      <c r="DP102" s="93">
        <v>10767513</v>
      </c>
      <c r="DQ102" s="626">
        <f t="shared" si="87"/>
        <v>-16506.496797</v>
      </c>
      <c r="DR102" s="626">
        <f t="shared" si="88"/>
        <v>11445.866319000001</v>
      </c>
      <c r="DV102" s="93" t="s">
        <v>602</v>
      </c>
      <c r="DW102" s="94">
        <v>60798259</v>
      </c>
      <c r="DX102" s="94">
        <v>60798258</v>
      </c>
      <c r="DY102" s="94">
        <v>1</v>
      </c>
      <c r="DZ102" s="94">
        <v>39228258</v>
      </c>
      <c r="EA102" s="94">
        <f t="shared" si="89"/>
        <v>64628.549316999997</v>
      </c>
      <c r="EB102" s="94">
        <f t="shared" si="90"/>
        <v>64628.548254000001</v>
      </c>
      <c r="EC102" s="94">
        <f t="shared" si="91"/>
        <v>1.0629999999999999E-3</v>
      </c>
      <c r="ED102" s="94">
        <f t="shared" si="92"/>
        <v>41699.638253999998</v>
      </c>
      <c r="EH102" s="420" t="s">
        <v>409</v>
      </c>
      <c r="EI102" s="420">
        <v>63070</v>
      </c>
      <c r="EJ102" s="426">
        <f t="shared" si="93"/>
        <v>67.043409999999994</v>
      </c>
      <c r="EN102" s="420" t="s">
        <v>400</v>
      </c>
      <c r="EO102" s="426">
        <v>356217261</v>
      </c>
      <c r="EP102" s="426">
        <v>315568309</v>
      </c>
      <c r="EQ102" s="426">
        <v>40648952</v>
      </c>
      <c r="ER102" s="426">
        <v>234387090</v>
      </c>
      <c r="ES102" s="700">
        <f t="shared" si="94"/>
        <v>378658.94844299997</v>
      </c>
      <c r="ET102" s="700">
        <f t="shared" si="95"/>
        <v>335449.11246699997</v>
      </c>
      <c r="EU102" s="700">
        <f t="shared" si="96"/>
        <v>43209.835975999995</v>
      </c>
      <c r="EV102" s="700">
        <f t="shared" si="97"/>
        <v>249153.47666999997</v>
      </c>
      <c r="EZ102" s="730" t="s">
        <v>553</v>
      </c>
      <c r="FA102" s="731" t="s">
        <v>690</v>
      </c>
      <c r="FB102" s="420">
        <v>0</v>
      </c>
      <c r="FC102" s="426">
        <f t="shared" si="98"/>
        <v>0</v>
      </c>
      <c r="FG102" s="735" t="s">
        <v>355</v>
      </c>
      <c r="FH102" s="734" t="s">
        <v>400</v>
      </c>
      <c r="FI102" s="732">
        <v>387936384</v>
      </c>
      <c r="FJ102" s="733">
        <v>366308035</v>
      </c>
      <c r="FK102" s="733">
        <v>21628349</v>
      </c>
      <c r="FL102" s="733">
        <v>274892240</v>
      </c>
      <c r="FM102" s="426">
        <f t="shared" si="99"/>
        <v>387936.38400000002</v>
      </c>
      <c r="FN102" s="426">
        <f t="shared" si="100"/>
        <v>366308.03499999997</v>
      </c>
      <c r="FO102" s="426">
        <f t="shared" si="101"/>
        <v>21628.348999999998</v>
      </c>
      <c r="FP102" s="426">
        <f t="shared" si="102"/>
        <v>274892.24</v>
      </c>
      <c r="FT102" s="427" t="s">
        <v>553</v>
      </c>
      <c r="FU102" s="93" t="s">
        <v>408</v>
      </c>
      <c r="FV102" s="94">
        <v>12994508</v>
      </c>
      <c r="FW102" s="94">
        <v>0</v>
      </c>
      <c r="FX102" s="94">
        <v>59167099</v>
      </c>
      <c r="FY102" s="426">
        <f t="shared" si="103"/>
        <v>12994.508</v>
      </c>
      <c r="FZ102" s="426">
        <f t="shared" si="104"/>
        <v>0</v>
      </c>
      <c r="GA102" s="426">
        <f t="shared" si="105"/>
        <v>59167.099000000002</v>
      </c>
      <c r="GG102" s="762" t="s">
        <v>355</v>
      </c>
      <c r="GH102" s="763" t="s">
        <v>400</v>
      </c>
      <c r="GI102" s="764">
        <v>380267872</v>
      </c>
      <c r="GJ102" s="764">
        <v>377803362</v>
      </c>
      <c r="GK102" s="764">
        <v>2464510</v>
      </c>
      <c r="GL102" s="764">
        <v>305304924</v>
      </c>
      <c r="GM102" s="764">
        <v>72498438</v>
      </c>
      <c r="GN102" s="426">
        <f t="shared" si="106"/>
        <v>380267.87199999997</v>
      </c>
      <c r="GO102" s="426">
        <f t="shared" si="107"/>
        <v>377803.36200000002</v>
      </c>
      <c r="GP102" s="426">
        <f t="shared" si="108"/>
        <v>2464.5100000000002</v>
      </c>
      <c r="GQ102" s="426">
        <f t="shared" si="109"/>
        <v>305304.924</v>
      </c>
      <c r="GR102" s="426">
        <f t="shared" si="110"/>
        <v>72498.437999999995</v>
      </c>
      <c r="GV102" s="780" t="s">
        <v>407</v>
      </c>
      <c r="GW102" s="779">
        <v>28848645</v>
      </c>
      <c r="GX102" s="426">
        <f t="shared" si="111"/>
        <v>28848.645</v>
      </c>
      <c r="HB102" s="782" t="s">
        <v>717</v>
      </c>
      <c r="HC102" s="764">
        <v>0</v>
      </c>
      <c r="HD102" s="764">
        <v>0</v>
      </c>
      <c r="HE102" s="764">
        <v>0</v>
      </c>
      <c r="HF102" s="764">
        <v>0</v>
      </c>
      <c r="HG102" s="426">
        <f t="shared" si="112"/>
        <v>0</v>
      </c>
      <c r="HH102" s="426">
        <f t="shared" si="113"/>
        <v>0</v>
      </c>
      <c r="HI102" s="426">
        <f t="shared" si="114"/>
        <v>0</v>
      </c>
      <c r="HJ102" s="426">
        <f t="shared" si="115"/>
        <v>0</v>
      </c>
      <c r="HK102" s="426">
        <f t="shared" si="116"/>
        <v>0</v>
      </c>
    </row>
    <row r="103" spans="1:219" ht="15" customHeight="1" x14ac:dyDescent="0.3">
      <c r="A103" s="287" t="s">
        <v>355</v>
      </c>
      <c r="B103" s="288" t="s">
        <v>606</v>
      </c>
      <c r="C103" s="289">
        <v>31000000</v>
      </c>
      <c r="D103" s="290">
        <f t="shared" si="61"/>
        <v>32953</v>
      </c>
      <c r="E103" s="289">
        <v>0</v>
      </c>
      <c r="F103" s="289">
        <f t="shared" si="62"/>
        <v>0</v>
      </c>
      <c r="Q103" s="291" t="s">
        <v>553</v>
      </c>
      <c r="R103" s="292" t="s">
        <v>494</v>
      </c>
      <c r="S103" s="293">
        <v>13000000</v>
      </c>
      <c r="T103" s="293">
        <v>1041250</v>
      </c>
      <c r="U103" s="293">
        <f t="shared" si="64"/>
        <v>13819</v>
      </c>
      <c r="V103" s="293">
        <f t="shared" si="65"/>
        <v>1106.8487499999999</v>
      </c>
      <c r="Z103" s="288" t="s">
        <v>412</v>
      </c>
      <c r="AA103" s="289">
        <v>32390647</v>
      </c>
      <c r="AB103" s="289">
        <f t="shared" si="66"/>
        <v>34431.257761000001</v>
      </c>
      <c r="AF103" s="288" t="s">
        <v>604</v>
      </c>
      <c r="AG103" s="289">
        <v>44416667</v>
      </c>
      <c r="AH103" s="289">
        <f t="shared" si="117"/>
        <v>47214.917021000001</v>
      </c>
      <c r="AI103" s="289">
        <v>5608357</v>
      </c>
      <c r="AL103" s="426"/>
      <c r="AN103" s="423" t="s">
        <v>553</v>
      </c>
      <c r="AO103" s="424" t="s">
        <v>408</v>
      </c>
      <c r="AP103" s="425">
        <v>6730600</v>
      </c>
      <c r="AQ103" s="425">
        <f t="shared" si="67"/>
        <v>7154.6278000000002</v>
      </c>
      <c r="AU103" s="423" t="s">
        <v>553</v>
      </c>
      <c r="AV103" s="424" t="s">
        <v>604</v>
      </c>
      <c r="AW103" s="425">
        <v>44416667</v>
      </c>
      <c r="AX103" s="425">
        <v>10352099</v>
      </c>
      <c r="AY103" s="425">
        <v>34064568</v>
      </c>
      <c r="AZ103" s="426">
        <f t="shared" si="68"/>
        <v>47214.917021000001</v>
      </c>
      <c r="BA103" s="426">
        <f t="shared" si="69"/>
        <v>11004.281236999999</v>
      </c>
      <c r="BB103" s="426">
        <f t="shared" si="70"/>
        <v>36210.635783999998</v>
      </c>
      <c r="BF103" s="423"/>
      <c r="BG103" s="424"/>
      <c r="BH103" s="425"/>
      <c r="BI103" s="426"/>
      <c r="BM103" s="427" t="s">
        <v>553</v>
      </c>
      <c r="BN103" s="93" t="s">
        <v>404</v>
      </c>
      <c r="BO103" s="94">
        <v>0</v>
      </c>
      <c r="BP103" s="94">
        <v>593256293</v>
      </c>
      <c r="BQ103" s="94">
        <v>584340000</v>
      </c>
      <c r="BR103" s="94">
        <v>8916293</v>
      </c>
      <c r="BS103" s="94">
        <v>190493310</v>
      </c>
      <c r="BT103" s="426">
        <f t="shared" si="72"/>
        <v>630631.4394589999</v>
      </c>
      <c r="BU103" s="426">
        <f t="shared" si="73"/>
        <v>621153.41999999993</v>
      </c>
      <c r="BV103" s="426">
        <f t="shared" si="74"/>
        <v>9478.0194589999992</v>
      </c>
      <c r="BW103" s="426">
        <f t="shared" si="75"/>
        <v>202494.38853</v>
      </c>
      <c r="CA103" s="93" t="s">
        <v>409</v>
      </c>
      <c r="CB103" s="426">
        <v>0</v>
      </c>
      <c r="CC103" s="426">
        <f t="shared" si="76"/>
        <v>0</v>
      </c>
      <c r="CG103" s="424" t="s">
        <v>403</v>
      </c>
      <c r="CH103" s="425">
        <v>0</v>
      </c>
      <c r="CI103" s="425">
        <v>703255048</v>
      </c>
      <c r="CJ103" s="425">
        <v>-703255048</v>
      </c>
      <c r="CK103" s="425">
        <v>680103648</v>
      </c>
      <c r="CL103" s="425">
        <v>23151400</v>
      </c>
      <c r="CM103" s="425">
        <v>247614059</v>
      </c>
      <c r="CN103" s="425">
        <f t="shared" si="77"/>
        <v>747560.11602399987</v>
      </c>
      <c r="CO103" s="425">
        <f t="shared" si="78"/>
        <v>722950.17782400001</v>
      </c>
      <c r="CP103" s="425">
        <f t="shared" si="79"/>
        <v>24609.938200000001</v>
      </c>
      <c r="CQ103" s="425">
        <f t="shared" si="80"/>
        <v>263213.74471699999</v>
      </c>
      <c r="CU103" s="424" t="s">
        <v>608</v>
      </c>
      <c r="CV103" s="425">
        <v>417510</v>
      </c>
      <c r="CW103" s="425">
        <v>413670</v>
      </c>
      <c r="CX103" s="426">
        <f t="shared" si="81"/>
        <v>443.81312999999994</v>
      </c>
      <c r="CY103" s="426">
        <f t="shared" si="82"/>
        <v>439.73120999999998</v>
      </c>
      <c r="DB103" s="568" t="s">
        <v>403</v>
      </c>
      <c r="DC103" s="569">
        <v>703492453</v>
      </c>
      <c r="DD103" s="569">
        <v>679773166</v>
      </c>
      <c r="DE103" s="569">
        <v>23719287</v>
      </c>
      <c r="DF103" s="569">
        <v>376222241</v>
      </c>
      <c r="DG103" s="570">
        <f t="shared" si="83"/>
        <v>747812.47753899998</v>
      </c>
      <c r="DH103" s="570">
        <f t="shared" si="84"/>
        <v>722598.87545799988</v>
      </c>
      <c r="DI103" s="570">
        <f t="shared" si="85"/>
        <v>25213.602080999997</v>
      </c>
      <c r="DJ103" s="570">
        <f t="shared" si="86"/>
        <v>399924.24218299997</v>
      </c>
      <c r="DN103" s="93" t="s">
        <v>413</v>
      </c>
      <c r="DO103" s="93">
        <v>-15528219</v>
      </c>
      <c r="DP103" s="93">
        <v>10767513</v>
      </c>
      <c r="DQ103" s="626">
        <f t="shared" si="87"/>
        <v>-16506.496797</v>
      </c>
      <c r="DR103" s="626">
        <f t="shared" si="88"/>
        <v>11445.866319000001</v>
      </c>
      <c r="DV103" s="93" t="s">
        <v>603</v>
      </c>
      <c r="DW103" s="94">
        <v>2627166</v>
      </c>
      <c r="DX103" s="94">
        <v>2627166</v>
      </c>
      <c r="DY103" s="94">
        <v>0</v>
      </c>
      <c r="DZ103" s="94">
        <v>2627166</v>
      </c>
      <c r="EA103" s="94">
        <f t="shared" si="89"/>
        <v>2792.6774580000001</v>
      </c>
      <c r="EB103" s="94">
        <f t="shared" si="90"/>
        <v>2792.6774580000001</v>
      </c>
      <c r="EC103" s="94">
        <f t="shared" si="91"/>
        <v>0</v>
      </c>
      <c r="ED103" s="94">
        <f t="shared" si="92"/>
        <v>2792.6774580000001</v>
      </c>
      <c r="EH103" s="420" t="s">
        <v>608</v>
      </c>
      <c r="EI103" s="420">
        <v>1678311</v>
      </c>
      <c r="EJ103" s="426">
        <f t="shared" si="93"/>
        <v>1784.0445929999998</v>
      </c>
      <c r="EN103" s="420" t="s">
        <v>401</v>
      </c>
      <c r="EO103" s="426">
        <v>91467952</v>
      </c>
      <c r="EP103" s="426">
        <v>83213735</v>
      </c>
      <c r="EQ103" s="426">
        <v>8254217</v>
      </c>
      <c r="ER103" s="426">
        <v>57070926</v>
      </c>
      <c r="ES103" s="700">
        <f t="shared" si="94"/>
        <v>97230.432975999996</v>
      </c>
      <c r="ET103" s="700">
        <f t="shared" si="95"/>
        <v>88456.200304999991</v>
      </c>
      <c r="EU103" s="700">
        <f t="shared" si="96"/>
        <v>8774.2326709999998</v>
      </c>
      <c r="EV103" s="700">
        <f t="shared" si="97"/>
        <v>60666.394337999998</v>
      </c>
      <c r="EZ103" s="730" t="s">
        <v>355</v>
      </c>
      <c r="FA103" s="731" t="s">
        <v>413</v>
      </c>
      <c r="FB103" s="420">
        <v>11418412</v>
      </c>
      <c r="FC103" s="426">
        <f t="shared" si="98"/>
        <v>11418.412</v>
      </c>
      <c r="FG103" s="735" t="s">
        <v>553</v>
      </c>
      <c r="FH103" s="734" t="s">
        <v>401</v>
      </c>
      <c r="FI103" s="732">
        <v>87776153</v>
      </c>
      <c r="FJ103" s="733">
        <v>81432603</v>
      </c>
      <c r="FK103" s="733">
        <v>6343550</v>
      </c>
      <c r="FL103" s="733">
        <v>65701375</v>
      </c>
      <c r="FM103" s="426">
        <f t="shared" si="99"/>
        <v>87776.153000000006</v>
      </c>
      <c r="FN103" s="426">
        <f t="shared" si="100"/>
        <v>81432.603000000003</v>
      </c>
      <c r="FO103" s="426">
        <f t="shared" si="101"/>
        <v>6343.55</v>
      </c>
      <c r="FP103" s="426">
        <f t="shared" si="102"/>
        <v>65701.375</v>
      </c>
      <c r="FT103" s="427" t="s">
        <v>553</v>
      </c>
      <c r="FU103" s="93" t="s">
        <v>409</v>
      </c>
      <c r="FV103" s="94">
        <v>0</v>
      </c>
      <c r="FW103" s="94">
        <v>0</v>
      </c>
      <c r="FX103" s="94">
        <v>2000000</v>
      </c>
      <c r="FY103" s="426">
        <f t="shared" si="103"/>
        <v>0</v>
      </c>
      <c r="FZ103" s="426">
        <f t="shared" si="104"/>
        <v>0</v>
      </c>
      <c r="GA103" s="426">
        <f t="shared" si="105"/>
        <v>2000</v>
      </c>
      <c r="GG103" s="762" t="s">
        <v>553</v>
      </c>
      <c r="GH103" s="763" t="s">
        <v>401</v>
      </c>
      <c r="GI103" s="764">
        <v>79657482</v>
      </c>
      <c r="GJ103" s="764">
        <v>79630582</v>
      </c>
      <c r="GK103" s="764">
        <v>26900</v>
      </c>
      <c r="GL103" s="764">
        <v>70405270</v>
      </c>
      <c r="GM103" s="764">
        <v>9225312</v>
      </c>
      <c r="GN103" s="426">
        <f t="shared" si="106"/>
        <v>79657.482000000004</v>
      </c>
      <c r="GO103" s="426">
        <f t="shared" si="107"/>
        <v>79630.581999999995</v>
      </c>
      <c r="GP103" s="426">
        <f t="shared" si="108"/>
        <v>26.9</v>
      </c>
      <c r="GQ103" s="426">
        <f t="shared" si="109"/>
        <v>70405.27</v>
      </c>
      <c r="GR103" s="426">
        <f t="shared" si="110"/>
        <v>9225.3119999999999</v>
      </c>
      <c r="GV103" s="780" t="s">
        <v>408</v>
      </c>
      <c r="GW103" s="779">
        <v>180142255</v>
      </c>
      <c r="GX103" s="426">
        <f t="shared" si="111"/>
        <v>180142.255</v>
      </c>
      <c r="HB103" s="782" t="s">
        <v>600</v>
      </c>
      <c r="HC103" s="764">
        <v>10384087</v>
      </c>
      <c r="HD103" s="764">
        <v>10384087</v>
      </c>
      <c r="HE103" s="764">
        <v>0</v>
      </c>
      <c r="HF103" s="764">
        <v>9395756</v>
      </c>
      <c r="HG103" s="426">
        <f t="shared" si="112"/>
        <v>10384.087</v>
      </c>
      <c r="HH103" s="426">
        <f t="shared" si="113"/>
        <v>0</v>
      </c>
      <c r="HI103" s="426">
        <f t="shared" si="114"/>
        <v>10384.087</v>
      </c>
      <c r="HJ103" s="426">
        <f t="shared" si="115"/>
        <v>0</v>
      </c>
      <c r="HK103" s="426">
        <f t="shared" si="116"/>
        <v>9395.7559999999994</v>
      </c>
    </row>
    <row r="104" spans="1:219" ht="15" customHeight="1" x14ac:dyDescent="0.3">
      <c r="A104" s="287" t="s">
        <v>553</v>
      </c>
      <c r="B104" s="288" t="s">
        <v>405</v>
      </c>
      <c r="C104" s="289">
        <v>31000000</v>
      </c>
      <c r="D104" s="290">
        <f t="shared" si="61"/>
        <v>32953</v>
      </c>
      <c r="E104" s="289">
        <v>0</v>
      </c>
      <c r="F104" s="289">
        <f t="shared" si="62"/>
        <v>0</v>
      </c>
      <c r="Q104" s="291" t="s">
        <v>355</v>
      </c>
      <c r="R104" s="292" t="s">
        <v>606</v>
      </c>
      <c r="S104" s="293">
        <v>30796161</v>
      </c>
      <c r="T104" s="293">
        <v>0</v>
      </c>
      <c r="U104" s="293">
        <f t="shared" si="64"/>
        <v>32736.319142999997</v>
      </c>
      <c r="V104" s="293">
        <f t="shared" si="65"/>
        <v>0</v>
      </c>
      <c r="Z104" s="288" t="s">
        <v>413</v>
      </c>
      <c r="AA104" s="289">
        <v>32390647</v>
      </c>
      <c r="AB104" s="289">
        <f t="shared" si="66"/>
        <v>34431.257761000001</v>
      </c>
      <c r="AF104" s="288" t="s">
        <v>605</v>
      </c>
      <c r="AG104" s="289">
        <v>95000000</v>
      </c>
      <c r="AH104" s="289">
        <f t="shared" si="117"/>
        <v>100985</v>
      </c>
      <c r="AI104" s="289">
        <v>9877034</v>
      </c>
      <c r="AL104" s="426"/>
      <c r="AN104" s="423" t="s">
        <v>355</v>
      </c>
      <c r="AO104" s="424" t="s">
        <v>608</v>
      </c>
      <c r="AP104" s="425">
        <v>156140</v>
      </c>
      <c r="AQ104" s="425">
        <f t="shared" si="67"/>
        <v>165.97681999999998</v>
      </c>
      <c r="AU104" s="423" t="s">
        <v>553</v>
      </c>
      <c r="AV104" s="424" t="s">
        <v>605</v>
      </c>
      <c r="AW104" s="425">
        <v>95000000</v>
      </c>
      <c r="AX104" s="425">
        <v>60000000</v>
      </c>
      <c r="AY104" s="425">
        <v>35000000</v>
      </c>
      <c r="AZ104" s="426">
        <f t="shared" si="68"/>
        <v>100985</v>
      </c>
      <c r="BA104" s="426">
        <f t="shared" si="69"/>
        <v>63780</v>
      </c>
      <c r="BB104" s="426">
        <f t="shared" si="70"/>
        <v>37205</v>
      </c>
      <c r="BF104" s="423"/>
      <c r="BG104" s="424"/>
      <c r="BH104" s="425"/>
      <c r="BI104" s="426"/>
      <c r="BM104" s="427" t="s">
        <v>553</v>
      </c>
      <c r="BN104" s="93" t="s">
        <v>604</v>
      </c>
      <c r="BO104" s="94">
        <v>0</v>
      </c>
      <c r="BP104" s="94">
        <v>34416667</v>
      </c>
      <c r="BQ104" s="94">
        <v>20352099</v>
      </c>
      <c r="BR104" s="94">
        <v>14064568</v>
      </c>
      <c r="BS104" s="94">
        <v>9613673</v>
      </c>
      <c r="BT104" s="426">
        <f t="shared" si="72"/>
        <v>36584.917021000001</v>
      </c>
      <c r="BU104" s="426">
        <f t="shared" si="73"/>
        <v>21634.281236999996</v>
      </c>
      <c r="BV104" s="426">
        <f t="shared" si="74"/>
        <v>14950.635783999998</v>
      </c>
      <c r="BW104" s="426">
        <f t="shared" si="75"/>
        <v>10219.334398999999</v>
      </c>
      <c r="CA104" s="93" t="s">
        <v>608</v>
      </c>
      <c r="CB104" s="426">
        <v>413711</v>
      </c>
      <c r="CC104" s="426">
        <f t="shared" si="76"/>
        <v>439.77479299999999</v>
      </c>
      <c r="CG104" s="424" t="s">
        <v>404</v>
      </c>
      <c r="CH104" s="425">
        <v>0</v>
      </c>
      <c r="CI104" s="425">
        <v>593256293</v>
      </c>
      <c r="CJ104" s="425">
        <v>-593256293</v>
      </c>
      <c r="CK104" s="425">
        <v>584340000</v>
      </c>
      <c r="CL104" s="425">
        <v>8916293</v>
      </c>
      <c r="CM104" s="425">
        <v>205544835</v>
      </c>
      <c r="CN104" s="425">
        <f t="shared" si="77"/>
        <v>630631.4394589999</v>
      </c>
      <c r="CO104" s="425">
        <f t="shared" si="78"/>
        <v>621153.41999999993</v>
      </c>
      <c r="CP104" s="425">
        <f t="shared" si="79"/>
        <v>9478.0194589999992</v>
      </c>
      <c r="CQ104" s="425">
        <f t="shared" si="80"/>
        <v>218494.15960499999</v>
      </c>
      <c r="CU104" s="424" t="s">
        <v>410</v>
      </c>
      <c r="CV104" s="425">
        <v>417510</v>
      </c>
      <c r="CW104" s="425">
        <v>413670</v>
      </c>
      <c r="CX104" s="426">
        <f t="shared" si="81"/>
        <v>443.81312999999994</v>
      </c>
      <c r="CY104" s="426">
        <f t="shared" si="82"/>
        <v>439.73120999999998</v>
      </c>
      <c r="DB104" s="568" t="s">
        <v>404</v>
      </c>
      <c r="DC104" s="569">
        <v>593256293</v>
      </c>
      <c r="DD104" s="569">
        <v>584340000</v>
      </c>
      <c r="DE104" s="569">
        <v>8916293</v>
      </c>
      <c r="DF104" s="569">
        <v>321894724</v>
      </c>
      <c r="DG104" s="570">
        <f t="shared" si="83"/>
        <v>630631.4394589999</v>
      </c>
      <c r="DH104" s="570">
        <f t="shared" si="84"/>
        <v>621153.41999999993</v>
      </c>
      <c r="DI104" s="570">
        <f t="shared" si="85"/>
        <v>9478.0194589999992</v>
      </c>
      <c r="DJ104" s="570">
        <f t="shared" si="86"/>
        <v>342174.09161199996</v>
      </c>
      <c r="DN104" s="93" t="s">
        <v>532</v>
      </c>
      <c r="DO104" s="93">
        <v>-15528219</v>
      </c>
      <c r="DP104" s="93">
        <v>10767513</v>
      </c>
      <c r="DQ104" s="626">
        <f t="shared" si="87"/>
        <v>-16506.496797</v>
      </c>
      <c r="DR104" s="626">
        <f t="shared" si="88"/>
        <v>11445.866319000001</v>
      </c>
      <c r="DV104" s="93" t="s">
        <v>402</v>
      </c>
      <c r="DW104" s="94">
        <v>71115316</v>
      </c>
      <c r="DX104" s="94">
        <v>51103316</v>
      </c>
      <c r="DY104" s="94">
        <v>20012000</v>
      </c>
      <c r="DZ104" s="94">
        <v>20366111</v>
      </c>
      <c r="EA104" s="94">
        <f t="shared" si="89"/>
        <v>75595.580908000004</v>
      </c>
      <c r="EB104" s="94">
        <f t="shared" si="90"/>
        <v>54322.824907999995</v>
      </c>
      <c r="EC104" s="94">
        <f t="shared" si="91"/>
        <v>21272.755999999998</v>
      </c>
      <c r="ED104" s="94">
        <f t="shared" si="92"/>
        <v>21649.175993000001</v>
      </c>
      <c r="EH104" s="420" t="s">
        <v>410</v>
      </c>
      <c r="EI104" s="420">
        <v>798311</v>
      </c>
      <c r="EJ104" s="426">
        <f t="shared" si="93"/>
        <v>848.60459300000002</v>
      </c>
      <c r="EN104" s="420" t="s">
        <v>601</v>
      </c>
      <c r="EO104" s="426">
        <v>109635898</v>
      </c>
      <c r="EP104" s="426">
        <v>107521164</v>
      </c>
      <c r="EQ104" s="426">
        <v>2114734</v>
      </c>
      <c r="ER104" s="426">
        <v>86539204</v>
      </c>
      <c r="ES104" s="700">
        <f t="shared" si="94"/>
        <v>116542.95957399999</v>
      </c>
      <c r="ET104" s="700">
        <f t="shared" si="95"/>
        <v>114294.997332</v>
      </c>
      <c r="EU104" s="700">
        <f t="shared" si="96"/>
        <v>2247.9622419999996</v>
      </c>
      <c r="EV104" s="700">
        <f t="shared" si="97"/>
        <v>91991.173851999993</v>
      </c>
      <c r="EZ104" s="730" t="s">
        <v>553</v>
      </c>
      <c r="FA104" s="731" t="s">
        <v>614</v>
      </c>
      <c r="FB104" s="420">
        <v>0</v>
      </c>
      <c r="FC104" s="426">
        <f t="shared" si="98"/>
        <v>0</v>
      </c>
      <c r="FG104" s="735" t="s">
        <v>553</v>
      </c>
      <c r="FH104" s="734" t="s">
        <v>601</v>
      </c>
      <c r="FI104" s="732">
        <v>136351420</v>
      </c>
      <c r="FJ104" s="733">
        <v>127230154</v>
      </c>
      <c r="FK104" s="733">
        <v>9121266</v>
      </c>
      <c r="FL104" s="733">
        <v>106530525</v>
      </c>
      <c r="FM104" s="426">
        <f t="shared" si="99"/>
        <v>136351.42000000001</v>
      </c>
      <c r="FN104" s="426">
        <f t="shared" si="100"/>
        <v>127230.15399999999</v>
      </c>
      <c r="FO104" s="426">
        <f t="shared" si="101"/>
        <v>9121.2659999999996</v>
      </c>
      <c r="FP104" s="426">
        <f t="shared" si="102"/>
        <v>106530.52499999999</v>
      </c>
      <c r="FT104" s="427" t="s">
        <v>355</v>
      </c>
      <c r="FU104" s="93" t="s">
        <v>608</v>
      </c>
      <c r="FV104" s="94">
        <v>4630470</v>
      </c>
      <c r="FW104" s="94">
        <v>333520</v>
      </c>
      <c r="FX104" s="94">
        <v>390790</v>
      </c>
      <c r="FY104" s="426">
        <f t="shared" si="103"/>
        <v>4630.47</v>
      </c>
      <c r="FZ104" s="426">
        <f t="shared" si="104"/>
        <v>333.52</v>
      </c>
      <c r="GA104" s="426">
        <f t="shared" si="105"/>
        <v>390.79</v>
      </c>
      <c r="GG104" s="762" t="s">
        <v>553</v>
      </c>
      <c r="GH104" s="763" t="s">
        <v>601</v>
      </c>
      <c r="GI104" s="764">
        <v>137718065</v>
      </c>
      <c r="GJ104" s="764">
        <v>136872456</v>
      </c>
      <c r="GK104" s="764">
        <v>845609</v>
      </c>
      <c r="GL104" s="764">
        <v>120628326</v>
      </c>
      <c r="GM104" s="764">
        <v>16244130</v>
      </c>
      <c r="GN104" s="426">
        <f t="shared" si="106"/>
        <v>137718.065</v>
      </c>
      <c r="GO104" s="426">
        <f t="shared" si="107"/>
        <v>136872.45600000001</v>
      </c>
      <c r="GP104" s="426">
        <f t="shared" si="108"/>
        <v>845.60900000000004</v>
      </c>
      <c r="GQ104" s="426">
        <f t="shared" si="109"/>
        <v>120628.326</v>
      </c>
      <c r="GR104" s="426">
        <f t="shared" si="110"/>
        <v>16244.13</v>
      </c>
      <c r="GV104" s="780" t="s">
        <v>409</v>
      </c>
      <c r="GW104" s="779">
        <v>249900</v>
      </c>
      <c r="GX104" s="426">
        <f t="shared" si="111"/>
        <v>249.9</v>
      </c>
      <c r="HB104" s="782" t="s">
        <v>397</v>
      </c>
      <c r="HC104" s="764">
        <v>7641583</v>
      </c>
      <c r="HD104" s="764">
        <v>7641583</v>
      </c>
      <c r="HE104" s="764">
        <v>0</v>
      </c>
      <c r="HF104" s="764">
        <v>7641583</v>
      </c>
      <c r="HG104" s="426">
        <f t="shared" si="112"/>
        <v>7641.5829999999996</v>
      </c>
      <c r="HH104" s="426">
        <f t="shared" si="113"/>
        <v>0</v>
      </c>
      <c r="HI104" s="426">
        <f t="shared" si="114"/>
        <v>7641.5829999999996</v>
      </c>
      <c r="HJ104" s="426">
        <f t="shared" si="115"/>
        <v>0</v>
      </c>
      <c r="HK104" s="426">
        <f t="shared" si="116"/>
        <v>7641.5829999999996</v>
      </c>
    </row>
    <row r="105" spans="1:219" ht="15" customHeight="1" x14ac:dyDescent="0.3">
      <c r="A105" s="287" t="s">
        <v>355</v>
      </c>
      <c r="B105" s="288" t="s">
        <v>607</v>
      </c>
      <c r="C105" s="289">
        <v>833413000</v>
      </c>
      <c r="D105" s="290">
        <f t="shared" si="61"/>
        <v>885918.01899999997</v>
      </c>
      <c r="E105" s="289">
        <v>7744600</v>
      </c>
      <c r="F105" s="289">
        <f t="shared" si="62"/>
        <v>8232.5097999999998</v>
      </c>
      <c r="Q105" s="291" t="s">
        <v>553</v>
      </c>
      <c r="R105" s="292" t="s">
        <v>405</v>
      </c>
      <c r="S105" s="293">
        <v>30796161</v>
      </c>
      <c r="T105" s="293">
        <v>0</v>
      </c>
      <c r="U105" s="293">
        <f t="shared" si="64"/>
        <v>32736.319142999997</v>
      </c>
      <c r="V105" s="293">
        <f t="shared" si="65"/>
        <v>0</v>
      </c>
      <c r="Z105" s="288" t="s">
        <v>532</v>
      </c>
      <c r="AA105" s="289">
        <v>14510647</v>
      </c>
      <c r="AB105" s="289">
        <f t="shared" si="66"/>
        <v>15424.817761</v>
      </c>
      <c r="AF105" s="288" t="s">
        <v>494</v>
      </c>
      <c r="AG105" s="289">
        <v>13000000</v>
      </c>
      <c r="AH105" s="289">
        <f t="shared" si="117"/>
        <v>13819</v>
      </c>
      <c r="AI105" s="289">
        <v>2082500</v>
      </c>
      <c r="AL105" s="426"/>
      <c r="AN105" s="423" t="s">
        <v>553</v>
      </c>
      <c r="AO105" s="424" t="s">
        <v>410</v>
      </c>
      <c r="AP105" s="425">
        <v>153640</v>
      </c>
      <c r="AQ105" s="425">
        <f t="shared" si="67"/>
        <v>163.31931999999998</v>
      </c>
      <c r="AU105" s="423" t="s">
        <v>553</v>
      </c>
      <c r="AV105" s="424" t="s">
        <v>494</v>
      </c>
      <c r="AW105" s="425">
        <v>12500000</v>
      </c>
      <c r="AX105" s="425">
        <v>12500000</v>
      </c>
      <c r="AY105" s="425">
        <v>0</v>
      </c>
      <c r="AZ105" s="426">
        <f t="shared" si="68"/>
        <v>13287.5</v>
      </c>
      <c r="BA105" s="426">
        <f t="shared" si="69"/>
        <v>13287.5</v>
      </c>
      <c r="BB105" s="426">
        <f t="shared" si="70"/>
        <v>0</v>
      </c>
      <c r="BF105" s="423"/>
      <c r="BG105" s="424"/>
      <c r="BH105" s="425"/>
      <c r="BI105" s="426"/>
      <c r="BM105" s="427" t="s">
        <v>553</v>
      </c>
      <c r="BN105" s="93" t="s">
        <v>605</v>
      </c>
      <c r="BO105" s="94">
        <v>0</v>
      </c>
      <c r="BP105" s="94">
        <v>61800000</v>
      </c>
      <c r="BQ105" s="94">
        <v>60000000</v>
      </c>
      <c r="BR105" s="94">
        <v>1800000</v>
      </c>
      <c r="BS105" s="94">
        <v>20140439</v>
      </c>
      <c r="BT105" s="426">
        <f t="shared" si="72"/>
        <v>65693.399999999994</v>
      </c>
      <c r="BU105" s="426">
        <f t="shared" si="73"/>
        <v>63780</v>
      </c>
      <c r="BV105" s="426">
        <f t="shared" si="74"/>
        <v>1913.3999999999999</v>
      </c>
      <c r="BW105" s="426">
        <f t="shared" si="75"/>
        <v>21409.286656999997</v>
      </c>
      <c r="CA105" s="93" t="s">
        <v>410</v>
      </c>
      <c r="CB105" s="426">
        <v>362660</v>
      </c>
      <c r="CC105" s="426">
        <f t="shared" si="76"/>
        <v>385.50758000000002</v>
      </c>
      <c r="CG105" s="424" t="s">
        <v>604</v>
      </c>
      <c r="CH105" s="425">
        <v>0</v>
      </c>
      <c r="CI105" s="425">
        <v>34416667</v>
      </c>
      <c r="CJ105" s="425">
        <v>-34416667</v>
      </c>
      <c r="CK105" s="425">
        <v>20352099</v>
      </c>
      <c r="CL105" s="425">
        <v>14064568</v>
      </c>
      <c r="CM105" s="425">
        <v>11636023</v>
      </c>
      <c r="CN105" s="425">
        <f t="shared" si="77"/>
        <v>36584.917021000001</v>
      </c>
      <c r="CO105" s="425">
        <f t="shared" si="78"/>
        <v>21634.281236999996</v>
      </c>
      <c r="CP105" s="425">
        <f t="shared" si="79"/>
        <v>14950.635783999998</v>
      </c>
      <c r="CQ105" s="425">
        <f t="shared" si="80"/>
        <v>12369.092448999998</v>
      </c>
      <c r="CU105" s="424" t="s">
        <v>412</v>
      </c>
      <c r="CV105" s="425">
        <v>55000000</v>
      </c>
      <c r="CW105" s="425">
        <v>11510314</v>
      </c>
      <c r="CX105" s="426">
        <f t="shared" si="81"/>
        <v>58465</v>
      </c>
      <c r="CY105" s="426">
        <f t="shared" si="82"/>
        <v>12235.463781999999</v>
      </c>
      <c r="DB105" s="568" t="s">
        <v>604</v>
      </c>
      <c r="DC105" s="569">
        <v>34416667</v>
      </c>
      <c r="DD105" s="569">
        <v>19613673</v>
      </c>
      <c r="DE105" s="569">
        <v>14802994</v>
      </c>
      <c r="DF105" s="569">
        <v>13645051</v>
      </c>
      <c r="DG105" s="570">
        <f t="shared" si="83"/>
        <v>36584.917021000001</v>
      </c>
      <c r="DH105" s="570">
        <f t="shared" si="84"/>
        <v>20849.334398999999</v>
      </c>
      <c r="DI105" s="570">
        <f t="shared" si="85"/>
        <v>15735.582622</v>
      </c>
      <c r="DJ105" s="570">
        <f t="shared" si="86"/>
        <v>14504.689212999998</v>
      </c>
      <c r="DN105" s="93" t="s">
        <v>618</v>
      </c>
      <c r="DO105" s="93">
        <v>66735996</v>
      </c>
      <c r="DP105" s="93">
        <v>8321146</v>
      </c>
      <c r="DQ105" s="626">
        <f t="shared" si="87"/>
        <v>70940.363747999989</v>
      </c>
      <c r="DR105" s="626">
        <f t="shared" si="88"/>
        <v>8845.3781980000003</v>
      </c>
      <c r="DV105" s="93" t="s">
        <v>403</v>
      </c>
      <c r="DW105" s="94">
        <v>703492453</v>
      </c>
      <c r="DX105" s="94">
        <v>679773166</v>
      </c>
      <c r="DY105" s="94">
        <v>23719287</v>
      </c>
      <c r="DZ105" s="94">
        <v>431277193</v>
      </c>
      <c r="EA105" s="94">
        <f t="shared" si="89"/>
        <v>747812.47753899998</v>
      </c>
      <c r="EB105" s="94">
        <f t="shared" si="90"/>
        <v>722598.87545799988</v>
      </c>
      <c r="EC105" s="94">
        <f t="shared" si="91"/>
        <v>25213.602080999997</v>
      </c>
      <c r="ED105" s="94">
        <f t="shared" si="92"/>
        <v>458447.65615900001</v>
      </c>
      <c r="EH105" s="420" t="s">
        <v>609</v>
      </c>
      <c r="EI105" s="420">
        <v>880000</v>
      </c>
      <c r="EJ105" s="426">
        <f t="shared" si="93"/>
        <v>935.43999999999994</v>
      </c>
      <c r="EN105" s="420" t="s">
        <v>602</v>
      </c>
      <c r="EO105" s="426">
        <v>62518259</v>
      </c>
      <c r="EP105" s="426">
        <v>62518258</v>
      </c>
      <c r="EQ105" s="426">
        <v>1</v>
      </c>
      <c r="ER105" s="426">
        <v>43308258</v>
      </c>
      <c r="ES105" s="700">
        <f t="shared" si="94"/>
        <v>66456.909316999998</v>
      </c>
      <c r="ET105" s="700">
        <f t="shared" si="95"/>
        <v>66456.908253999994</v>
      </c>
      <c r="EU105" s="700">
        <f t="shared" si="96"/>
        <v>1.0629999999999999E-3</v>
      </c>
      <c r="EV105" s="700">
        <f t="shared" si="97"/>
        <v>46036.678253999999</v>
      </c>
      <c r="EZ105" s="730" t="s">
        <v>553</v>
      </c>
      <c r="FA105" s="731" t="s">
        <v>532</v>
      </c>
      <c r="FB105" s="420">
        <v>11418412</v>
      </c>
      <c r="FC105" s="426">
        <f t="shared" si="98"/>
        <v>11418.412</v>
      </c>
      <c r="FG105" s="735" t="s">
        <v>553</v>
      </c>
      <c r="FH105" s="734" t="s">
        <v>602</v>
      </c>
      <c r="FI105" s="732">
        <v>62518259</v>
      </c>
      <c r="FJ105" s="733">
        <v>62518258</v>
      </c>
      <c r="FK105" s="733">
        <v>1</v>
      </c>
      <c r="FL105" s="733">
        <v>46834258</v>
      </c>
      <c r="FM105" s="426">
        <f t="shared" si="99"/>
        <v>62518.258999999998</v>
      </c>
      <c r="FN105" s="426">
        <f t="shared" si="100"/>
        <v>62518.258000000002</v>
      </c>
      <c r="FO105" s="426">
        <f t="shared" si="101"/>
        <v>1E-3</v>
      </c>
      <c r="FP105" s="426">
        <f t="shared" si="102"/>
        <v>46834.258000000002</v>
      </c>
      <c r="FT105" s="427" t="s">
        <v>553</v>
      </c>
      <c r="FU105" s="93" t="s">
        <v>410</v>
      </c>
      <c r="FV105" s="94">
        <v>333520</v>
      </c>
      <c r="FW105" s="94">
        <v>333520</v>
      </c>
      <c r="FX105" s="94">
        <v>390790</v>
      </c>
      <c r="FY105" s="426">
        <f t="shared" si="103"/>
        <v>333.52</v>
      </c>
      <c r="FZ105" s="426">
        <f t="shared" si="104"/>
        <v>333.52</v>
      </c>
      <c r="GA105" s="426">
        <f t="shared" si="105"/>
        <v>390.79</v>
      </c>
      <c r="GG105" s="762" t="s">
        <v>553</v>
      </c>
      <c r="GH105" s="763" t="s">
        <v>602</v>
      </c>
      <c r="GI105" s="764">
        <v>64129259</v>
      </c>
      <c r="GJ105" s="764">
        <v>62537258</v>
      </c>
      <c r="GK105" s="764">
        <v>1592001</v>
      </c>
      <c r="GL105" s="764">
        <v>54162258</v>
      </c>
      <c r="GM105" s="764">
        <v>8375000</v>
      </c>
      <c r="GN105" s="426">
        <f t="shared" si="106"/>
        <v>64129.258999999998</v>
      </c>
      <c r="GO105" s="426">
        <f t="shared" si="107"/>
        <v>62537.258000000002</v>
      </c>
      <c r="GP105" s="426">
        <f t="shared" si="108"/>
        <v>1592.001</v>
      </c>
      <c r="GQ105" s="426">
        <f t="shared" si="109"/>
        <v>54162.258000000002</v>
      </c>
      <c r="GR105" s="426">
        <f t="shared" si="110"/>
        <v>8375</v>
      </c>
      <c r="GV105" s="780" t="s">
        <v>608</v>
      </c>
      <c r="GW105" s="779">
        <v>8156178</v>
      </c>
      <c r="GX105" s="426">
        <f t="shared" si="111"/>
        <v>8156.1779999999999</v>
      </c>
      <c r="HB105" s="782" t="s">
        <v>398</v>
      </c>
      <c r="HC105" s="764">
        <v>5672308</v>
      </c>
      <c r="HD105" s="764">
        <v>5672308</v>
      </c>
      <c r="HE105" s="764">
        <v>0</v>
      </c>
      <c r="HF105" s="764">
        <v>5672308</v>
      </c>
      <c r="HG105" s="426">
        <f t="shared" si="112"/>
        <v>5672.308</v>
      </c>
      <c r="HH105" s="426">
        <f t="shared" si="113"/>
        <v>0</v>
      </c>
      <c r="HI105" s="426">
        <f t="shared" si="114"/>
        <v>5672.308</v>
      </c>
      <c r="HJ105" s="426">
        <f t="shared" si="115"/>
        <v>0</v>
      </c>
      <c r="HK105" s="426">
        <f t="shared" si="116"/>
        <v>5672.308</v>
      </c>
    </row>
    <row r="106" spans="1:219" ht="15" customHeight="1" x14ac:dyDescent="0.3">
      <c r="A106" s="287" t="s">
        <v>553</v>
      </c>
      <c r="B106" s="288" t="s">
        <v>406</v>
      </c>
      <c r="C106" s="289">
        <v>0</v>
      </c>
      <c r="D106" s="290">
        <f t="shared" si="61"/>
        <v>0</v>
      </c>
      <c r="E106" s="289">
        <v>0</v>
      </c>
      <c r="F106" s="289">
        <f t="shared" si="62"/>
        <v>0</v>
      </c>
      <c r="Q106" s="291" t="s">
        <v>355</v>
      </c>
      <c r="R106" s="292" t="s">
        <v>607</v>
      </c>
      <c r="S106" s="293">
        <v>833413000</v>
      </c>
      <c r="T106" s="293">
        <v>10510507</v>
      </c>
      <c r="U106" s="293">
        <f t="shared" si="64"/>
        <v>885918.01899999997</v>
      </c>
      <c r="V106" s="293">
        <f t="shared" si="65"/>
        <v>11172.668941</v>
      </c>
      <c r="Z106" s="288" t="s">
        <v>531</v>
      </c>
      <c r="AA106" s="289">
        <v>17880000</v>
      </c>
      <c r="AB106" s="289">
        <f t="shared" si="66"/>
        <v>19006.439999999999</v>
      </c>
      <c r="AF106" s="288" t="s">
        <v>606</v>
      </c>
      <c r="AG106" s="289">
        <v>796161</v>
      </c>
      <c r="AH106" s="289">
        <f t="shared" si="117"/>
        <v>846.31914299999994</v>
      </c>
      <c r="AI106" s="289">
        <v>115100</v>
      </c>
      <c r="AL106" s="426"/>
      <c r="AN106" s="423" t="s">
        <v>553</v>
      </c>
      <c r="AO106" s="424" t="s">
        <v>411</v>
      </c>
      <c r="AP106" s="425">
        <v>2500</v>
      </c>
      <c r="AQ106" s="425">
        <f t="shared" si="67"/>
        <v>2.6574999999999998</v>
      </c>
      <c r="AU106" s="423" t="s">
        <v>355</v>
      </c>
      <c r="AV106" s="424" t="s">
        <v>606</v>
      </c>
      <c r="AW106" s="425">
        <v>9495100</v>
      </c>
      <c r="AX106" s="425">
        <v>115100</v>
      </c>
      <c r="AY106" s="425">
        <v>9380000</v>
      </c>
      <c r="AZ106" s="426">
        <f t="shared" si="68"/>
        <v>10093.291299999999</v>
      </c>
      <c r="BA106" s="426">
        <f t="shared" si="69"/>
        <v>122.35129999999998</v>
      </c>
      <c r="BB106" s="426">
        <f t="shared" si="70"/>
        <v>9970.9399999999987</v>
      </c>
      <c r="BF106" s="423"/>
      <c r="BG106" s="424"/>
      <c r="BH106" s="425"/>
      <c r="BI106" s="426"/>
      <c r="BM106" s="427" t="s">
        <v>553</v>
      </c>
      <c r="BN106" s="93" t="s">
        <v>494</v>
      </c>
      <c r="BO106" s="94">
        <v>0</v>
      </c>
      <c r="BP106" s="94">
        <v>12500000</v>
      </c>
      <c r="BQ106" s="94">
        <v>12500000</v>
      </c>
      <c r="BR106" s="94">
        <v>0</v>
      </c>
      <c r="BS106" s="94">
        <v>4165000</v>
      </c>
      <c r="BT106" s="426">
        <f t="shared" si="72"/>
        <v>13287.5</v>
      </c>
      <c r="BU106" s="426">
        <f t="shared" si="73"/>
        <v>13287.5</v>
      </c>
      <c r="BV106" s="426">
        <f t="shared" si="74"/>
        <v>0</v>
      </c>
      <c r="BW106" s="426">
        <f t="shared" si="75"/>
        <v>4427.3949999999995</v>
      </c>
      <c r="CA106" s="93" t="s">
        <v>609</v>
      </c>
      <c r="CB106" s="426">
        <v>0</v>
      </c>
      <c r="CC106" s="426">
        <f t="shared" si="76"/>
        <v>0</v>
      </c>
      <c r="CG106" s="424" t="s">
        <v>605</v>
      </c>
      <c r="CH106" s="425">
        <v>0</v>
      </c>
      <c r="CI106" s="425">
        <v>63082088</v>
      </c>
      <c r="CJ106" s="425">
        <v>-63082088</v>
      </c>
      <c r="CK106" s="425">
        <v>62911549</v>
      </c>
      <c r="CL106" s="425">
        <v>170539</v>
      </c>
      <c r="CM106" s="425">
        <v>25226951</v>
      </c>
      <c r="CN106" s="425">
        <f t="shared" si="77"/>
        <v>67056.259544</v>
      </c>
      <c r="CO106" s="425">
        <f t="shared" si="78"/>
        <v>66874.976586999997</v>
      </c>
      <c r="CP106" s="425">
        <f t="shared" si="79"/>
        <v>181.28295699999998</v>
      </c>
      <c r="CQ106" s="425">
        <f t="shared" si="80"/>
        <v>26816.248912999999</v>
      </c>
      <c r="CU106" s="424" t="s">
        <v>413</v>
      </c>
      <c r="CV106" s="425">
        <v>55000000</v>
      </c>
      <c r="CW106" s="425">
        <v>11510314</v>
      </c>
      <c r="CX106" s="426">
        <f t="shared" si="81"/>
        <v>58465</v>
      </c>
      <c r="CY106" s="426">
        <f t="shared" si="82"/>
        <v>12235.463781999999</v>
      </c>
      <c r="DB106" s="568" t="s">
        <v>605</v>
      </c>
      <c r="DC106" s="569">
        <v>63319493</v>
      </c>
      <c r="DD106" s="569">
        <v>63319493</v>
      </c>
      <c r="DE106" s="569">
        <v>0</v>
      </c>
      <c r="DF106" s="569">
        <v>34434966</v>
      </c>
      <c r="DG106" s="570">
        <f t="shared" si="83"/>
        <v>67308.621058999997</v>
      </c>
      <c r="DH106" s="570">
        <f t="shared" si="84"/>
        <v>67308.621058999997</v>
      </c>
      <c r="DI106" s="570">
        <f t="shared" si="85"/>
        <v>0</v>
      </c>
      <c r="DJ106" s="570">
        <f t="shared" si="86"/>
        <v>36604.368858000002</v>
      </c>
      <c r="DN106" s="93" t="s">
        <v>414</v>
      </c>
      <c r="DO106" s="93">
        <v>8321146</v>
      </c>
      <c r="DP106" s="93">
        <v>8321146</v>
      </c>
      <c r="DQ106" s="626">
        <f t="shared" si="87"/>
        <v>8845.3781980000003</v>
      </c>
      <c r="DR106" s="626">
        <f t="shared" si="88"/>
        <v>8845.3781980000003</v>
      </c>
      <c r="DV106" s="93" t="s">
        <v>404</v>
      </c>
      <c r="DW106" s="94">
        <v>593256293</v>
      </c>
      <c r="DX106" s="94">
        <v>584340000</v>
      </c>
      <c r="DY106" s="94">
        <v>8916293</v>
      </c>
      <c r="DZ106" s="94">
        <v>368408048</v>
      </c>
      <c r="EA106" s="94">
        <f t="shared" si="89"/>
        <v>630631.4394589999</v>
      </c>
      <c r="EB106" s="94">
        <f t="shared" si="90"/>
        <v>621153.41999999993</v>
      </c>
      <c r="EC106" s="94">
        <f t="shared" si="91"/>
        <v>9478.0194589999992</v>
      </c>
      <c r="ED106" s="94">
        <f t="shared" si="92"/>
        <v>391617.75502400001</v>
      </c>
      <c r="EH106" s="420" t="s">
        <v>411</v>
      </c>
      <c r="EI106" s="420">
        <v>0</v>
      </c>
      <c r="EJ106" s="426">
        <f t="shared" si="93"/>
        <v>0</v>
      </c>
      <c r="EN106" s="420" t="s">
        <v>603</v>
      </c>
      <c r="EO106" s="426">
        <v>2627166</v>
      </c>
      <c r="EP106" s="426">
        <v>2627166</v>
      </c>
      <c r="EQ106" s="426">
        <v>0</v>
      </c>
      <c r="ER106" s="426">
        <v>2627166</v>
      </c>
      <c r="ES106" s="700">
        <f t="shared" si="94"/>
        <v>2792.6774580000001</v>
      </c>
      <c r="ET106" s="700">
        <f t="shared" si="95"/>
        <v>2792.6774580000001</v>
      </c>
      <c r="EU106" s="700">
        <f t="shared" si="96"/>
        <v>0</v>
      </c>
      <c r="EV106" s="700">
        <f t="shared" si="97"/>
        <v>2792.6774580000001</v>
      </c>
      <c r="EZ106" s="730" t="s">
        <v>355</v>
      </c>
      <c r="FA106" s="731" t="s">
        <v>495</v>
      </c>
      <c r="FB106" s="420">
        <v>0</v>
      </c>
      <c r="FC106" s="426">
        <f t="shared" si="98"/>
        <v>0</v>
      </c>
      <c r="FG106" s="735" t="s">
        <v>553</v>
      </c>
      <c r="FH106" s="734" t="s">
        <v>603</v>
      </c>
      <c r="FI106" s="732">
        <v>2627166</v>
      </c>
      <c r="FJ106" s="733">
        <v>2627166</v>
      </c>
      <c r="FK106" s="733">
        <v>0</v>
      </c>
      <c r="FL106" s="733">
        <v>2627166</v>
      </c>
      <c r="FM106" s="426">
        <f t="shared" si="99"/>
        <v>2627.1660000000002</v>
      </c>
      <c r="FN106" s="426">
        <f t="shared" si="100"/>
        <v>2627.1660000000002</v>
      </c>
      <c r="FO106" s="426">
        <f t="shared" si="101"/>
        <v>0</v>
      </c>
      <c r="FP106" s="426">
        <f t="shared" si="102"/>
        <v>2627.1660000000002</v>
      </c>
      <c r="FT106" s="427" t="s">
        <v>553</v>
      </c>
      <c r="FU106" s="93" t="s">
        <v>609</v>
      </c>
      <c r="FV106" s="94">
        <v>5099575</v>
      </c>
      <c r="FW106" s="94">
        <v>0</v>
      </c>
      <c r="FX106" s="94">
        <v>0</v>
      </c>
      <c r="FY106" s="426">
        <f t="shared" si="103"/>
        <v>5099.5749999999998</v>
      </c>
      <c r="FZ106" s="426">
        <f t="shared" si="104"/>
        <v>0</v>
      </c>
      <c r="GA106" s="426">
        <f t="shared" si="105"/>
        <v>0</v>
      </c>
      <c r="GG106" s="762" t="s">
        <v>553</v>
      </c>
      <c r="GH106" s="763" t="s">
        <v>603</v>
      </c>
      <c r="GI106" s="764">
        <v>2627166</v>
      </c>
      <c r="GJ106" s="764">
        <v>2627166</v>
      </c>
      <c r="GK106" s="764">
        <v>0</v>
      </c>
      <c r="GL106" s="764">
        <v>2627166</v>
      </c>
      <c r="GM106" s="764">
        <v>0</v>
      </c>
      <c r="GN106" s="426">
        <f t="shared" si="106"/>
        <v>2627.1660000000002</v>
      </c>
      <c r="GO106" s="426">
        <f t="shared" si="107"/>
        <v>2627.1660000000002</v>
      </c>
      <c r="GP106" s="426">
        <f t="shared" si="108"/>
        <v>0</v>
      </c>
      <c r="GQ106" s="426">
        <f t="shared" si="109"/>
        <v>2627.1660000000002</v>
      </c>
      <c r="GR106" s="426">
        <f t="shared" si="110"/>
        <v>0</v>
      </c>
      <c r="GV106" s="780" t="s">
        <v>410</v>
      </c>
      <c r="GW106" s="779">
        <v>3127143</v>
      </c>
      <c r="GX106" s="426">
        <f t="shared" si="111"/>
        <v>3127.143</v>
      </c>
      <c r="HB106" s="782" t="s">
        <v>399</v>
      </c>
      <c r="HC106" s="764">
        <v>1969275</v>
      </c>
      <c r="HD106" s="764">
        <v>1969275</v>
      </c>
      <c r="HE106" s="764">
        <v>0</v>
      </c>
      <c r="HF106" s="764">
        <v>1969275</v>
      </c>
      <c r="HG106" s="426">
        <f t="shared" si="112"/>
        <v>1969.2750000000001</v>
      </c>
      <c r="HH106" s="426">
        <f t="shared" si="113"/>
        <v>0</v>
      </c>
      <c r="HI106" s="426">
        <f t="shared" si="114"/>
        <v>1969.2750000000001</v>
      </c>
      <c r="HJ106" s="426">
        <f t="shared" si="115"/>
        <v>0</v>
      </c>
      <c r="HK106" s="426">
        <f t="shared" si="116"/>
        <v>1969.2750000000001</v>
      </c>
    </row>
    <row r="107" spans="1:219" ht="15" customHeight="1" x14ac:dyDescent="0.3">
      <c r="A107" s="287" t="s">
        <v>553</v>
      </c>
      <c r="B107" s="288" t="s">
        <v>407</v>
      </c>
      <c r="C107" s="289">
        <v>55047000</v>
      </c>
      <c r="D107" s="290">
        <f t="shared" si="61"/>
        <v>58514.960999999996</v>
      </c>
      <c r="E107" s="289">
        <v>0</v>
      </c>
      <c r="F107" s="289">
        <f t="shared" si="62"/>
        <v>0</v>
      </c>
      <c r="Q107" s="291" t="s">
        <v>553</v>
      </c>
      <c r="R107" s="292" t="s">
        <v>406</v>
      </c>
      <c r="S107" s="293">
        <v>0</v>
      </c>
      <c r="T107" s="293">
        <v>0</v>
      </c>
      <c r="U107" s="293">
        <f t="shared" si="64"/>
        <v>0</v>
      </c>
      <c r="V107" s="293">
        <f t="shared" si="65"/>
        <v>0</v>
      </c>
      <c r="Z107" s="288" t="s">
        <v>618</v>
      </c>
      <c r="AA107" s="289">
        <v>645000</v>
      </c>
      <c r="AB107" s="289">
        <f t="shared" si="66"/>
        <v>685.63499999999999</v>
      </c>
      <c r="AF107" s="288" t="s">
        <v>405</v>
      </c>
      <c r="AG107" s="289">
        <v>796161</v>
      </c>
      <c r="AH107" s="289">
        <f t="shared" si="117"/>
        <v>846.31914299999994</v>
      </c>
      <c r="AI107" s="289">
        <v>115100</v>
      </c>
      <c r="AL107" s="426"/>
      <c r="AN107" s="423" t="s">
        <v>449</v>
      </c>
      <c r="AO107" s="424" t="s">
        <v>610</v>
      </c>
      <c r="AP107" s="425">
        <v>4360000</v>
      </c>
      <c r="AQ107" s="425">
        <f t="shared" si="67"/>
        <v>4634.6799999999994</v>
      </c>
      <c r="AU107" s="423" t="s">
        <v>553</v>
      </c>
      <c r="AV107" s="424" t="s">
        <v>405</v>
      </c>
      <c r="AW107" s="425">
        <v>9495100</v>
      </c>
      <c r="AX107" s="425">
        <v>115100</v>
      </c>
      <c r="AY107" s="425">
        <v>9380000</v>
      </c>
      <c r="AZ107" s="426">
        <f t="shared" si="68"/>
        <v>10093.291299999999</v>
      </c>
      <c r="BA107" s="426">
        <f t="shared" si="69"/>
        <v>122.35129999999998</v>
      </c>
      <c r="BB107" s="426">
        <f t="shared" si="70"/>
        <v>9970.9399999999987</v>
      </c>
      <c r="BF107" s="423"/>
      <c r="BG107" s="424"/>
      <c r="BH107" s="425"/>
      <c r="BI107" s="426"/>
      <c r="BM107" s="427" t="s">
        <v>355</v>
      </c>
      <c r="BN107" s="93" t="s">
        <v>606</v>
      </c>
      <c r="BO107" s="94">
        <v>0</v>
      </c>
      <c r="BP107" s="94">
        <v>9495100</v>
      </c>
      <c r="BQ107" s="94">
        <v>115100</v>
      </c>
      <c r="BR107" s="94">
        <v>9380000</v>
      </c>
      <c r="BS107" s="94">
        <v>115100</v>
      </c>
      <c r="BT107" s="426">
        <f t="shared" si="72"/>
        <v>10093.291299999999</v>
      </c>
      <c r="BU107" s="426">
        <f t="shared" si="73"/>
        <v>122.35129999999998</v>
      </c>
      <c r="BV107" s="426">
        <f t="shared" si="74"/>
        <v>9970.9399999999987</v>
      </c>
      <c r="BW107" s="426">
        <f t="shared" si="75"/>
        <v>122.35129999999998</v>
      </c>
      <c r="CA107" s="93" t="s">
        <v>411</v>
      </c>
      <c r="CB107" s="426">
        <v>51051</v>
      </c>
      <c r="CC107" s="426">
        <f t="shared" si="76"/>
        <v>54.267212999999998</v>
      </c>
      <c r="CG107" s="424" t="s">
        <v>494</v>
      </c>
      <c r="CH107" s="425">
        <v>0</v>
      </c>
      <c r="CI107" s="425">
        <v>12500000</v>
      </c>
      <c r="CJ107" s="425">
        <v>-12500000</v>
      </c>
      <c r="CK107" s="425">
        <v>12500000</v>
      </c>
      <c r="CL107" s="425">
        <v>0</v>
      </c>
      <c r="CM107" s="425">
        <v>5206250</v>
      </c>
      <c r="CN107" s="425">
        <f t="shared" si="77"/>
        <v>13287.5</v>
      </c>
      <c r="CO107" s="425">
        <f t="shared" si="78"/>
        <v>13287.5</v>
      </c>
      <c r="CP107" s="425">
        <f t="shared" si="79"/>
        <v>0</v>
      </c>
      <c r="CQ107" s="425">
        <f t="shared" si="80"/>
        <v>5534.2437499999996</v>
      </c>
      <c r="CU107" s="424" t="s">
        <v>614</v>
      </c>
      <c r="CV107" s="425">
        <v>55000000</v>
      </c>
      <c r="CW107" s="425">
        <v>0</v>
      </c>
      <c r="CX107" s="426">
        <f t="shared" si="81"/>
        <v>58465</v>
      </c>
      <c r="CY107" s="426">
        <f t="shared" si="82"/>
        <v>0</v>
      </c>
      <c r="DB107" s="568" t="s">
        <v>494</v>
      </c>
      <c r="DC107" s="569">
        <v>12500000</v>
      </c>
      <c r="DD107" s="569">
        <v>12500000</v>
      </c>
      <c r="DE107" s="569">
        <v>0</v>
      </c>
      <c r="DF107" s="569">
        <v>6247500</v>
      </c>
      <c r="DG107" s="570">
        <f t="shared" si="83"/>
        <v>13287.5</v>
      </c>
      <c r="DH107" s="570">
        <f t="shared" si="84"/>
        <v>13287.5</v>
      </c>
      <c r="DI107" s="570">
        <f t="shared" si="85"/>
        <v>0</v>
      </c>
      <c r="DJ107" s="570">
        <f t="shared" si="86"/>
        <v>6641.0924999999997</v>
      </c>
      <c r="DN107" s="93" t="s">
        <v>619</v>
      </c>
      <c r="DO107" s="93">
        <v>8321146</v>
      </c>
      <c r="DP107" s="93">
        <v>8321146</v>
      </c>
      <c r="DQ107" s="626">
        <f t="shared" si="87"/>
        <v>8845.3781980000003</v>
      </c>
      <c r="DR107" s="626">
        <f t="shared" si="88"/>
        <v>8845.3781980000003</v>
      </c>
      <c r="DV107" s="93" t="s">
        <v>604</v>
      </c>
      <c r="DW107" s="94">
        <v>34416667</v>
      </c>
      <c r="DX107" s="94">
        <v>19613673</v>
      </c>
      <c r="DY107" s="94">
        <v>14802994</v>
      </c>
      <c r="DZ107" s="94">
        <v>15688376</v>
      </c>
      <c r="EA107" s="94">
        <f t="shared" si="89"/>
        <v>36584.917021000001</v>
      </c>
      <c r="EB107" s="94">
        <f t="shared" si="90"/>
        <v>20849.334398999999</v>
      </c>
      <c r="EC107" s="94">
        <f t="shared" si="91"/>
        <v>15735.582622</v>
      </c>
      <c r="ED107" s="94">
        <f t="shared" si="92"/>
        <v>16676.743687999999</v>
      </c>
      <c r="EH107" s="420" t="s">
        <v>412</v>
      </c>
      <c r="EI107" s="420">
        <v>33609772</v>
      </c>
      <c r="EJ107" s="426">
        <f t="shared" si="93"/>
        <v>35727.187635999995</v>
      </c>
      <c r="EN107" s="420" t="s">
        <v>402</v>
      </c>
      <c r="EO107" s="426">
        <v>89967986</v>
      </c>
      <c r="EP107" s="426">
        <v>59687986</v>
      </c>
      <c r="EQ107" s="426">
        <v>30280000</v>
      </c>
      <c r="ER107" s="426">
        <v>44841536</v>
      </c>
      <c r="ES107" s="700">
        <f t="shared" si="94"/>
        <v>95635.969117999994</v>
      </c>
      <c r="ET107" s="700">
        <f t="shared" si="95"/>
        <v>63448.329117999994</v>
      </c>
      <c r="EU107" s="700">
        <f t="shared" si="96"/>
        <v>32187.64</v>
      </c>
      <c r="EV107" s="700">
        <f t="shared" si="97"/>
        <v>47666.552767999994</v>
      </c>
      <c r="EZ107" s="730" t="s">
        <v>553</v>
      </c>
      <c r="FA107" s="731" t="s">
        <v>617</v>
      </c>
      <c r="FB107" s="420">
        <v>0</v>
      </c>
      <c r="FC107" s="426">
        <f t="shared" si="98"/>
        <v>0</v>
      </c>
      <c r="FG107" s="735" t="s">
        <v>553</v>
      </c>
      <c r="FH107" s="734" t="s">
        <v>402</v>
      </c>
      <c r="FI107" s="732">
        <v>98663386</v>
      </c>
      <c r="FJ107" s="733">
        <v>92499854</v>
      </c>
      <c r="FK107" s="733">
        <v>6163532</v>
      </c>
      <c r="FL107" s="733">
        <v>53198916</v>
      </c>
      <c r="FM107" s="426">
        <f t="shared" si="99"/>
        <v>98663.385999999999</v>
      </c>
      <c r="FN107" s="426">
        <f t="shared" si="100"/>
        <v>92499.854000000007</v>
      </c>
      <c r="FO107" s="426">
        <f t="shared" si="101"/>
        <v>6163.5320000000002</v>
      </c>
      <c r="FP107" s="426">
        <f t="shared" si="102"/>
        <v>53198.915999999997</v>
      </c>
      <c r="FT107" s="427" t="s">
        <v>553</v>
      </c>
      <c r="FU107" s="93" t="s">
        <v>411</v>
      </c>
      <c r="FV107" s="94">
        <v>-802625</v>
      </c>
      <c r="FW107" s="94">
        <v>0</v>
      </c>
      <c r="FX107" s="94">
        <v>0</v>
      </c>
      <c r="FY107" s="426">
        <f t="shared" si="103"/>
        <v>-802.625</v>
      </c>
      <c r="FZ107" s="426">
        <f t="shared" si="104"/>
        <v>0</v>
      </c>
      <c r="GA107" s="426">
        <f t="shared" si="105"/>
        <v>0</v>
      </c>
      <c r="GG107" s="762" t="s">
        <v>553</v>
      </c>
      <c r="GH107" s="763" t="s">
        <v>402</v>
      </c>
      <c r="GI107" s="764">
        <v>96135900</v>
      </c>
      <c r="GJ107" s="764">
        <v>96135900</v>
      </c>
      <c r="GK107" s="764">
        <v>0</v>
      </c>
      <c r="GL107" s="764">
        <v>57481904</v>
      </c>
      <c r="GM107" s="764">
        <v>38653996</v>
      </c>
      <c r="GN107" s="426">
        <f t="shared" si="106"/>
        <v>96135.9</v>
      </c>
      <c r="GO107" s="426">
        <f t="shared" si="107"/>
        <v>96135.9</v>
      </c>
      <c r="GP107" s="426">
        <f t="shared" si="108"/>
        <v>0</v>
      </c>
      <c r="GQ107" s="426">
        <f t="shared" si="109"/>
        <v>57481.904000000002</v>
      </c>
      <c r="GR107" s="426">
        <f t="shared" si="110"/>
        <v>38653.995999999999</v>
      </c>
      <c r="GV107" s="780" t="s">
        <v>609</v>
      </c>
      <c r="GW107" s="779">
        <v>5029035</v>
      </c>
      <c r="GX107" s="426">
        <f t="shared" si="111"/>
        <v>5029.0349999999999</v>
      </c>
      <c r="HB107" s="782" t="s">
        <v>400</v>
      </c>
      <c r="HC107" s="764">
        <v>395046075</v>
      </c>
      <c r="HD107" s="764">
        <v>395046075</v>
      </c>
      <c r="HE107" s="764">
        <v>0</v>
      </c>
      <c r="HF107" s="764">
        <v>393520505</v>
      </c>
      <c r="HG107" s="426">
        <f t="shared" si="112"/>
        <v>395046.07500000001</v>
      </c>
      <c r="HH107" s="426">
        <f t="shared" si="113"/>
        <v>0</v>
      </c>
      <c r="HI107" s="426">
        <f t="shared" si="114"/>
        <v>395046.07500000001</v>
      </c>
      <c r="HJ107" s="426">
        <f t="shared" si="115"/>
        <v>0</v>
      </c>
      <c r="HK107" s="426">
        <f t="shared" si="116"/>
        <v>393520.505</v>
      </c>
    </row>
    <row r="108" spans="1:219" ht="15" customHeight="1" x14ac:dyDescent="0.3">
      <c r="A108" s="287" t="s">
        <v>553</v>
      </c>
      <c r="B108" s="288" t="s">
        <v>408</v>
      </c>
      <c r="C108" s="289">
        <v>773366000</v>
      </c>
      <c r="D108" s="290">
        <f t="shared" si="61"/>
        <v>822088.05799999996</v>
      </c>
      <c r="E108" s="289">
        <v>7744600</v>
      </c>
      <c r="F108" s="289">
        <f t="shared" si="62"/>
        <v>8232.5097999999998</v>
      </c>
      <c r="Q108" s="291" t="s">
        <v>553</v>
      </c>
      <c r="R108" s="292" t="s">
        <v>407</v>
      </c>
      <c r="S108" s="293">
        <v>55047000</v>
      </c>
      <c r="T108" s="293">
        <v>0</v>
      </c>
      <c r="U108" s="293">
        <f t="shared" si="64"/>
        <v>58514.960999999996</v>
      </c>
      <c r="V108" s="293">
        <f t="shared" si="65"/>
        <v>0</v>
      </c>
      <c r="Z108" s="288" t="s">
        <v>414</v>
      </c>
      <c r="AA108" s="289">
        <v>0</v>
      </c>
      <c r="AB108" s="289">
        <f t="shared" si="66"/>
        <v>0</v>
      </c>
      <c r="AF108" s="288" t="s">
        <v>607</v>
      </c>
      <c r="AG108" s="289">
        <v>909033500</v>
      </c>
      <c r="AH108" s="289">
        <f t="shared" si="117"/>
        <v>966302.61049999995</v>
      </c>
      <c r="AI108" s="289">
        <v>84054306</v>
      </c>
      <c r="AL108" s="426"/>
      <c r="AN108" s="423" t="s">
        <v>355</v>
      </c>
      <c r="AO108" s="424" t="s">
        <v>611</v>
      </c>
      <c r="AP108" s="425">
        <v>4360000</v>
      </c>
      <c r="AQ108" s="425">
        <f t="shared" si="67"/>
        <v>4634.6799999999994</v>
      </c>
      <c r="AU108" s="423" t="s">
        <v>355</v>
      </c>
      <c r="AV108" s="424" t="s">
        <v>607</v>
      </c>
      <c r="AW108" s="425">
        <v>918808500</v>
      </c>
      <c r="AX108" s="425">
        <v>798757511</v>
      </c>
      <c r="AY108" s="425">
        <v>120050989</v>
      </c>
      <c r="AZ108" s="426">
        <f t="shared" si="68"/>
        <v>976693.43549999991</v>
      </c>
      <c r="BA108" s="426">
        <f t="shared" si="69"/>
        <v>849079.23419300001</v>
      </c>
      <c r="BB108" s="426">
        <f t="shared" si="70"/>
        <v>127614.201307</v>
      </c>
      <c r="BF108" s="423"/>
      <c r="BG108" s="424"/>
      <c r="BH108" s="425"/>
      <c r="BI108" s="426"/>
      <c r="BM108" s="427" t="s">
        <v>553</v>
      </c>
      <c r="BN108" s="93" t="s">
        <v>405</v>
      </c>
      <c r="BO108" s="94">
        <v>0</v>
      </c>
      <c r="BP108" s="94">
        <v>9495100</v>
      </c>
      <c r="BQ108" s="94">
        <v>115100</v>
      </c>
      <c r="BR108" s="94">
        <v>9380000</v>
      </c>
      <c r="BS108" s="94">
        <v>115100</v>
      </c>
      <c r="BT108" s="426">
        <f t="shared" si="72"/>
        <v>10093.291299999999</v>
      </c>
      <c r="BU108" s="426">
        <f t="shared" si="73"/>
        <v>122.35129999999998</v>
      </c>
      <c r="BV108" s="426">
        <f t="shared" si="74"/>
        <v>9970.9399999999987</v>
      </c>
      <c r="BW108" s="426">
        <f t="shared" si="75"/>
        <v>122.35129999999998</v>
      </c>
      <c r="CA108" s="93" t="s">
        <v>412</v>
      </c>
      <c r="CB108" s="426">
        <v>14581450</v>
      </c>
      <c r="CC108" s="426">
        <f t="shared" si="76"/>
        <v>15500.08135</v>
      </c>
      <c r="CG108" s="424" t="s">
        <v>606</v>
      </c>
      <c r="CH108" s="425">
        <v>0</v>
      </c>
      <c r="CI108" s="425">
        <v>9495100</v>
      </c>
      <c r="CJ108" s="425">
        <v>-9495100</v>
      </c>
      <c r="CK108" s="425">
        <v>8464407</v>
      </c>
      <c r="CL108" s="425">
        <v>1030693</v>
      </c>
      <c r="CM108" s="425">
        <v>115100</v>
      </c>
      <c r="CN108" s="425">
        <f t="shared" si="77"/>
        <v>10093.291299999999</v>
      </c>
      <c r="CO108" s="425">
        <f t="shared" si="78"/>
        <v>8997.6646409999994</v>
      </c>
      <c r="CP108" s="425">
        <f t="shared" si="79"/>
        <v>1095.626659</v>
      </c>
      <c r="CQ108" s="425">
        <f t="shared" si="80"/>
        <v>122.35129999999998</v>
      </c>
      <c r="CU108" s="424" t="s">
        <v>532</v>
      </c>
      <c r="CV108" s="425">
        <v>0</v>
      </c>
      <c r="CW108" s="425">
        <v>11510314</v>
      </c>
      <c r="CX108" s="426">
        <f t="shared" si="81"/>
        <v>0</v>
      </c>
      <c r="CY108" s="426">
        <f t="shared" si="82"/>
        <v>12235.463781999999</v>
      </c>
      <c r="DB108" s="568" t="s">
        <v>606</v>
      </c>
      <c r="DC108" s="569">
        <v>9495100</v>
      </c>
      <c r="DD108" s="569">
        <v>8464407</v>
      </c>
      <c r="DE108" s="569">
        <v>1030693</v>
      </c>
      <c r="DF108" s="569">
        <v>8464407</v>
      </c>
      <c r="DG108" s="570">
        <f t="shared" si="83"/>
        <v>10093.291299999999</v>
      </c>
      <c r="DH108" s="570">
        <f t="shared" si="84"/>
        <v>8997.6646409999994</v>
      </c>
      <c r="DI108" s="570">
        <f t="shared" si="85"/>
        <v>1095.626659</v>
      </c>
      <c r="DJ108" s="570">
        <f t="shared" si="86"/>
        <v>8997.6646409999994</v>
      </c>
      <c r="DN108" s="93" t="s">
        <v>415</v>
      </c>
      <c r="DO108" s="93">
        <v>58414850</v>
      </c>
      <c r="DP108" s="93">
        <v>0</v>
      </c>
      <c r="DQ108" s="626">
        <f t="shared" si="87"/>
        <v>62094.985549999998</v>
      </c>
      <c r="DR108" s="626">
        <f t="shared" si="88"/>
        <v>0</v>
      </c>
      <c r="DV108" s="93" t="s">
        <v>605</v>
      </c>
      <c r="DW108" s="94">
        <v>63319493</v>
      </c>
      <c r="DX108" s="94">
        <v>63319493</v>
      </c>
      <c r="DY108" s="94">
        <v>0</v>
      </c>
      <c r="DZ108" s="94">
        <v>39892019</v>
      </c>
      <c r="EA108" s="94">
        <f t="shared" si="89"/>
        <v>67308.621058999997</v>
      </c>
      <c r="EB108" s="94">
        <f t="shared" si="90"/>
        <v>67308.621058999997</v>
      </c>
      <c r="EC108" s="94">
        <f t="shared" si="91"/>
        <v>0</v>
      </c>
      <c r="ED108" s="94">
        <f t="shared" si="92"/>
        <v>42405.216197000002</v>
      </c>
      <c r="EH108" s="420" t="s">
        <v>413</v>
      </c>
      <c r="EI108" s="420">
        <v>33609772</v>
      </c>
      <c r="EJ108" s="426">
        <f t="shared" si="93"/>
        <v>35727.187635999995</v>
      </c>
      <c r="EN108" s="420" t="s">
        <v>403</v>
      </c>
      <c r="EO108" s="426">
        <v>674136465</v>
      </c>
      <c r="EP108" s="426">
        <v>662320840</v>
      </c>
      <c r="EQ108" s="426">
        <v>11815625</v>
      </c>
      <c r="ER108" s="426">
        <v>513569429</v>
      </c>
      <c r="ES108" s="700">
        <f t="shared" si="94"/>
        <v>716607.06229499995</v>
      </c>
      <c r="ET108" s="700">
        <f t="shared" si="95"/>
        <v>704047.05291999993</v>
      </c>
      <c r="EU108" s="700">
        <f t="shared" si="96"/>
        <v>12560.009375</v>
      </c>
      <c r="EV108" s="700">
        <f t="shared" si="97"/>
        <v>545924.30302699993</v>
      </c>
      <c r="EZ108" s="730" t="s">
        <v>553</v>
      </c>
      <c r="FA108" s="731" t="s">
        <v>904</v>
      </c>
      <c r="FB108" s="420">
        <v>0</v>
      </c>
      <c r="FC108" s="426">
        <f t="shared" si="98"/>
        <v>0</v>
      </c>
      <c r="FG108" s="735" t="s">
        <v>355</v>
      </c>
      <c r="FH108" s="734" t="s">
        <v>403</v>
      </c>
      <c r="FI108" s="732">
        <v>673955515</v>
      </c>
      <c r="FJ108" s="733">
        <v>665915361</v>
      </c>
      <c r="FK108" s="733">
        <v>8040154</v>
      </c>
      <c r="FL108" s="733">
        <v>560450866</v>
      </c>
      <c r="FM108" s="426">
        <f t="shared" si="99"/>
        <v>673955.51500000001</v>
      </c>
      <c r="FN108" s="426">
        <f t="shared" si="100"/>
        <v>665915.36100000003</v>
      </c>
      <c r="FO108" s="426">
        <f t="shared" si="101"/>
        <v>8040.1540000000005</v>
      </c>
      <c r="FP108" s="426">
        <f t="shared" si="102"/>
        <v>560450.86600000004</v>
      </c>
      <c r="FT108" s="427" t="s">
        <v>449</v>
      </c>
      <c r="FU108" s="93" t="s">
        <v>412</v>
      </c>
      <c r="FV108" s="94">
        <v>3370000</v>
      </c>
      <c r="FW108" s="94">
        <v>121155000</v>
      </c>
      <c r="FX108" s="94">
        <v>52753813</v>
      </c>
      <c r="FY108" s="426">
        <f t="shared" si="103"/>
        <v>3370</v>
      </c>
      <c r="FZ108" s="426">
        <f t="shared" si="104"/>
        <v>121155</v>
      </c>
      <c r="GA108" s="426">
        <f t="shared" si="105"/>
        <v>52753.813000000002</v>
      </c>
      <c r="GG108" s="762" t="s">
        <v>355</v>
      </c>
      <c r="GH108" s="763" t="s">
        <v>403</v>
      </c>
      <c r="GI108" s="764">
        <v>690233022</v>
      </c>
      <c r="GJ108" s="764">
        <v>690233022</v>
      </c>
      <c r="GK108" s="764">
        <v>0</v>
      </c>
      <c r="GL108" s="764">
        <v>622340869</v>
      </c>
      <c r="GM108" s="764">
        <v>67892153</v>
      </c>
      <c r="GN108" s="426">
        <f t="shared" si="106"/>
        <v>690233.022</v>
      </c>
      <c r="GO108" s="426">
        <f t="shared" si="107"/>
        <v>690233.022</v>
      </c>
      <c r="GP108" s="426">
        <f t="shared" si="108"/>
        <v>0</v>
      </c>
      <c r="GQ108" s="426">
        <f t="shared" si="109"/>
        <v>622340.86899999995</v>
      </c>
      <c r="GR108" s="426">
        <f t="shared" si="110"/>
        <v>67892.153000000006</v>
      </c>
      <c r="GV108" s="780" t="s">
        <v>610</v>
      </c>
      <c r="GW108" s="779">
        <v>165784000</v>
      </c>
      <c r="GX108" s="426">
        <f t="shared" si="111"/>
        <v>165784</v>
      </c>
      <c r="HB108" s="782" t="s">
        <v>401</v>
      </c>
      <c r="HC108" s="764">
        <v>78174631</v>
      </c>
      <c r="HD108" s="764">
        <v>78174631</v>
      </c>
      <c r="HE108" s="764">
        <v>0</v>
      </c>
      <c r="HF108" s="764">
        <v>78174631</v>
      </c>
      <c r="HG108" s="426">
        <f t="shared" si="112"/>
        <v>78174.630999999994</v>
      </c>
      <c r="HH108" s="426">
        <f t="shared" si="113"/>
        <v>0</v>
      </c>
      <c r="HI108" s="426">
        <f t="shared" si="114"/>
        <v>78174.630999999994</v>
      </c>
      <c r="HJ108" s="426">
        <f t="shared" si="115"/>
        <v>0</v>
      </c>
      <c r="HK108" s="426">
        <f t="shared" si="116"/>
        <v>78174.630999999994</v>
      </c>
    </row>
    <row r="109" spans="1:219" ht="15" customHeight="1" x14ac:dyDescent="0.3">
      <c r="A109" s="287" t="s">
        <v>553</v>
      </c>
      <c r="B109" s="288" t="s">
        <v>409</v>
      </c>
      <c r="C109" s="289">
        <v>5000000</v>
      </c>
      <c r="D109" s="290">
        <f t="shared" si="61"/>
        <v>5315</v>
      </c>
      <c r="E109" s="289">
        <v>0</v>
      </c>
      <c r="F109" s="289">
        <f t="shared" si="62"/>
        <v>0</v>
      </c>
      <c r="Q109" s="291" t="s">
        <v>553</v>
      </c>
      <c r="R109" s="292" t="s">
        <v>408</v>
      </c>
      <c r="S109" s="293">
        <v>773366000</v>
      </c>
      <c r="T109" s="293">
        <v>10510507</v>
      </c>
      <c r="U109" s="293">
        <f t="shared" si="64"/>
        <v>822088.05799999996</v>
      </c>
      <c r="V109" s="293">
        <f t="shared" si="65"/>
        <v>11172.668941</v>
      </c>
      <c r="Z109" s="288" t="s">
        <v>619</v>
      </c>
      <c r="AA109" s="289">
        <v>0</v>
      </c>
      <c r="AB109" s="289">
        <f t="shared" si="66"/>
        <v>0</v>
      </c>
      <c r="AF109" s="288" t="s">
        <v>406</v>
      </c>
      <c r="AG109" s="289">
        <v>54525000</v>
      </c>
      <c r="AH109" s="289">
        <f t="shared" si="117"/>
        <v>57960.074999999997</v>
      </c>
      <c r="AI109" s="289">
        <v>0</v>
      </c>
      <c r="AL109" s="426"/>
      <c r="AN109" s="423" t="s">
        <v>553</v>
      </c>
      <c r="AO109" s="424" t="s">
        <v>612</v>
      </c>
      <c r="AP109" s="425">
        <v>4360000</v>
      </c>
      <c r="AQ109" s="425">
        <f t="shared" si="67"/>
        <v>4634.6799999999994</v>
      </c>
      <c r="AU109" s="423" t="s">
        <v>553</v>
      </c>
      <c r="AV109" s="424" t="s">
        <v>406</v>
      </c>
      <c r="AW109" s="425">
        <v>54525000</v>
      </c>
      <c r="AX109" s="425">
        <v>54525000</v>
      </c>
      <c r="AY109" s="425">
        <v>0</v>
      </c>
      <c r="AZ109" s="426">
        <f t="shared" si="68"/>
        <v>57960.074999999997</v>
      </c>
      <c r="BA109" s="426">
        <f t="shared" si="69"/>
        <v>57960.074999999997</v>
      </c>
      <c r="BB109" s="426">
        <f t="shared" si="70"/>
        <v>0</v>
      </c>
      <c r="BF109" s="423"/>
      <c r="BG109" s="424"/>
      <c r="BH109" s="425"/>
      <c r="BI109" s="426"/>
      <c r="BM109" s="427" t="s">
        <v>355</v>
      </c>
      <c r="BN109" s="93" t="s">
        <v>607</v>
      </c>
      <c r="BO109" s="94">
        <v>0</v>
      </c>
      <c r="BP109" s="94">
        <v>946566553</v>
      </c>
      <c r="BQ109" s="94">
        <v>858228935</v>
      </c>
      <c r="BR109" s="94">
        <v>88337618</v>
      </c>
      <c r="BS109" s="94">
        <v>276013704</v>
      </c>
      <c r="BT109" s="426">
        <f t="shared" si="72"/>
        <v>1006200.2458389999</v>
      </c>
      <c r="BU109" s="426">
        <f t="shared" si="73"/>
        <v>912297.35790499998</v>
      </c>
      <c r="BV109" s="426">
        <f t="shared" si="74"/>
        <v>93902.887933999998</v>
      </c>
      <c r="BW109" s="426">
        <f t="shared" si="75"/>
        <v>293402.56735200004</v>
      </c>
      <c r="CA109" s="93" t="s">
        <v>413</v>
      </c>
      <c r="CB109" s="426">
        <v>14581450</v>
      </c>
      <c r="CC109" s="426">
        <f t="shared" si="76"/>
        <v>15500.08135</v>
      </c>
      <c r="CG109" s="424" t="s">
        <v>405</v>
      </c>
      <c r="CH109" s="425">
        <v>0</v>
      </c>
      <c r="CI109" s="425">
        <v>9495100</v>
      </c>
      <c r="CJ109" s="425">
        <v>-9495100</v>
      </c>
      <c r="CK109" s="425">
        <v>8464407</v>
      </c>
      <c r="CL109" s="425">
        <v>1030693</v>
      </c>
      <c r="CM109" s="425">
        <v>115100</v>
      </c>
      <c r="CN109" s="425">
        <f t="shared" si="77"/>
        <v>10093.291299999999</v>
      </c>
      <c r="CO109" s="425">
        <f t="shared" si="78"/>
        <v>8997.6646409999994</v>
      </c>
      <c r="CP109" s="425">
        <f t="shared" si="79"/>
        <v>1095.626659</v>
      </c>
      <c r="CQ109" s="425">
        <f t="shared" si="80"/>
        <v>122.35129999999998</v>
      </c>
      <c r="CU109" s="424" t="s">
        <v>638</v>
      </c>
      <c r="CV109" s="425">
        <v>200000000</v>
      </c>
      <c r="CW109" s="425">
        <v>81363727</v>
      </c>
      <c r="CX109" s="426">
        <f t="shared" si="81"/>
        <v>212600</v>
      </c>
      <c r="CY109" s="426">
        <f t="shared" si="82"/>
        <v>86489.641800999991</v>
      </c>
      <c r="DB109" s="568" t="s">
        <v>405</v>
      </c>
      <c r="DC109" s="569">
        <v>9495100</v>
      </c>
      <c r="DD109" s="569">
        <v>8464407</v>
      </c>
      <c r="DE109" s="569">
        <v>1030693</v>
      </c>
      <c r="DF109" s="569">
        <v>8464407</v>
      </c>
      <c r="DG109" s="570">
        <f t="shared" si="83"/>
        <v>10093.291299999999</v>
      </c>
      <c r="DH109" s="570">
        <f t="shared" si="84"/>
        <v>8997.6646409999994</v>
      </c>
      <c r="DI109" s="570">
        <f t="shared" si="85"/>
        <v>1095.626659</v>
      </c>
      <c r="DJ109" s="570">
        <f t="shared" si="86"/>
        <v>8997.6646409999994</v>
      </c>
      <c r="DN109" s="93" t="s">
        <v>620</v>
      </c>
      <c r="DO109" s="93">
        <v>58414850</v>
      </c>
      <c r="DP109" s="93">
        <v>0</v>
      </c>
      <c r="DQ109" s="626">
        <f t="shared" si="87"/>
        <v>62094.985549999998</v>
      </c>
      <c r="DR109" s="626">
        <f t="shared" si="88"/>
        <v>0</v>
      </c>
      <c r="DV109" s="93" t="s">
        <v>494</v>
      </c>
      <c r="DW109" s="94">
        <v>12500000</v>
      </c>
      <c r="DX109" s="94">
        <v>12500000</v>
      </c>
      <c r="DY109" s="94">
        <v>0</v>
      </c>
      <c r="DZ109" s="94">
        <v>7288750</v>
      </c>
      <c r="EA109" s="94">
        <f t="shared" si="89"/>
        <v>13287.5</v>
      </c>
      <c r="EB109" s="94">
        <f t="shared" si="90"/>
        <v>13287.5</v>
      </c>
      <c r="EC109" s="94">
        <f t="shared" si="91"/>
        <v>0</v>
      </c>
      <c r="ED109" s="94">
        <f t="shared" si="92"/>
        <v>7747.9412499999999</v>
      </c>
      <c r="EH109" s="420" t="s">
        <v>614</v>
      </c>
      <c r="EI109" s="420">
        <v>22000000</v>
      </c>
      <c r="EJ109" s="426">
        <f t="shared" si="93"/>
        <v>23386</v>
      </c>
      <c r="EN109" s="420" t="s">
        <v>404</v>
      </c>
      <c r="EO109" s="426">
        <v>563256293</v>
      </c>
      <c r="EP109" s="426">
        <v>554340000</v>
      </c>
      <c r="EQ109" s="426">
        <v>8916293</v>
      </c>
      <c r="ER109" s="426">
        <v>442003610</v>
      </c>
      <c r="ES109" s="700">
        <f t="shared" si="94"/>
        <v>598741.4394589999</v>
      </c>
      <c r="ET109" s="700">
        <f t="shared" si="95"/>
        <v>589263.41999999993</v>
      </c>
      <c r="EU109" s="700">
        <f t="shared" si="96"/>
        <v>9478.0194589999992</v>
      </c>
      <c r="EV109" s="700">
        <f t="shared" si="97"/>
        <v>469849.83742999996</v>
      </c>
      <c r="EZ109" s="730" t="s">
        <v>449</v>
      </c>
      <c r="FA109" s="731" t="s">
        <v>638</v>
      </c>
      <c r="FB109" s="420">
        <v>25328784</v>
      </c>
      <c r="FC109" s="426">
        <f t="shared" si="98"/>
        <v>25328.784</v>
      </c>
      <c r="FG109" s="735" t="s">
        <v>553</v>
      </c>
      <c r="FH109" s="734" t="s">
        <v>404</v>
      </c>
      <c r="FI109" s="732">
        <v>563075343</v>
      </c>
      <c r="FJ109" s="733">
        <v>557934521</v>
      </c>
      <c r="FK109" s="733">
        <v>5140822</v>
      </c>
      <c r="FL109" s="733">
        <v>480031493</v>
      </c>
      <c r="FM109" s="426">
        <f t="shared" si="99"/>
        <v>563075.34299999999</v>
      </c>
      <c r="FN109" s="426">
        <f t="shared" si="100"/>
        <v>557934.52099999995</v>
      </c>
      <c r="FO109" s="426">
        <f t="shared" si="101"/>
        <v>5140.8220000000001</v>
      </c>
      <c r="FP109" s="426">
        <f t="shared" si="102"/>
        <v>480031.49300000002</v>
      </c>
      <c r="FT109" s="427" t="s">
        <v>355</v>
      </c>
      <c r="FU109" s="93" t="s">
        <v>538</v>
      </c>
      <c r="FV109" s="94">
        <v>0</v>
      </c>
      <c r="FW109" s="94">
        <v>81155000</v>
      </c>
      <c r="FX109" s="94">
        <v>0</v>
      </c>
      <c r="FY109" s="426">
        <f t="shared" si="103"/>
        <v>0</v>
      </c>
      <c r="FZ109" s="426">
        <f t="shared" si="104"/>
        <v>81155</v>
      </c>
      <c r="GA109" s="426">
        <f t="shared" si="105"/>
        <v>0</v>
      </c>
      <c r="GG109" s="762" t="s">
        <v>553</v>
      </c>
      <c r="GH109" s="763" t="s">
        <v>404</v>
      </c>
      <c r="GI109" s="764">
        <v>590170538</v>
      </c>
      <c r="GJ109" s="764">
        <v>590170538</v>
      </c>
      <c r="GK109" s="764">
        <v>0</v>
      </c>
      <c r="GL109" s="764">
        <v>533297594</v>
      </c>
      <c r="GM109" s="764">
        <v>56872944</v>
      </c>
      <c r="GN109" s="426">
        <f t="shared" si="106"/>
        <v>590170.53799999994</v>
      </c>
      <c r="GO109" s="426">
        <f t="shared" si="107"/>
        <v>590170.53799999994</v>
      </c>
      <c r="GP109" s="426">
        <f t="shared" si="108"/>
        <v>0</v>
      </c>
      <c r="GQ109" s="426">
        <f t="shared" si="109"/>
        <v>533297.59400000004</v>
      </c>
      <c r="GR109" s="426">
        <f t="shared" si="110"/>
        <v>56872.944000000003</v>
      </c>
      <c r="GV109" s="780" t="s">
        <v>611</v>
      </c>
      <c r="GW109" s="779">
        <v>165784000</v>
      </c>
      <c r="GX109" s="426">
        <f t="shared" si="111"/>
        <v>165784</v>
      </c>
      <c r="HB109" s="782" t="s">
        <v>601</v>
      </c>
      <c r="HC109" s="764">
        <v>152183824</v>
      </c>
      <c r="HD109" s="764">
        <v>152183824</v>
      </c>
      <c r="HE109" s="764">
        <v>0</v>
      </c>
      <c r="HF109" s="764">
        <v>150658254</v>
      </c>
      <c r="HG109" s="426">
        <f t="shared" si="112"/>
        <v>152183.82399999999</v>
      </c>
      <c r="HH109" s="426">
        <f t="shared" si="113"/>
        <v>0</v>
      </c>
      <c r="HI109" s="426">
        <f t="shared" si="114"/>
        <v>152183.82399999999</v>
      </c>
      <c r="HJ109" s="426">
        <f t="shared" si="115"/>
        <v>0</v>
      </c>
      <c r="HK109" s="426">
        <f t="shared" si="116"/>
        <v>150658.25399999999</v>
      </c>
    </row>
    <row r="110" spans="1:219" ht="15" customHeight="1" x14ac:dyDescent="0.3">
      <c r="A110" s="287" t="s">
        <v>355</v>
      </c>
      <c r="B110" s="288" t="s">
        <v>608</v>
      </c>
      <c r="C110" s="289">
        <v>2270900</v>
      </c>
      <c r="D110" s="290">
        <f t="shared" si="61"/>
        <v>2413.9666999999999</v>
      </c>
      <c r="E110" s="289">
        <v>66664</v>
      </c>
      <c r="F110" s="289">
        <f t="shared" si="62"/>
        <v>70.863832000000002</v>
      </c>
      <c r="Q110" s="291" t="s">
        <v>553</v>
      </c>
      <c r="R110" s="292" t="s">
        <v>409</v>
      </c>
      <c r="S110" s="293">
        <v>5000000</v>
      </c>
      <c r="T110" s="293">
        <v>0</v>
      </c>
      <c r="U110" s="293">
        <f t="shared" si="64"/>
        <v>5315</v>
      </c>
      <c r="V110" s="293">
        <f t="shared" si="65"/>
        <v>0</v>
      </c>
      <c r="Z110" s="288" t="s">
        <v>415</v>
      </c>
      <c r="AA110" s="289">
        <v>645000</v>
      </c>
      <c r="AB110" s="289">
        <f t="shared" si="66"/>
        <v>685.63499999999999</v>
      </c>
      <c r="AF110" s="288" t="s">
        <v>407</v>
      </c>
      <c r="AG110" s="289">
        <v>55047000</v>
      </c>
      <c r="AH110" s="289">
        <f t="shared" si="117"/>
        <v>58514.960999999996</v>
      </c>
      <c r="AI110" s="289">
        <v>1300000</v>
      </c>
      <c r="AL110" s="426"/>
      <c r="AN110" s="423" t="s">
        <v>449</v>
      </c>
      <c r="AO110" s="424" t="s">
        <v>412</v>
      </c>
      <c r="AP110" s="425">
        <v>35416301</v>
      </c>
      <c r="AQ110" s="425">
        <f t="shared" si="67"/>
        <v>37647.527963</v>
      </c>
      <c r="AU110" s="423" t="s">
        <v>553</v>
      </c>
      <c r="AV110" s="424" t="s">
        <v>407</v>
      </c>
      <c r="AW110" s="425">
        <v>55047000</v>
      </c>
      <c r="AX110" s="425">
        <v>7290000</v>
      </c>
      <c r="AY110" s="425">
        <v>47757000</v>
      </c>
      <c r="AZ110" s="426">
        <f t="shared" si="68"/>
        <v>58514.960999999996</v>
      </c>
      <c r="BA110" s="426">
        <f t="shared" si="69"/>
        <v>7749.2699999999995</v>
      </c>
      <c r="BB110" s="426">
        <f t="shared" si="70"/>
        <v>50765.690999999999</v>
      </c>
      <c r="BF110" s="423"/>
      <c r="BG110" s="424"/>
      <c r="BH110" s="425"/>
      <c r="BI110" s="426"/>
      <c r="BM110" s="427" t="s">
        <v>553</v>
      </c>
      <c r="BN110" s="93" t="s">
        <v>406</v>
      </c>
      <c r="BO110" s="94">
        <v>0</v>
      </c>
      <c r="BP110" s="94">
        <v>87725000</v>
      </c>
      <c r="BQ110" s="94">
        <v>87725000</v>
      </c>
      <c r="BR110" s="94">
        <v>0</v>
      </c>
      <c r="BS110" s="94">
        <v>54525000</v>
      </c>
      <c r="BT110" s="426">
        <f t="shared" si="72"/>
        <v>93251.674999999988</v>
      </c>
      <c r="BU110" s="426">
        <f t="shared" si="73"/>
        <v>93251.674999999988</v>
      </c>
      <c r="BV110" s="426">
        <f t="shared" si="74"/>
        <v>0</v>
      </c>
      <c r="BW110" s="426">
        <f t="shared" si="75"/>
        <v>57960.074999999997</v>
      </c>
      <c r="CA110" s="93" t="s">
        <v>614</v>
      </c>
      <c r="CB110" s="426">
        <v>0</v>
      </c>
      <c r="CC110" s="426">
        <f t="shared" si="76"/>
        <v>0</v>
      </c>
      <c r="CG110" s="424" t="s">
        <v>607</v>
      </c>
      <c r="CH110" s="425">
        <v>0</v>
      </c>
      <c r="CI110" s="425">
        <v>936237328</v>
      </c>
      <c r="CJ110" s="425">
        <v>-936237328</v>
      </c>
      <c r="CK110" s="425">
        <v>898228935</v>
      </c>
      <c r="CL110" s="425">
        <v>38008393</v>
      </c>
      <c r="CM110" s="425">
        <v>361529253</v>
      </c>
      <c r="CN110" s="425">
        <f t="shared" si="77"/>
        <v>995220.27966399991</v>
      </c>
      <c r="CO110" s="425">
        <f t="shared" si="78"/>
        <v>954817.35790499998</v>
      </c>
      <c r="CP110" s="425">
        <f t="shared" si="79"/>
        <v>40402.921758999997</v>
      </c>
      <c r="CQ110" s="425">
        <f t="shared" si="80"/>
        <v>384305.59593900002</v>
      </c>
      <c r="CU110" s="424" t="s">
        <v>639</v>
      </c>
      <c r="CV110" s="425">
        <v>200000000</v>
      </c>
      <c r="CW110" s="425">
        <v>81363727</v>
      </c>
      <c r="CX110" s="426">
        <f t="shared" si="81"/>
        <v>212600</v>
      </c>
      <c r="CY110" s="426">
        <f t="shared" si="82"/>
        <v>86489.641800999991</v>
      </c>
      <c r="DB110" s="568" t="s">
        <v>607</v>
      </c>
      <c r="DC110" s="569">
        <v>904179654</v>
      </c>
      <c r="DD110" s="569">
        <v>846210889</v>
      </c>
      <c r="DE110" s="569">
        <v>57968765</v>
      </c>
      <c r="DF110" s="569">
        <v>501925951</v>
      </c>
      <c r="DG110" s="570">
        <f t="shared" si="83"/>
        <v>961142.97220199998</v>
      </c>
      <c r="DH110" s="570">
        <f t="shared" si="84"/>
        <v>899522.17500699987</v>
      </c>
      <c r="DI110" s="570">
        <f t="shared" si="85"/>
        <v>61620.797194999999</v>
      </c>
      <c r="DJ110" s="570">
        <f t="shared" si="86"/>
        <v>533547.285913</v>
      </c>
      <c r="DV110" s="93" t="s">
        <v>606</v>
      </c>
      <c r="DW110" s="94">
        <v>9495100</v>
      </c>
      <c r="DX110" s="94">
        <v>8464407</v>
      </c>
      <c r="DY110" s="94">
        <v>1030693</v>
      </c>
      <c r="DZ110" s="94">
        <v>8464407</v>
      </c>
      <c r="EA110" s="94">
        <f t="shared" si="89"/>
        <v>10093.291299999999</v>
      </c>
      <c r="EB110" s="94">
        <f t="shared" si="90"/>
        <v>8997.6646409999994</v>
      </c>
      <c r="EC110" s="94">
        <f t="shared" si="91"/>
        <v>1095.626659</v>
      </c>
      <c r="ED110" s="94">
        <f t="shared" si="92"/>
        <v>8997.6646409999994</v>
      </c>
      <c r="EH110" s="420" t="s">
        <v>532</v>
      </c>
      <c r="EI110" s="420">
        <v>11609772</v>
      </c>
      <c r="EJ110" s="426">
        <f t="shared" si="93"/>
        <v>12341.187636000001</v>
      </c>
      <c r="EN110" s="420" t="s">
        <v>604</v>
      </c>
      <c r="EO110" s="426">
        <v>32613673</v>
      </c>
      <c r="EP110" s="426">
        <v>32161347</v>
      </c>
      <c r="EQ110" s="426">
        <v>452326</v>
      </c>
      <c r="ER110" s="426">
        <v>17905400</v>
      </c>
      <c r="ES110" s="700">
        <f t="shared" si="94"/>
        <v>34668.334398999999</v>
      </c>
      <c r="ET110" s="700">
        <f t="shared" si="95"/>
        <v>34187.511860999999</v>
      </c>
      <c r="EU110" s="700">
        <f t="shared" si="96"/>
        <v>480.82253800000001</v>
      </c>
      <c r="EV110" s="700">
        <f t="shared" si="97"/>
        <v>19033.440200000001</v>
      </c>
      <c r="EZ110" s="730" t="s">
        <v>355</v>
      </c>
      <c r="FA110" s="731" t="s">
        <v>639</v>
      </c>
      <c r="FB110" s="420">
        <v>25328784</v>
      </c>
      <c r="FC110" s="426">
        <f t="shared" si="98"/>
        <v>25328.784</v>
      </c>
      <c r="FG110" s="735" t="s">
        <v>553</v>
      </c>
      <c r="FH110" s="734" t="s">
        <v>604</v>
      </c>
      <c r="FI110" s="732">
        <v>32613673</v>
      </c>
      <c r="FJ110" s="733">
        <v>32161347</v>
      </c>
      <c r="FK110" s="733">
        <v>452326</v>
      </c>
      <c r="FL110" s="733">
        <v>19987608</v>
      </c>
      <c r="FM110" s="426">
        <f t="shared" si="99"/>
        <v>32613.672999999999</v>
      </c>
      <c r="FN110" s="426">
        <f t="shared" si="100"/>
        <v>32161.347000000002</v>
      </c>
      <c r="FO110" s="426">
        <f t="shared" si="101"/>
        <v>452.32600000000002</v>
      </c>
      <c r="FP110" s="426">
        <f t="shared" si="102"/>
        <v>19987.608</v>
      </c>
      <c r="FT110" s="427" t="s">
        <v>553</v>
      </c>
      <c r="FU110" s="93" t="s">
        <v>690</v>
      </c>
      <c r="FV110" s="94">
        <v>0</v>
      </c>
      <c r="FW110" s="94">
        <v>81155000</v>
      </c>
      <c r="FX110" s="94">
        <v>0</v>
      </c>
      <c r="FY110" s="426">
        <f t="shared" si="103"/>
        <v>0</v>
      </c>
      <c r="FZ110" s="426">
        <f t="shared" si="104"/>
        <v>81155</v>
      </c>
      <c r="GA110" s="426">
        <f t="shared" si="105"/>
        <v>0</v>
      </c>
      <c r="GG110" s="762" t="s">
        <v>553</v>
      </c>
      <c r="GH110" s="763" t="s">
        <v>604</v>
      </c>
      <c r="GI110" s="764">
        <v>24987608</v>
      </c>
      <c r="GJ110" s="764">
        <v>24987608</v>
      </c>
      <c r="GK110" s="764">
        <v>0</v>
      </c>
      <c r="GL110" s="764">
        <v>22055899</v>
      </c>
      <c r="GM110" s="764">
        <v>2931709</v>
      </c>
      <c r="GN110" s="426">
        <f t="shared" si="106"/>
        <v>24987.608</v>
      </c>
      <c r="GO110" s="426">
        <f t="shared" si="107"/>
        <v>24987.608</v>
      </c>
      <c r="GP110" s="426">
        <f t="shared" si="108"/>
        <v>0</v>
      </c>
      <c r="GQ110" s="426">
        <f t="shared" si="109"/>
        <v>22055.899000000001</v>
      </c>
      <c r="GR110" s="426">
        <f t="shared" si="110"/>
        <v>2931.7089999999998</v>
      </c>
      <c r="GV110" s="780" t="s">
        <v>612</v>
      </c>
      <c r="GW110" s="779">
        <v>163527825</v>
      </c>
      <c r="GX110" s="426">
        <f t="shared" si="111"/>
        <v>163527.82500000001</v>
      </c>
      <c r="HB110" s="782" t="s">
        <v>602</v>
      </c>
      <c r="HC110" s="764">
        <v>63094258</v>
      </c>
      <c r="HD110" s="764">
        <v>63094258</v>
      </c>
      <c r="HE110" s="764">
        <v>0</v>
      </c>
      <c r="HF110" s="764">
        <v>63094258</v>
      </c>
      <c r="HG110" s="426">
        <f t="shared" si="112"/>
        <v>63094.258000000002</v>
      </c>
      <c r="HH110" s="426">
        <f t="shared" si="113"/>
        <v>0</v>
      </c>
      <c r="HI110" s="426">
        <f t="shared" si="114"/>
        <v>63094.258000000002</v>
      </c>
      <c r="HJ110" s="426">
        <f t="shared" si="115"/>
        <v>0</v>
      </c>
      <c r="HK110" s="426">
        <f t="shared" si="116"/>
        <v>63094.258000000002</v>
      </c>
    </row>
    <row r="111" spans="1:219" ht="15" customHeight="1" x14ac:dyDescent="0.3">
      <c r="A111" s="287" t="s">
        <v>553</v>
      </c>
      <c r="B111" s="288" t="s">
        <v>410</v>
      </c>
      <c r="C111" s="289">
        <v>2252000</v>
      </c>
      <c r="D111" s="290">
        <f t="shared" si="61"/>
        <v>2393.8759999999997</v>
      </c>
      <c r="E111" s="289">
        <v>47764</v>
      </c>
      <c r="F111" s="289">
        <f t="shared" si="62"/>
        <v>50.773132000000004</v>
      </c>
      <c r="Q111" s="291" t="s">
        <v>355</v>
      </c>
      <c r="R111" s="292" t="s">
        <v>608</v>
      </c>
      <c r="S111" s="293">
        <v>2493639</v>
      </c>
      <c r="T111" s="293">
        <v>386323</v>
      </c>
      <c r="U111" s="293">
        <f t="shared" si="64"/>
        <v>2650.738257</v>
      </c>
      <c r="V111" s="293">
        <f t="shared" si="65"/>
        <v>410.66134899999997</v>
      </c>
      <c r="Z111" s="288" t="s">
        <v>620</v>
      </c>
      <c r="AA111" s="289">
        <v>645000</v>
      </c>
      <c r="AB111" s="289">
        <f t="shared" si="66"/>
        <v>685.63499999999999</v>
      </c>
      <c r="AF111" s="288" t="s">
        <v>408</v>
      </c>
      <c r="AG111" s="289">
        <v>794461500</v>
      </c>
      <c r="AH111" s="289">
        <f t="shared" si="117"/>
        <v>844512.57449999999</v>
      </c>
      <c r="AI111" s="289">
        <v>82754306</v>
      </c>
      <c r="AL111" s="426"/>
      <c r="AN111" s="423" t="s">
        <v>355</v>
      </c>
      <c r="AO111" s="424" t="s">
        <v>413</v>
      </c>
      <c r="AP111" s="425">
        <v>35416301</v>
      </c>
      <c r="AQ111" s="425">
        <f t="shared" si="67"/>
        <v>37647.527963</v>
      </c>
      <c r="AU111" s="423" t="s">
        <v>553</v>
      </c>
      <c r="AV111" s="424" t="s">
        <v>408</v>
      </c>
      <c r="AW111" s="425">
        <v>804236500</v>
      </c>
      <c r="AX111" s="425">
        <v>736942511</v>
      </c>
      <c r="AY111" s="425">
        <v>67293989</v>
      </c>
      <c r="AZ111" s="426">
        <f t="shared" si="68"/>
        <v>854903.39949999994</v>
      </c>
      <c r="BA111" s="426">
        <f t="shared" si="69"/>
        <v>783369.88919300004</v>
      </c>
      <c r="BB111" s="426">
        <f t="shared" si="70"/>
        <v>71533.510307000004</v>
      </c>
      <c r="BF111" s="423"/>
      <c r="BG111" s="424"/>
      <c r="BH111" s="425"/>
      <c r="BI111" s="426"/>
      <c r="BM111" s="427" t="s">
        <v>553</v>
      </c>
      <c r="BN111" s="93" t="s">
        <v>407</v>
      </c>
      <c r="BO111" s="94">
        <v>0</v>
      </c>
      <c r="BP111" s="94">
        <v>55047000</v>
      </c>
      <c r="BQ111" s="94">
        <v>14632574</v>
      </c>
      <c r="BR111" s="94">
        <v>40414426</v>
      </c>
      <c r="BS111" s="94">
        <v>6300000</v>
      </c>
      <c r="BT111" s="426">
        <f t="shared" si="72"/>
        <v>58514.960999999996</v>
      </c>
      <c r="BU111" s="426">
        <f t="shared" si="73"/>
        <v>15554.426162</v>
      </c>
      <c r="BV111" s="426">
        <f t="shared" si="74"/>
        <v>42960.534838</v>
      </c>
      <c r="BW111" s="426">
        <f t="shared" si="75"/>
        <v>6696.9</v>
      </c>
      <c r="CA111" s="93" t="s">
        <v>532</v>
      </c>
      <c r="CB111" s="426">
        <v>14581450</v>
      </c>
      <c r="CC111" s="426">
        <f t="shared" si="76"/>
        <v>15500.08135</v>
      </c>
      <c r="CG111" s="424" t="s">
        <v>406</v>
      </c>
      <c r="CH111" s="425">
        <v>0</v>
      </c>
      <c r="CI111" s="425">
        <v>127725000</v>
      </c>
      <c r="CJ111" s="425">
        <v>-127725000</v>
      </c>
      <c r="CK111" s="425">
        <v>127725000</v>
      </c>
      <c r="CL111" s="425">
        <v>0</v>
      </c>
      <c r="CM111" s="425">
        <v>74525000</v>
      </c>
      <c r="CN111" s="425">
        <f t="shared" si="77"/>
        <v>135771.67499999999</v>
      </c>
      <c r="CO111" s="425">
        <f t="shared" si="78"/>
        <v>135771.67499999999</v>
      </c>
      <c r="CP111" s="425">
        <f t="shared" si="79"/>
        <v>0</v>
      </c>
      <c r="CQ111" s="425">
        <f t="shared" si="80"/>
        <v>79220.074999999997</v>
      </c>
      <c r="CU111" s="424" t="s">
        <v>618</v>
      </c>
      <c r="CV111" s="425">
        <v>2037482</v>
      </c>
      <c r="CW111" s="425">
        <v>14694842</v>
      </c>
      <c r="CX111" s="426">
        <f t="shared" si="81"/>
        <v>2165.8433660000001</v>
      </c>
      <c r="CY111" s="426">
        <f t="shared" si="82"/>
        <v>15620.617045999999</v>
      </c>
      <c r="DB111" s="568" t="s">
        <v>406</v>
      </c>
      <c r="DC111" s="569">
        <v>147471000</v>
      </c>
      <c r="DD111" s="569">
        <v>147471000</v>
      </c>
      <c r="DE111" s="569">
        <v>0</v>
      </c>
      <c r="DF111" s="569">
        <v>94271000</v>
      </c>
      <c r="DG111" s="570">
        <f t="shared" si="83"/>
        <v>156761.67299999998</v>
      </c>
      <c r="DH111" s="570">
        <f t="shared" si="84"/>
        <v>156761.67299999998</v>
      </c>
      <c r="DI111" s="570">
        <f t="shared" si="85"/>
        <v>0</v>
      </c>
      <c r="DJ111" s="570">
        <f t="shared" si="86"/>
        <v>100210.07299999999</v>
      </c>
      <c r="DV111" s="93" t="s">
        <v>405</v>
      </c>
      <c r="DW111" s="94">
        <v>9495100</v>
      </c>
      <c r="DX111" s="94">
        <v>8464407</v>
      </c>
      <c r="DY111" s="94">
        <v>1030693</v>
      </c>
      <c r="DZ111" s="94">
        <v>8464407</v>
      </c>
      <c r="EA111" s="94">
        <f t="shared" si="89"/>
        <v>10093.291299999999</v>
      </c>
      <c r="EB111" s="94">
        <f t="shared" si="90"/>
        <v>8997.6646409999994</v>
      </c>
      <c r="EC111" s="94">
        <f t="shared" si="91"/>
        <v>1095.626659</v>
      </c>
      <c r="ED111" s="94">
        <f t="shared" si="92"/>
        <v>8997.6646409999994</v>
      </c>
      <c r="EH111" s="420" t="s">
        <v>638</v>
      </c>
      <c r="EI111" s="420">
        <v>60505545</v>
      </c>
      <c r="EJ111" s="426">
        <f t="shared" si="93"/>
        <v>64317.394334999997</v>
      </c>
      <c r="EN111" s="420" t="s">
        <v>605</v>
      </c>
      <c r="EO111" s="426">
        <v>65766499</v>
      </c>
      <c r="EP111" s="426">
        <v>63319493</v>
      </c>
      <c r="EQ111" s="426">
        <v>2447006</v>
      </c>
      <c r="ER111" s="426">
        <v>45330419</v>
      </c>
      <c r="ES111" s="700">
        <f t="shared" si="94"/>
        <v>69909.788436999996</v>
      </c>
      <c r="ET111" s="700">
        <f t="shared" si="95"/>
        <v>67308.621058999997</v>
      </c>
      <c r="EU111" s="700">
        <f t="shared" si="96"/>
        <v>2601.1673779999996</v>
      </c>
      <c r="EV111" s="700">
        <f t="shared" si="97"/>
        <v>48186.235396999997</v>
      </c>
      <c r="EZ111" s="730" t="s">
        <v>449</v>
      </c>
      <c r="FA111" s="731" t="s">
        <v>618</v>
      </c>
      <c r="FB111" s="420">
        <v>4412500</v>
      </c>
      <c r="FC111" s="426">
        <f t="shared" si="98"/>
        <v>4412.5</v>
      </c>
      <c r="FG111" s="735" t="s">
        <v>553</v>
      </c>
      <c r="FH111" s="734" t="s">
        <v>605</v>
      </c>
      <c r="FI111" s="732">
        <v>65766499</v>
      </c>
      <c r="FJ111" s="733">
        <v>63319493</v>
      </c>
      <c r="FK111" s="733">
        <v>2447006</v>
      </c>
      <c r="FL111" s="733">
        <v>51060515</v>
      </c>
      <c r="FM111" s="426">
        <f t="shared" si="99"/>
        <v>65766.498999999996</v>
      </c>
      <c r="FN111" s="426">
        <f t="shared" si="100"/>
        <v>63319.493000000002</v>
      </c>
      <c r="FO111" s="426">
        <f t="shared" si="101"/>
        <v>2447.0059999999999</v>
      </c>
      <c r="FP111" s="426">
        <f t="shared" si="102"/>
        <v>51060.514999999999</v>
      </c>
      <c r="FT111" s="427" t="s">
        <v>355</v>
      </c>
      <c r="FU111" s="93" t="s">
        <v>413</v>
      </c>
      <c r="FV111" s="94">
        <v>3370000</v>
      </c>
      <c r="FW111" s="94">
        <v>0</v>
      </c>
      <c r="FX111" s="94">
        <v>12753813</v>
      </c>
      <c r="FY111" s="426">
        <f t="shared" si="103"/>
        <v>3370</v>
      </c>
      <c r="FZ111" s="426">
        <f t="shared" si="104"/>
        <v>0</v>
      </c>
      <c r="GA111" s="426">
        <f t="shared" si="105"/>
        <v>12753.813</v>
      </c>
      <c r="GG111" s="762" t="s">
        <v>553</v>
      </c>
      <c r="GH111" s="763" t="s">
        <v>605</v>
      </c>
      <c r="GI111" s="764">
        <v>62574876</v>
      </c>
      <c r="GJ111" s="764">
        <v>62574876</v>
      </c>
      <c r="GK111" s="764">
        <v>0</v>
      </c>
      <c r="GL111" s="764">
        <v>56574876</v>
      </c>
      <c r="GM111" s="764">
        <v>6000000</v>
      </c>
      <c r="GN111" s="426">
        <f t="shared" si="106"/>
        <v>62574.875999999997</v>
      </c>
      <c r="GO111" s="426">
        <f t="shared" si="107"/>
        <v>62574.875999999997</v>
      </c>
      <c r="GP111" s="426">
        <f t="shared" si="108"/>
        <v>0</v>
      </c>
      <c r="GQ111" s="426">
        <f t="shared" si="109"/>
        <v>56574.875999999997</v>
      </c>
      <c r="GR111" s="426">
        <f t="shared" si="110"/>
        <v>6000</v>
      </c>
      <c r="GV111" s="780" t="s">
        <v>927</v>
      </c>
      <c r="GW111" s="779">
        <v>2256175</v>
      </c>
      <c r="GX111" s="426">
        <f t="shared" si="111"/>
        <v>2256.1750000000002</v>
      </c>
      <c r="HB111" s="782" t="s">
        <v>603</v>
      </c>
      <c r="HC111" s="764">
        <v>2627166</v>
      </c>
      <c r="HD111" s="764">
        <v>2627166</v>
      </c>
      <c r="HE111" s="764">
        <v>0</v>
      </c>
      <c r="HF111" s="764">
        <v>2627166</v>
      </c>
      <c r="HG111" s="426">
        <f t="shared" si="112"/>
        <v>2627.1660000000002</v>
      </c>
      <c r="HH111" s="426">
        <f t="shared" si="113"/>
        <v>0</v>
      </c>
      <c r="HI111" s="426">
        <f t="shared" si="114"/>
        <v>2627.1660000000002</v>
      </c>
      <c r="HJ111" s="426">
        <f t="shared" si="115"/>
        <v>0</v>
      </c>
      <c r="HK111" s="426">
        <f t="shared" si="116"/>
        <v>2627.1660000000002</v>
      </c>
    </row>
    <row r="112" spans="1:219" ht="15" customHeight="1" x14ac:dyDescent="0.3">
      <c r="A112" s="287" t="s">
        <v>553</v>
      </c>
      <c r="B112" s="288" t="s">
        <v>411</v>
      </c>
      <c r="C112" s="289">
        <v>18900</v>
      </c>
      <c r="D112" s="290">
        <f t="shared" si="61"/>
        <v>20.090699999999998</v>
      </c>
      <c r="E112" s="289">
        <v>18900</v>
      </c>
      <c r="F112" s="289">
        <f t="shared" si="62"/>
        <v>20.090699999999998</v>
      </c>
      <c r="Q112" s="291" t="s">
        <v>553</v>
      </c>
      <c r="R112" s="292" t="s">
        <v>410</v>
      </c>
      <c r="S112" s="293">
        <v>2252000</v>
      </c>
      <c r="T112" s="293">
        <v>144684</v>
      </c>
      <c r="U112" s="293">
        <f t="shared" si="64"/>
        <v>2393.8759999999997</v>
      </c>
      <c r="V112" s="293">
        <f t="shared" si="65"/>
        <v>153.799092</v>
      </c>
      <c r="Z112" s="288" t="s">
        <v>416</v>
      </c>
      <c r="AA112" s="289">
        <v>7414649353</v>
      </c>
      <c r="AB112" s="289">
        <f t="shared" si="66"/>
        <v>7881772.2622389998</v>
      </c>
      <c r="AF112" s="288" t="s">
        <v>409</v>
      </c>
      <c r="AG112" s="289">
        <v>5000000</v>
      </c>
      <c r="AH112" s="289">
        <f t="shared" si="117"/>
        <v>5315</v>
      </c>
      <c r="AI112" s="289">
        <v>0</v>
      </c>
      <c r="AL112" s="426"/>
      <c r="AN112" s="423" t="s">
        <v>553</v>
      </c>
      <c r="AO112" s="424" t="s">
        <v>532</v>
      </c>
      <c r="AP112" s="425">
        <v>11016301</v>
      </c>
      <c r="AQ112" s="425">
        <f t="shared" si="67"/>
        <v>11710.327963</v>
      </c>
      <c r="AU112" s="423" t="s">
        <v>553</v>
      </c>
      <c r="AV112" s="424" t="s">
        <v>409</v>
      </c>
      <c r="AW112" s="425">
        <v>5000000</v>
      </c>
      <c r="AX112" s="425">
        <v>0</v>
      </c>
      <c r="AY112" s="425">
        <v>5000000</v>
      </c>
      <c r="AZ112" s="426">
        <f t="shared" si="68"/>
        <v>5315</v>
      </c>
      <c r="BA112" s="426">
        <f t="shared" si="69"/>
        <v>0</v>
      </c>
      <c r="BB112" s="426">
        <f t="shared" si="70"/>
        <v>5315</v>
      </c>
      <c r="BF112" s="423"/>
      <c r="BG112" s="424"/>
      <c r="BH112" s="425"/>
      <c r="BI112" s="426"/>
      <c r="BM112" s="427" t="s">
        <v>553</v>
      </c>
      <c r="BN112" s="93" t="s">
        <v>408</v>
      </c>
      <c r="BO112" s="94">
        <v>0</v>
      </c>
      <c r="BP112" s="94">
        <v>797194553</v>
      </c>
      <c r="BQ112" s="94">
        <v>754271361</v>
      </c>
      <c r="BR112" s="94">
        <v>42923192</v>
      </c>
      <c r="BS112" s="94">
        <v>213588704</v>
      </c>
      <c r="BT112" s="426">
        <f t="shared" si="72"/>
        <v>847417.80983899988</v>
      </c>
      <c r="BU112" s="426">
        <f t="shared" si="73"/>
        <v>801790.45674299996</v>
      </c>
      <c r="BV112" s="426">
        <f t="shared" si="74"/>
        <v>45627.353095999999</v>
      </c>
      <c r="BW112" s="426">
        <f t="shared" si="75"/>
        <v>227044.79235199999</v>
      </c>
      <c r="CA112" s="93" t="s">
        <v>618</v>
      </c>
      <c r="CB112" s="426">
        <v>8799999</v>
      </c>
      <c r="CC112" s="426">
        <f t="shared" si="76"/>
        <v>9354.3989369999999</v>
      </c>
      <c r="CG112" s="424" t="s">
        <v>407</v>
      </c>
      <c r="CH112" s="425">
        <v>0</v>
      </c>
      <c r="CI112" s="425">
        <v>44717775</v>
      </c>
      <c r="CJ112" s="425">
        <v>-44717775</v>
      </c>
      <c r="CK112" s="425">
        <v>14632574</v>
      </c>
      <c r="CL112" s="425">
        <v>30085201</v>
      </c>
      <c r="CM112" s="425">
        <v>6300000</v>
      </c>
      <c r="CN112" s="425">
        <f t="shared" si="77"/>
        <v>47534.994825000002</v>
      </c>
      <c r="CO112" s="425">
        <f t="shared" si="78"/>
        <v>15554.426162</v>
      </c>
      <c r="CP112" s="425">
        <f t="shared" si="79"/>
        <v>31980.568662999998</v>
      </c>
      <c r="CQ112" s="425">
        <f t="shared" si="80"/>
        <v>6696.9</v>
      </c>
      <c r="CU112" s="424" t="s">
        <v>415</v>
      </c>
      <c r="CV112" s="425">
        <v>2037482</v>
      </c>
      <c r="CW112" s="425">
        <v>14694842</v>
      </c>
      <c r="CX112" s="426">
        <f t="shared" si="81"/>
        <v>2165.8433660000001</v>
      </c>
      <c r="CY112" s="426">
        <f t="shared" si="82"/>
        <v>15620.617045999999</v>
      </c>
      <c r="DB112" s="568" t="s">
        <v>407</v>
      </c>
      <c r="DC112" s="569">
        <v>55047000</v>
      </c>
      <c r="DD112" s="569">
        <v>13952574</v>
      </c>
      <c r="DE112" s="569">
        <v>41094426</v>
      </c>
      <c r="DF112" s="569">
        <v>6300000</v>
      </c>
      <c r="DG112" s="570">
        <f t="shared" si="83"/>
        <v>58514.960999999996</v>
      </c>
      <c r="DH112" s="570">
        <f t="shared" si="84"/>
        <v>14831.586162</v>
      </c>
      <c r="DI112" s="570">
        <f t="shared" si="85"/>
        <v>43683.374837999996</v>
      </c>
      <c r="DJ112" s="570">
        <f t="shared" si="86"/>
        <v>6696.9</v>
      </c>
      <c r="DV112" s="93" t="s">
        <v>607</v>
      </c>
      <c r="DW112" s="94">
        <v>867629426</v>
      </c>
      <c r="DX112" s="94">
        <v>846676317</v>
      </c>
      <c r="DY112" s="94">
        <v>20953109</v>
      </c>
      <c r="DZ112" s="94">
        <v>588137650</v>
      </c>
      <c r="EA112" s="94">
        <f t="shared" si="89"/>
        <v>922290.07983799989</v>
      </c>
      <c r="EB112" s="94">
        <f t="shared" si="90"/>
        <v>900016.92497099994</v>
      </c>
      <c r="EC112" s="94">
        <f t="shared" si="91"/>
        <v>22273.154866999997</v>
      </c>
      <c r="ED112" s="94">
        <f t="shared" si="92"/>
        <v>625190.32195000001</v>
      </c>
      <c r="EH112" s="420" t="s">
        <v>639</v>
      </c>
      <c r="EI112" s="420">
        <v>60505545</v>
      </c>
      <c r="EJ112" s="426">
        <f t="shared" si="93"/>
        <v>64317.394334999997</v>
      </c>
      <c r="EN112" s="420" t="s">
        <v>494</v>
      </c>
      <c r="EO112" s="426">
        <v>12500000</v>
      </c>
      <c r="EP112" s="426">
        <v>12500000</v>
      </c>
      <c r="EQ112" s="426">
        <v>0</v>
      </c>
      <c r="ER112" s="426">
        <v>8330000</v>
      </c>
      <c r="ES112" s="700">
        <f t="shared" si="94"/>
        <v>13287.5</v>
      </c>
      <c r="ET112" s="700">
        <f t="shared" si="95"/>
        <v>13287.5</v>
      </c>
      <c r="EU112" s="700">
        <f t="shared" si="96"/>
        <v>0</v>
      </c>
      <c r="EV112" s="700">
        <f t="shared" si="97"/>
        <v>8854.7899999999991</v>
      </c>
      <c r="EZ112" s="730" t="s">
        <v>355</v>
      </c>
      <c r="FA112" s="731" t="s">
        <v>415</v>
      </c>
      <c r="FB112" s="420">
        <v>4412500</v>
      </c>
      <c r="FC112" s="426">
        <f t="shared" si="98"/>
        <v>4412.5</v>
      </c>
      <c r="FG112" s="735" t="s">
        <v>553</v>
      </c>
      <c r="FH112" s="734" t="s">
        <v>494</v>
      </c>
      <c r="FI112" s="732">
        <v>12500000</v>
      </c>
      <c r="FJ112" s="733">
        <v>12500000</v>
      </c>
      <c r="FK112" s="733">
        <v>0</v>
      </c>
      <c r="FL112" s="733">
        <v>9371250</v>
      </c>
      <c r="FM112" s="426">
        <f t="shared" si="99"/>
        <v>12500</v>
      </c>
      <c r="FN112" s="426">
        <f t="shared" si="100"/>
        <v>12500</v>
      </c>
      <c r="FO112" s="426">
        <f t="shared" si="101"/>
        <v>0</v>
      </c>
      <c r="FP112" s="426">
        <f t="shared" si="102"/>
        <v>9371.25</v>
      </c>
      <c r="FT112" s="427" t="s">
        <v>553</v>
      </c>
      <c r="FU112" s="93" t="s">
        <v>532</v>
      </c>
      <c r="FV112" s="94">
        <v>3370000</v>
      </c>
      <c r="FW112" s="94">
        <v>0</v>
      </c>
      <c r="FX112" s="94">
        <v>12753813</v>
      </c>
      <c r="FY112" s="426">
        <f t="shared" si="103"/>
        <v>3370</v>
      </c>
      <c r="FZ112" s="426">
        <f t="shared" si="104"/>
        <v>0</v>
      </c>
      <c r="GA112" s="426">
        <f t="shared" si="105"/>
        <v>12753.813</v>
      </c>
      <c r="GG112" s="762" t="s">
        <v>553</v>
      </c>
      <c r="GH112" s="763" t="s">
        <v>494</v>
      </c>
      <c r="GI112" s="764">
        <v>12500000</v>
      </c>
      <c r="GJ112" s="764">
        <v>12500000</v>
      </c>
      <c r="GK112" s="764">
        <v>0</v>
      </c>
      <c r="GL112" s="764">
        <v>10412500</v>
      </c>
      <c r="GM112" s="764">
        <v>2087500</v>
      </c>
      <c r="GN112" s="426">
        <f t="shared" si="106"/>
        <v>12500</v>
      </c>
      <c r="GO112" s="426">
        <f t="shared" si="107"/>
        <v>12500</v>
      </c>
      <c r="GP112" s="426">
        <f t="shared" si="108"/>
        <v>0</v>
      </c>
      <c r="GQ112" s="426">
        <f t="shared" si="109"/>
        <v>10412.5</v>
      </c>
      <c r="GR112" s="426">
        <f t="shared" si="110"/>
        <v>2087.5</v>
      </c>
      <c r="GV112" s="780" t="s">
        <v>412</v>
      </c>
      <c r="GW112" s="779">
        <v>327021037</v>
      </c>
      <c r="GX112" s="426">
        <f t="shared" si="111"/>
        <v>327021.03700000001</v>
      </c>
      <c r="HB112" s="782" t="s">
        <v>402</v>
      </c>
      <c r="HC112" s="764">
        <v>98966196</v>
      </c>
      <c r="HD112" s="764">
        <v>98966196</v>
      </c>
      <c r="HE112" s="764">
        <v>0</v>
      </c>
      <c r="HF112" s="764">
        <v>98966196</v>
      </c>
      <c r="HG112" s="426">
        <f t="shared" si="112"/>
        <v>98966.195999999996</v>
      </c>
      <c r="HH112" s="426">
        <f t="shared" si="113"/>
        <v>0</v>
      </c>
      <c r="HI112" s="426">
        <f t="shared" si="114"/>
        <v>98966.195999999996</v>
      </c>
      <c r="HJ112" s="426">
        <f t="shared" si="115"/>
        <v>0</v>
      </c>
      <c r="HK112" s="426">
        <f t="shared" si="116"/>
        <v>98966.195999999996</v>
      </c>
    </row>
    <row r="113" spans="1:219" ht="15" customHeight="1" x14ac:dyDescent="0.3">
      <c r="A113" s="287" t="s">
        <v>449</v>
      </c>
      <c r="B113" s="288" t="s">
        <v>412</v>
      </c>
      <c r="C113" s="289">
        <v>253879000</v>
      </c>
      <c r="D113" s="290">
        <f t="shared" si="61"/>
        <v>269873.37699999998</v>
      </c>
      <c r="E113" s="289">
        <v>15471149</v>
      </c>
      <c r="F113" s="289">
        <f t="shared" si="62"/>
        <v>16445.831386999998</v>
      </c>
      <c r="Q113" s="291" t="s">
        <v>553</v>
      </c>
      <c r="R113" s="292" t="s">
        <v>411</v>
      </c>
      <c r="S113" s="293">
        <v>241639</v>
      </c>
      <c r="T113" s="293">
        <v>241639</v>
      </c>
      <c r="U113" s="293">
        <f t="shared" si="64"/>
        <v>256.862257</v>
      </c>
      <c r="V113" s="293">
        <f t="shared" si="65"/>
        <v>256.862257</v>
      </c>
      <c r="Z113" s="288" t="s">
        <v>417</v>
      </c>
      <c r="AA113" s="289">
        <v>6132258586</v>
      </c>
      <c r="AB113" s="289">
        <f t="shared" si="66"/>
        <v>6518590.8769180002</v>
      </c>
      <c r="AF113" s="288" t="s">
        <v>608</v>
      </c>
      <c r="AG113" s="289">
        <v>2808563</v>
      </c>
      <c r="AH113" s="289">
        <f t="shared" si="117"/>
        <v>2985.502469</v>
      </c>
      <c r="AI113" s="289">
        <v>2017759</v>
      </c>
      <c r="AL113" s="426"/>
      <c r="AN113" s="423" t="s">
        <v>553</v>
      </c>
      <c r="AO113" s="424" t="s">
        <v>531</v>
      </c>
      <c r="AP113" s="425">
        <v>24400000</v>
      </c>
      <c r="AQ113" s="425">
        <f t="shared" si="67"/>
        <v>25937.199999999997</v>
      </c>
      <c r="AU113" s="423" t="s">
        <v>355</v>
      </c>
      <c r="AV113" s="424" t="s">
        <v>608</v>
      </c>
      <c r="AW113" s="425">
        <v>3821063</v>
      </c>
      <c r="AX113" s="425">
        <v>2234049</v>
      </c>
      <c r="AY113" s="425">
        <v>1587014</v>
      </c>
      <c r="AZ113" s="426">
        <f t="shared" si="68"/>
        <v>4061.7899689999999</v>
      </c>
      <c r="BA113" s="426">
        <f t="shared" si="69"/>
        <v>2374.7940869999998</v>
      </c>
      <c r="BB113" s="426">
        <f t="shared" si="70"/>
        <v>1686.9958819999997</v>
      </c>
      <c r="BF113" s="423"/>
      <c r="BG113" s="424"/>
      <c r="BH113" s="425"/>
      <c r="BI113" s="426"/>
      <c r="BM113" s="427" t="s">
        <v>553</v>
      </c>
      <c r="BN113" s="93" t="s">
        <v>409</v>
      </c>
      <c r="BO113" s="94">
        <v>0</v>
      </c>
      <c r="BP113" s="94">
        <v>6600000</v>
      </c>
      <c r="BQ113" s="94">
        <v>1600000</v>
      </c>
      <c r="BR113" s="94">
        <v>5000000</v>
      </c>
      <c r="BS113" s="94">
        <v>1600000</v>
      </c>
      <c r="BT113" s="426">
        <f t="shared" si="72"/>
        <v>7015.7999999999993</v>
      </c>
      <c r="BU113" s="426">
        <f t="shared" si="73"/>
        <v>1700.8</v>
      </c>
      <c r="BV113" s="426">
        <f t="shared" si="74"/>
        <v>5315</v>
      </c>
      <c r="BW113" s="426">
        <f t="shared" si="75"/>
        <v>1700.8</v>
      </c>
      <c r="CA113" s="93" t="s">
        <v>415</v>
      </c>
      <c r="CB113" s="426">
        <v>8799999</v>
      </c>
      <c r="CC113" s="426">
        <f t="shared" si="76"/>
        <v>9354.3989369999999</v>
      </c>
      <c r="CG113" s="424" t="s">
        <v>408</v>
      </c>
      <c r="CH113" s="425">
        <v>0</v>
      </c>
      <c r="CI113" s="425">
        <v>757194553</v>
      </c>
      <c r="CJ113" s="425">
        <v>-757194553</v>
      </c>
      <c r="CK113" s="425">
        <v>754271361</v>
      </c>
      <c r="CL113" s="425">
        <v>2923192</v>
      </c>
      <c r="CM113" s="425">
        <v>279104253</v>
      </c>
      <c r="CN113" s="425">
        <f t="shared" si="77"/>
        <v>804897.80983899988</v>
      </c>
      <c r="CO113" s="425">
        <f t="shared" si="78"/>
        <v>801790.45674299996</v>
      </c>
      <c r="CP113" s="425">
        <f t="shared" si="79"/>
        <v>3107.3530959999998</v>
      </c>
      <c r="CQ113" s="425">
        <f t="shared" si="80"/>
        <v>296687.820939</v>
      </c>
      <c r="CU113" s="424" t="s">
        <v>620</v>
      </c>
      <c r="CV113" s="425">
        <v>2037482</v>
      </c>
      <c r="CW113" s="425">
        <v>14694842</v>
      </c>
      <c r="CX113" s="426">
        <f t="shared" si="81"/>
        <v>2165.8433660000001</v>
      </c>
      <c r="CY113" s="426">
        <f t="shared" si="82"/>
        <v>15620.617045999999</v>
      </c>
      <c r="DB113" s="568" t="s">
        <v>408</v>
      </c>
      <c r="DC113" s="569">
        <v>694748684</v>
      </c>
      <c r="DD113" s="569">
        <v>682874345</v>
      </c>
      <c r="DE113" s="569">
        <v>11874339</v>
      </c>
      <c r="DF113" s="569">
        <v>399505051</v>
      </c>
      <c r="DG113" s="570">
        <f t="shared" si="83"/>
        <v>738517.85109200003</v>
      </c>
      <c r="DH113" s="570">
        <f t="shared" si="84"/>
        <v>725895.42873499996</v>
      </c>
      <c r="DI113" s="570">
        <f t="shared" si="85"/>
        <v>12622.422356999999</v>
      </c>
      <c r="DJ113" s="570">
        <f t="shared" si="86"/>
        <v>424673.86921299994</v>
      </c>
      <c r="DV113" s="93" t="s">
        <v>406</v>
      </c>
      <c r="DW113" s="94">
        <v>147471000</v>
      </c>
      <c r="DX113" s="94">
        <v>147471000</v>
      </c>
      <c r="DY113" s="94">
        <v>0</v>
      </c>
      <c r="DZ113" s="94">
        <v>114271000</v>
      </c>
      <c r="EA113" s="94">
        <f t="shared" si="89"/>
        <v>156761.67299999998</v>
      </c>
      <c r="EB113" s="94">
        <f t="shared" si="90"/>
        <v>156761.67299999998</v>
      </c>
      <c r="EC113" s="94">
        <f t="shared" si="91"/>
        <v>0</v>
      </c>
      <c r="ED113" s="94">
        <f t="shared" si="92"/>
        <v>121470.07299999999</v>
      </c>
      <c r="EH113" s="420" t="s">
        <v>618</v>
      </c>
      <c r="EI113" s="420">
        <v>57335999</v>
      </c>
      <c r="EJ113" s="426">
        <f t="shared" si="93"/>
        <v>60948.166937000002</v>
      </c>
      <c r="EN113" s="420" t="s">
        <v>606</v>
      </c>
      <c r="EO113" s="426">
        <v>12464407</v>
      </c>
      <c r="EP113" s="426">
        <v>8464407</v>
      </c>
      <c r="EQ113" s="426">
        <v>4000000</v>
      </c>
      <c r="ER113" s="426">
        <v>8464407</v>
      </c>
      <c r="ES113" s="700">
        <f t="shared" si="94"/>
        <v>13249.664640999999</v>
      </c>
      <c r="ET113" s="700">
        <f t="shared" si="95"/>
        <v>8997.6646409999994</v>
      </c>
      <c r="EU113" s="700">
        <f t="shared" si="96"/>
        <v>4252</v>
      </c>
      <c r="EV113" s="700">
        <f t="shared" si="97"/>
        <v>8997.6646409999994</v>
      </c>
      <c r="EZ113" s="730" t="s">
        <v>553</v>
      </c>
      <c r="FA113" s="731" t="s">
        <v>620</v>
      </c>
      <c r="FB113" s="420">
        <v>4412500</v>
      </c>
      <c r="FC113" s="426">
        <f t="shared" si="98"/>
        <v>4412.5</v>
      </c>
      <c r="FG113" s="735" t="s">
        <v>355</v>
      </c>
      <c r="FH113" s="734" t="s">
        <v>606</v>
      </c>
      <c r="FI113" s="732">
        <v>12464407</v>
      </c>
      <c r="FJ113" s="733">
        <v>8464407</v>
      </c>
      <c r="FK113" s="733">
        <v>4000000</v>
      </c>
      <c r="FL113" s="733">
        <v>8464407</v>
      </c>
      <c r="FM113" s="426">
        <f t="shared" si="99"/>
        <v>12464.406999999999</v>
      </c>
      <c r="FN113" s="426">
        <f t="shared" si="100"/>
        <v>8464.4069999999992</v>
      </c>
      <c r="FO113" s="426">
        <f t="shared" si="101"/>
        <v>4000</v>
      </c>
      <c r="FP113" s="426">
        <f t="shared" si="102"/>
        <v>8464.4069999999992</v>
      </c>
      <c r="FT113" s="427" t="s">
        <v>355</v>
      </c>
      <c r="FU113" s="93" t="s">
        <v>495</v>
      </c>
      <c r="FV113" s="94">
        <v>0</v>
      </c>
      <c r="FW113" s="94">
        <v>40000000</v>
      </c>
      <c r="FX113" s="94">
        <v>40000000</v>
      </c>
      <c r="FY113" s="426">
        <f t="shared" si="103"/>
        <v>0</v>
      </c>
      <c r="FZ113" s="426">
        <f t="shared" si="104"/>
        <v>40000</v>
      </c>
      <c r="GA113" s="426">
        <f t="shared" si="105"/>
        <v>40000</v>
      </c>
      <c r="GG113" s="762" t="s">
        <v>355</v>
      </c>
      <c r="GH113" s="763" t="s">
        <v>606</v>
      </c>
      <c r="GI113" s="764">
        <v>14464407</v>
      </c>
      <c r="GJ113" s="764">
        <v>8464407</v>
      </c>
      <c r="GK113" s="764">
        <v>6000000</v>
      </c>
      <c r="GL113" s="764">
        <v>8464407</v>
      </c>
      <c r="GM113" s="764">
        <v>0</v>
      </c>
      <c r="GN113" s="426">
        <f t="shared" si="106"/>
        <v>14464.406999999999</v>
      </c>
      <c r="GO113" s="426">
        <f t="shared" si="107"/>
        <v>8464.4069999999992</v>
      </c>
      <c r="GP113" s="426">
        <f t="shared" si="108"/>
        <v>6000</v>
      </c>
      <c r="GQ113" s="426">
        <f t="shared" si="109"/>
        <v>8464.4069999999992</v>
      </c>
      <c r="GR113" s="426">
        <f t="shared" si="110"/>
        <v>0</v>
      </c>
      <c r="GV113" s="780" t="s">
        <v>538</v>
      </c>
      <c r="GW113" s="779">
        <v>81155000</v>
      </c>
      <c r="GX113" s="426">
        <f t="shared" si="111"/>
        <v>81155</v>
      </c>
      <c r="HB113" s="782" t="s">
        <v>403</v>
      </c>
      <c r="HC113" s="764">
        <v>718664228</v>
      </c>
      <c r="HD113" s="764">
        <v>718664228</v>
      </c>
      <c r="HE113" s="764">
        <v>0</v>
      </c>
      <c r="HF113" s="764">
        <v>718663428</v>
      </c>
      <c r="HG113" s="426">
        <f t="shared" si="112"/>
        <v>718664.228</v>
      </c>
      <c r="HH113" s="426">
        <f t="shared" si="113"/>
        <v>0</v>
      </c>
      <c r="HI113" s="426">
        <f t="shared" si="114"/>
        <v>718664.228</v>
      </c>
      <c r="HJ113" s="426">
        <f t="shared" si="115"/>
        <v>0</v>
      </c>
      <c r="HK113" s="426">
        <f t="shared" si="116"/>
        <v>718663.42799999996</v>
      </c>
    </row>
    <row r="114" spans="1:219" ht="15" customHeight="1" x14ac:dyDescent="0.3">
      <c r="A114" s="287" t="s">
        <v>355</v>
      </c>
      <c r="B114" s="288" t="s">
        <v>413</v>
      </c>
      <c r="C114" s="289">
        <v>253879000</v>
      </c>
      <c r="D114" s="290">
        <f t="shared" si="61"/>
        <v>269873.37699999998</v>
      </c>
      <c r="E114" s="289">
        <v>15471149</v>
      </c>
      <c r="F114" s="289">
        <f t="shared" si="62"/>
        <v>16445.831386999998</v>
      </c>
      <c r="Q114" s="291" t="s">
        <v>449</v>
      </c>
      <c r="R114" s="292" t="s">
        <v>412</v>
      </c>
      <c r="S114" s="293">
        <v>253879000</v>
      </c>
      <c r="T114" s="293">
        <v>29390511</v>
      </c>
      <c r="U114" s="293">
        <f t="shared" si="64"/>
        <v>269873.37699999998</v>
      </c>
      <c r="V114" s="293">
        <f t="shared" si="65"/>
        <v>31242.113192999997</v>
      </c>
      <c r="Z114" s="288" t="s">
        <v>418</v>
      </c>
      <c r="AA114" s="289">
        <v>6132258586</v>
      </c>
      <c r="AB114" s="289">
        <f t="shared" si="66"/>
        <v>6518590.8769180002</v>
      </c>
      <c r="AF114" s="288" t="s">
        <v>410</v>
      </c>
      <c r="AG114" s="289">
        <v>2566924</v>
      </c>
      <c r="AH114" s="289">
        <f t="shared" si="117"/>
        <v>2728.6402119999998</v>
      </c>
      <c r="AI114" s="289">
        <v>1776120</v>
      </c>
      <c r="AL114" s="426"/>
      <c r="AN114" s="423" t="s">
        <v>449</v>
      </c>
      <c r="AO114" s="424" t="s">
        <v>618</v>
      </c>
      <c r="AP114" s="425">
        <v>0</v>
      </c>
      <c r="AQ114" s="425">
        <f t="shared" si="67"/>
        <v>0</v>
      </c>
      <c r="AU114" s="423" t="s">
        <v>553</v>
      </c>
      <c r="AV114" s="424" t="s">
        <v>410</v>
      </c>
      <c r="AW114" s="425">
        <v>3566924</v>
      </c>
      <c r="AX114" s="425">
        <v>1979910</v>
      </c>
      <c r="AY114" s="425">
        <v>1587014</v>
      </c>
      <c r="AZ114" s="426">
        <f t="shared" si="68"/>
        <v>3791.6402119999998</v>
      </c>
      <c r="BA114" s="426">
        <f t="shared" si="69"/>
        <v>2104.6443300000001</v>
      </c>
      <c r="BB114" s="426">
        <f t="shared" si="70"/>
        <v>1686.9958819999997</v>
      </c>
      <c r="BF114" s="423"/>
      <c r="BG114" s="424"/>
      <c r="BH114" s="425"/>
      <c r="BI114" s="426"/>
      <c r="BM114" s="427" t="s">
        <v>355</v>
      </c>
      <c r="BN114" s="93" t="s">
        <v>608</v>
      </c>
      <c r="BO114" s="94">
        <v>0</v>
      </c>
      <c r="BP114" s="94">
        <v>3811063</v>
      </c>
      <c r="BQ114" s="94">
        <v>2819491</v>
      </c>
      <c r="BR114" s="94">
        <v>991572</v>
      </c>
      <c r="BS114" s="94">
        <v>2769341</v>
      </c>
      <c r="BT114" s="426">
        <f t="shared" si="72"/>
        <v>4051.1599689999998</v>
      </c>
      <c r="BU114" s="426">
        <f t="shared" si="73"/>
        <v>2997.1189329999997</v>
      </c>
      <c r="BV114" s="426">
        <f t="shared" si="74"/>
        <v>1054.0410359999998</v>
      </c>
      <c r="BW114" s="426">
        <f t="shared" si="75"/>
        <v>2943.8094829999995</v>
      </c>
      <c r="CA114" s="93" t="s">
        <v>620</v>
      </c>
      <c r="CB114" s="426">
        <v>8799999</v>
      </c>
      <c r="CC114" s="426">
        <f t="shared" si="76"/>
        <v>9354.3989369999999</v>
      </c>
      <c r="CG114" s="424" t="s">
        <v>409</v>
      </c>
      <c r="CH114" s="425">
        <v>0</v>
      </c>
      <c r="CI114" s="425">
        <v>6600000</v>
      </c>
      <c r="CJ114" s="425">
        <v>-6600000</v>
      </c>
      <c r="CK114" s="425">
        <v>1600000</v>
      </c>
      <c r="CL114" s="425">
        <v>5000000</v>
      </c>
      <c r="CM114" s="425">
        <v>1600000</v>
      </c>
      <c r="CN114" s="425">
        <f t="shared" si="77"/>
        <v>7015.7999999999993</v>
      </c>
      <c r="CO114" s="425">
        <f t="shared" si="78"/>
        <v>1700.8</v>
      </c>
      <c r="CP114" s="425">
        <f t="shared" si="79"/>
        <v>5315</v>
      </c>
      <c r="CQ114" s="425">
        <f t="shared" si="80"/>
        <v>1700.8</v>
      </c>
      <c r="CU114" s="424" t="s">
        <v>416</v>
      </c>
      <c r="CV114" s="425">
        <v>255895592</v>
      </c>
      <c r="CW114" s="425">
        <v>255895592</v>
      </c>
      <c r="CX114" s="426">
        <f t="shared" si="81"/>
        <v>272017.01429600001</v>
      </c>
      <c r="CY114" s="426">
        <f t="shared" si="82"/>
        <v>272017.01429600001</v>
      </c>
      <c r="DB114" s="568" t="s">
        <v>409</v>
      </c>
      <c r="DC114" s="569">
        <v>6912970</v>
      </c>
      <c r="DD114" s="569">
        <v>1912970</v>
      </c>
      <c r="DE114" s="569">
        <v>5000000</v>
      </c>
      <c r="DF114" s="569">
        <v>1849900</v>
      </c>
      <c r="DG114" s="570">
        <f t="shared" si="83"/>
        <v>7348.48711</v>
      </c>
      <c r="DH114" s="570">
        <f t="shared" si="84"/>
        <v>2033.48711</v>
      </c>
      <c r="DI114" s="570">
        <f t="shared" si="85"/>
        <v>5315</v>
      </c>
      <c r="DJ114" s="570">
        <f t="shared" si="86"/>
        <v>1966.4437</v>
      </c>
      <c r="DV114" s="93" t="s">
        <v>407</v>
      </c>
      <c r="DW114" s="94">
        <v>41756574</v>
      </c>
      <c r="DX114" s="94">
        <v>23756574</v>
      </c>
      <c r="DY114" s="94">
        <v>18000000</v>
      </c>
      <c r="DZ114" s="94">
        <v>6300000</v>
      </c>
      <c r="EA114" s="94">
        <f t="shared" si="89"/>
        <v>44387.238162000001</v>
      </c>
      <c r="EB114" s="94">
        <f t="shared" si="90"/>
        <v>25253.238161999998</v>
      </c>
      <c r="EC114" s="94">
        <f t="shared" si="91"/>
        <v>19134</v>
      </c>
      <c r="ED114" s="94">
        <f t="shared" si="92"/>
        <v>6696.9</v>
      </c>
      <c r="EH114" s="420" t="s">
        <v>414</v>
      </c>
      <c r="EI114" s="420">
        <v>0</v>
      </c>
      <c r="EJ114" s="426">
        <f t="shared" si="93"/>
        <v>0</v>
      </c>
      <c r="EN114" s="420" t="s">
        <v>405</v>
      </c>
      <c r="EO114" s="426">
        <v>12464407</v>
      </c>
      <c r="EP114" s="426">
        <v>8464407</v>
      </c>
      <c r="EQ114" s="426">
        <v>4000000</v>
      </c>
      <c r="ER114" s="426">
        <v>8464407</v>
      </c>
      <c r="ES114" s="700">
        <f t="shared" si="94"/>
        <v>13249.664640999999</v>
      </c>
      <c r="ET114" s="700">
        <f t="shared" si="95"/>
        <v>8997.6646409999994</v>
      </c>
      <c r="EU114" s="700">
        <f t="shared" si="96"/>
        <v>4252</v>
      </c>
      <c r="EV114" s="700">
        <f t="shared" si="97"/>
        <v>8997.6646409999994</v>
      </c>
      <c r="EZ114" s="730" t="s">
        <v>449</v>
      </c>
      <c r="FA114" s="731" t="s">
        <v>416</v>
      </c>
      <c r="FB114" s="420">
        <v>1513006736</v>
      </c>
      <c r="FC114" s="426">
        <f t="shared" si="98"/>
        <v>1513006.736</v>
      </c>
      <c r="FG114" s="735" t="s">
        <v>553</v>
      </c>
      <c r="FH114" s="734" t="s">
        <v>405</v>
      </c>
      <c r="FI114" s="732">
        <v>12464407</v>
      </c>
      <c r="FJ114" s="733">
        <v>8464407</v>
      </c>
      <c r="FK114" s="733">
        <v>4000000</v>
      </c>
      <c r="FL114" s="733">
        <v>8464407</v>
      </c>
      <c r="FM114" s="426">
        <f t="shared" si="99"/>
        <v>12464.406999999999</v>
      </c>
      <c r="FN114" s="426">
        <f t="shared" si="100"/>
        <v>8464.4069999999992</v>
      </c>
      <c r="FO114" s="426">
        <f t="shared" si="101"/>
        <v>4000</v>
      </c>
      <c r="FP114" s="426">
        <f t="shared" si="102"/>
        <v>8464.4069999999992</v>
      </c>
      <c r="FT114" s="427" t="s">
        <v>553</v>
      </c>
      <c r="FU114" s="93" t="s">
        <v>904</v>
      </c>
      <c r="FV114" s="94">
        <v>0</v>
      </c>
      <c r="FW114" s="94">
        <v>40000000</v>
      </c>
      <c r="FX114" s="94">
        <v>40000000</v>
      </c>
      <c r="FY114" s="426">
        <f t="shared" si="103"/>
        <v>0</v>
      </c>
      <c r="FZ114" s="426">
        <f t="shared" si="104"/>
        <v>40000</v>
      </c>
      <c r="GA114" s="426">
        <f t="shared" si="105"/>
        <v>40000</v>
      </c>
      <c r="GG114" s="762" t="s">
        <v>553</v>
      </c>
      <c r="GH114" s="763" t="s">
        <v>405</v>
      </c>
      <c r="GI114" s="764">
        <v>14464407</v>
      </c>
      <c r="GJ114" s="764">
        <v>8464407</v>
      </c>
      <c r="GK114" s="764">
        <v>6000000</v>
      </c>
      <c r="GL114" s="764">
        <v>8464407</v>
      </c>
      <c r="GM114" s="764">
        <v>0</v>
      </c>
      <c r="GN114" s="426">
        <f t="shared" si="106"/>
        <v>14464.406999999999</v>
      </c>
      <c r="GO114" s="426">
        <f t="shared" si="107"/>
        <v>8464.4069999999992</v>
      </c>
      <c r="GP114" s="426">
        <f t="shared" si="108"/>
        <v>6000</v>
      </c>
      <c r="GQ114" s="426">
        <f t="shared" si="109"/>
        <v>8464.4069999999992</v>
      </c>
      <c r="GR114" s="426">
        <f t="shared" si="110"/>
        <v>0</v>
      </c>
      <c r="GV114" s="780" t="s">
        <v>690</v>
      </c>
      <c r="GW114" s="779">
        <v>81155000</v>
      </c>
      <c r="GX114" s="426">
        <f t="shared" si="111"/>
        <v>81155</v>
      </c>
      <c r="HB114" s="782" t="s">
        <v>404</v>
      </c>
      <c r="HC114" s="764">
        <v>620195852</v>
      </c>
      <c r="HD114" s="764">
        <v>620195852</v>
      </c>
      <c r="HE114" s="764">
        <v>0</v>
      </c>
      <c r="HF114" s="764">
        <v>620195052</v>
      </c>
      <c r="HG114" s="426">
        <f t="shared" si="112"/>
        <v>620195.85199999996</v>
      </c>
      <c r="HH114" s="426">
        <f t="shared" si="113"/>
        <v>0</v>
      </c>
      <c r="HI114" s="426">
        <f t="shared" si="114"/>
        <v>620195.85199999996</v>
      </c>
      <c r="HJ114" s="426">
        <f t="shared" si="115"/>
        <v>0</v>
      </c>
      <c r="HK114" s="426">
        <f t="shared" si="116"/>
        <v>620195.05200000003</v>
      </c>
    </row>
    <row r="115" spans="1:219" ht="15" customHeight="1" x14ac:dyDescent="0.3">
      <c r="A115" s="287" t="s">
        <v>553</v>
      </c>
      <c r="B115" s="288" t="s">
        <v>614</v>
      </c>
      <c r="C115" s="289">
        <v>10000</v>
      </c>
      <c r="D115" s="290">
        <f t="shared" si="61"/>
        <v>10.629999999999999</v>
      </c>
      <c r="E115" s="289">
        <v>0</v>
      </c>
      <c r="F115" s="289">
        <f t="shared" si="62"/>
        <v>0</v>
      </c>
      <c r="Q115" s="291" t="s">
        <v>355</v>
      </c>
      <c r="R115" s="292" t="s">
        <v>413</v>
      </c>
      <c r="S115" s="293">
        <v>253879000</v>
      </c>
      <c r="T115" s="293">
        <v>29390511</v>
      </c>
      <c r="U115" s="293">
        <f t="shared" si="64"/>
        <v>269873.37699999998</v>
      </c>
      <c r="V115" s="293">
        <f t="shared" si="65"/>
        <v>31242.113192999997</v>
      </c>
      <c r="Z115" s="288" t="s">
        <v>419</v>
      </c>
      <c r="AA115" s="289">
        <v>1256207454</v>
      </c>
      <c r="AB115" s="289">
        <f t="shared" si="66"/>
        <v>1335348.5236019997</v>
      </c>
      <c r="AF115" s="288" t="s">
        <v>411</v>
      </c>
      <c r="AG115" s="289">
        <v>241639</v>
      </c>
      <c r="AH115" s="289">
        <f t="shared" si="117"/>
        <v>256.862257</v>
      </c>
      <c r="AI115" s="289">
        <v>241639</v>
      </c>
      <c r="AL115" s="426"/>
      <c r="AN115" s="423" t="s">
        <v>355</v>
      </c>
      <c r="AO115" s="424" t="s">
        <v>415</v>
      </c>
      <c r="AP115" s="425">
        <v>0</v>
      </c>
      <c r="AQ115" s="425">
        <f t="shared" si="67"/>
        <v>0</v>
      </c>
      <c r="AU115" s="423" t="s">
        <v>553</v>
      </c>
      <c r="AV115" s="424" t="s">
        <v>411</v>
      </c>
      <c r="AW115" s="425">
        <v>254139</v>
      </c>
      <c r="AX115" s="425">
        <v>254139</v>
      </c>
      <c r="AY115" s="425">
        <v>0</v>
      </c>
      <c r="AZ115" s="426">
        <f t="shared" si="68"/>
        <v>270.14975700000002</v>
      </c>
      <c r="BA115" s="426">
        <f t="shared" si="69"/>
        <v>270.14975700000002</v>
      </c>
      <c r="BB115" s="426">
        <f t="shared" si="70"/>
        <v>0</v>
      </c>
      <c r="BF115" s="423"/>
      <c r="BG115" s="424"/>
      <c r="BH115" s="425"/>
      <c r="BI115" s="426"/>
      <c r="BM115" s="427" t="s">
        <v>553</v>
      </c>
      <c r="BN115" s="93" t="s">
        <v>410</v>
      </c>
      <c r="BO115" s="94">
        <v>0</v>
      </c>
      <c r="BP115" s="94">
        <v>3566924</v>
      </c>
      <c r="BQ115" s="94">
        <v>2575352</v>
      </c>
      <c r="BR115" s="94">
        <v>991572</v>
      </c>
      <c r="BS115" s="94">
        <v>2525202</v>
      </c>
      <c r="BT115" s="426">
        <f t="shared" si="72"/>
        <v>3791.6402119999998</v>
      </c>
      <c r="BU115" s="426">
        <f t="shared" si="73"/>
        <v>2737.5991759999997</v>
      </c>
      <c r="BV115" s="426">
        <f t="shared" si="74"/>
        <v>1054.0410359999998</v>
      </c>
      <c r="BW115" s="426">
        <f t="shared" si="75"/>
        <v>2684.289726</v>
      </c>
      <c r="CA115" s="93" t="s">
        <v>416</v>
      </c>
      <c r="CB115" s="426">
        <v>141744195</v>
      </c>
      <c r="CC115" s="426">
        <f t="shared" si="76"/>
        <v>150674.07928499999</v>
      </c>
      <c r="CG115" s="424" t="s">
        <v>608</v>
      </c>
      <c r="CH115" s="425">
        <v>0</v>
      </c>
      <c r="CI115" s="425">
        <v>3808134</v>
      </c>
      <c r="CJ115" s="425">
        <v>-3808134</v>
      </c>
      <c r="CK115" s="425">
        <v>3333092</v>
      </c>
      <c r="CL115" s="425">
        <v>475042</v>
      </c>
      <c r="CM115" s="425">
        <v>3183052</v>
      </c>
      <c r="CN115" s="425">
        <f t="shared" si="77"/>
        <v>4048.0464419999998</v>
      </c>
      <c r="CO115" s="425">
        <f t="shared" si="78"/>
        <v>3543.0767959999998</v>
      </c>
      <c r="CP115" s="425">
        <f t="shared" si="79"/>
        <v>504.96964599999995</v>
      </c>
      <c r="CQ115" s="425">
        <f t="shared" si="80"/>
        <v>3383.584276</v>
      </c>
      <c r="CU115" s="424" t="s">
        <v>417</v>
      </c>
      <c r="CV115" s="425">
        <v>0</v>
      </c>
      <c r="CW115" s="425">
        <v>0</v>
      </c>
      <c r="CX115" s="426">
        <f t="shared" si="81"/>
        <v>0</v>
      </c>
      <c r="CY115" s="426">
        <f t="shared" si="82"/>
        <v>0</v>
      </c>
      <c r="DB115" s="568" t="s">
        <v>608</v>
      </c>
      <c r="DC115" s="569">
        <v>4215104</v>
      </c>
      <c r="DD115" s="569">
        <v>3750602</v>
      </c>
      <c r="DE115" s="569">
        <v>464502</v>
      </c>
      <c r="DF115" s="569">
        <v>3596722</v>
      </c>
      <c r="DG115" s="570">
        <f t="shared" si="83"/>
        <v>4480.6555520000002</v>
      </c>
      <c r="DH115" s="570">
        <f t="shared" si="84"/>
        <v>3986.8899259999998</v>
      </c>
      <c r="DI115" s="570">
        <f t="shared" si="85"/>
        <v>493.765626</v>
      </c>
      <c r="DJ115" s="570">
        <f t="shared" si="86"/>
        <v>3823.315486</v>
      </c>
      <c r="DV115" s="93" t="s">
        <v>408</v>
      </c>
      <c r="DW115" s="94">
        <v>672238982</v>
      </c>
      <c r="DX115" s="94">
        <v>669285873</v>
      </c>
      <c r="DY115" s="94">
        <v>2953109</v>
      </c>
      <c r="DZ115" s="94">
        <v>465716750</v>
      </c>
      <c r="EA115" s="94">
        <f t="shared" si="89"/>
        <v>714590.03786599997</v>
      </c>
      <c r="EB115" s="94">
        <f t="shared" si="90"/>
        <v>711450.88299900002</v>
      </c>
      <c r="EC115" s="94">
        <f t="shared" si="91"/>
        <v>3139.1548669999997</v>
      </c>
      <c r="ED115" s="94">
        <f t="shared" si="92"/>
        <v>495056.90524999995</v>
      </c>
      <c r="EH115" s="420" t="s">
        <v>619</v>
      </c>
      <c r="EI115" s="420">
        <v>0</v>
      </c>
      <c r="EJ115" s="426">
        <f t="shared" si="93"/>
        <v>0</v>
      </c>
      <c r="EN115" s="420" t="s">
        <v>607</v>
      </c>
      <c r="EO115" s="426">
        <v>836673883</v>
      </c>
      <c r="EP115" s="426">
        <v>738148883</v>
      </c>
      <c r="EQ115" s="426">
        <v>98525000</v>
      </c>
      <c r="ER115" s="426">
        <v>680662419</v>
      </c>
      <c r="ES115" s="700">
        <f t="shared" si="94"/>
        <v>889384.33762899996</v>
      </c>
      <c r="ET115" s="700">
        <f t="shared" si="95"/>
        <v>784652.262629</v>
      </c>
      <c r="EU115" s="700">
        <f t="shared" si="96"/>
        <v>104732.075</v>
      </c>
      <c r="EV115" s="700">
        <f t="shared" si="97"/>
        <v>723544.15139699995</v>
      </c>
      <c r="EZ115" s="730" t="s">
        <v>355</v>
      </c>
      <c r="FA115" s="731" t="s">
        <v>417</v>
      </c>
      <c r="FB115" s="420">
        <v>1445419089</v>
      </c>
      <c r="FC115" s="426">
        <f t="shared" si="98"/>
        <v>1445419.0889999999</v>
      </c>
      <c r="FG115" s="735" t="s">
        <v>355</v>
      </c>
      <c r="FH115" s="734" t="s">
        <v>607</v>
      </c>
      <c r="FI115" s="732">
        <v>1172863189</v>
      </c>
      <c r="FJ115" s="733">
        <v>986998888</v>
      </c>
      <c r="FK115" s="733">
        <v>185864301</v>
      </c>
      <c r="FL115" s="733">
        <v>788404118</v>
      </c>
      <c r="FM115" s="426">
        <f t="shared" si="99"/>
        <v>1172863.189</v>
      </c>
      <c r="FN115" s="426">
        <f t="shared" si="100"/>
        <v>986998.88800000004</v>
      </c>
      <c r="FO115" s="426">
        <f t="shared" si="101"/>
        <v>185864.30100000001</v>
      </c>
      <c r="FP115" s="426">
        <f t="shared" si="102"/>
        <v>788404.11800000002</v>
      </c>
      <c r="FT115" s="427" t="s">
        <v>449</v>
      </c>
      <c r="FU115" s="93" t="s">
        <v>638</v>
      </c>
      <c r="FV115" s="94">
        <v>0</v>
      </c>
      <c r="FW115" s="94">
        <v>2012000</v>
      </c>
      <c r="FX115" s="94">
        <v>34813770</v>
      </c>
      <c r="FY115" s="426">
        <f t="shared" si="103"/>
        <v>0</v>
      </c>
      <c r="FZ115" s="426">
        <f t="shared" si="104"/>
        <v>2012</v>
      </c>
      <c r="GA115" s="426">
        <f t="shared" si="105"/>
        <v>34813.769999999997</v>
      </c>
      <c r="GG115" s="762" t="s">
        <v>355</v>
      </c>
      <c r="GH115" s="763" t="s">
        <v>607</v>
      </c>
      <c r="GI115" s="764">
        <v>1201985028</v>
      </c>
      <c r="GJ115" s="764">
        <v>1089880829</v>
      </c>
      <c r="GK115" s="764">
        <v>112104199</v>
      </c>
      <c r="GL115" s="764">
        <v>876264791</v>
      </c>
      <c r="GM115" s="764">
        <v>213616038</v>
      </c>
      <c r="GN115" s="426">
        <f t="shared" si="106"/>
        <v>1201985.0279999999</v>
      </c>
      <c r="GO115" s="426">
        <f t="shared" si="107"/>
        <v>1089880.8289999999</v>
      </c>
      <c r="GP115" s="426">
        <f t="shared" si="108"/>
        <v>112104.19899999999</v>
      </c>
      <c r="GQ115" s="426">
        <f t="shared" si="109"/>
        <v>876264.79099999997</v>
      </c>
      <c r="GR115" s="426">
        <f t="shared" si="110"/>
        <v>213616.038</v>
      </c>
      <c r="GV115" s="780" t="s">
        <v>413</v>
      </c>
      <c r="GW115" s="779">
        <v>121075757</v>
      </c>
      <c r="GX115" s="426">
        <f t="shared" si="111"/>
        <v>121075.757</v>
      </c>
      <c r="HB115" s="782" t="s">
        <v>604</v>
      </c>
      <c r="HC115" s="764">
        <v>24026244</v>
      </c>
      <c r="HD115" s="764">
        <v>24026244</v>
      </c>
      <c r="HE115" s="764">
        <v>0</v>
      </c>
      <c r="HF115" s="764">
        <v>24026244</v>
      </c>
      <c r="HG115" s="426">
        <f t="shared" si="112"/>
        <v>24026.243999999999</v>
      </c>
      <c r="HH115" s="426">
        <f t="shared" si="113"/>
        <v>0</v>
      </c>
      <c r="HI115" s="426">
        <f t="shared" si="114"/>
        <v>24026.243999999999</v>
      </c>
      <c r="HJ115" s="426">
        <f t="shared" si="115"/>
        <v>0</v>
      </c>
      <c r="HK115" s="426">
        <f t="shared" si="116"/>
        <v>24026.243999999999</v>
      </c>
    </row>
    <row r="116" spans="1:219" ht="15" customHeight="1" x14ac:dyDescent="0.3">
      <c r="A116" s="287" t="s">
        <v>553</v>
      </c>
      <c r="B116" s="288" t="s">
        <v>532</v>
      </c>
      <c r="C116" s="289">
        <v>208482000</v>
      </c>
      <c r="D116" s="290">
        <f t="shared" si="61"/>
        <v>221616.36599999998</v>
      </c>
      <c r="E116" s="289">
        <v>15471149</v>
      </c>
      <c r="F116" s="289">
        <f t="shared" si="62"/>
        <v>16445.831386999998</v>
      </c>
      <c r="Q116" s="291" t="s">
        <v>553</v>
      </c>
      <c r="R116" s="292" t="s">
        <v>614</v>
      </c>
      <c r="S116" s="293">
        <v>10000</v>
      </c>
      <c r="T116" s="293">
        <v>0</v>
      </c>
      <c r="U116" s="293">
        <f t="shared" si="64"/>
        <v>10.629999999999999</v>
      </c>
      <c r="V116" s="293">
        <f t="shared" si="65"/>
        <v>0</v>
      </c>
      <c r="Z116" s="288" t="s">
        <v>420</v>
      </c>
      <c r="AA116" s="289">
        <v>1256207454</v>
      </c>
      <c r="AB116" s="289">
        <f t="shared" si="66"/>
        <v>1335348.5236019997</v>
      </c>
      <c r="AF116" s="288" t="s">
        <v>412</v>
      </c>
      <c r="AG116" s="289">
        <v>253879000</v>
      </c>
      <c r="AH116" s="289">
        <f t="shared" si="117"/>
        <v>269873.37699999998</v>
      </c>
      <c r="AI116" s="289">
        <v>61781158</v>
      </c>
      <c r="AL116" s="426"/>
      <c r="AN116" s="423" t="s">
        <v>553</v>
      </c>
      <c r="AO116" s="424" t="s">
        <v>620</v>
      </c>
      <c r="AP116" s="425">
        <v>0</v>
      </c>
      <c r="AQ116" s="425">
        <f t="shared" si="67"/>
        <v>0</v>
      </c>
      <c r="AU116" s="423" t="s">
        <v>449</v>
      </c>
      <c r="AV116" s="424" t="s">
        <v>610</v>
      </c>
      <c r="AW116" s="425">
        <v>4360000</v>
      </c>
      <c r="AX116" s="425">
        <v>4360000</v>
      </c>
      <c r="AY116" s="425">
        <v>0</v>
      </c>
      <c r="AZ116" s="426">
        <f t="shared" si="68"/>
        <v>4634.6799999999994</v>
      </c>
      <c r="BA116" s="426">
        <f t="shared" si="69"/>
        <v>4634.6799999999994</v>
      </c>
      <c r="BB116" s="426">
        <f t="shared" si="70"/>
        <v>0</v>
      </c>
      <c r="BF116" s="423"/>
      <c r="BG116" s="424"/>
      <c r="BH116" s="425"/>
      <c r="BI116" s="426"/>
      <c r="BM116" s="427" t="s">
        <v>553</v>
      </c>
      <c r="BN116" s="93" t="s">
        <v>411</v>
      </c>
      <c r="BO116" s="94">
        <v>0</v>
      </c>
      <c r="BP116" s="94">
        <v>244139</v>
      </c>
      <c r="BQ116" s="94">
        <v>244139</v>
      </c>
      <c r="BR116" s="94">
        <v>0</v>
      </c>
      <c r="BS116" s="94">
        <v>244139</v>
      </c>
      <c r="BT116" s="426">
        <f t="shared" si="72"/>
        <v>259.51975699999997</v>
      </c>
      <c r="BU116" s="426">
        <f t="shared" si="73"/>
        <v>259.51975699999997</v>
      </c>
      <c r="BV116" s="426">
        <f t="shared" si="74"/>
        <v>0</v>
      </c>
      <c r="BW116" s="426">
        <f t="shared" si="75"/>
        <v>259.51975699999997</v>
      </c>
      <c r="CA116" s="93" t="s">
        <v>417</v>
      </c>
      <c r="CB116" s="426">
        <v>118876727</v>
      </c>
      <c r="CC116" s="426">
        <f t="shared" si="76"/>
        <v>126365.96080099999</v>
      </c>
      <c r="CG116" s="424" t="s">
        <v>410</v>
      </c>
      <c r="CH116" s="425">
        <v>0</v>
      </c>
      <c r="CI116" s="425">
        <v>3363004</v>
      </c>
      <c r="CJ116" s="425">
        <v>-3363004</v>
      </c>
      <c r="CK116" s="425">
        <v>2887962</v>
      </c>
      <c r="CL116" s="425">
        <v>475042</v>
      </c>
      <c r="CM116" s="425">
        <v>2887862</v>
      </c>
      <c r="CN116" s="425">
        <f t="shared" si="77"/>
        <v>3574.8732519999999</v>
      </c>
      <c r="CO116" s="425">
        <f t="shared" si="78"/>
        <v>3069.9036059999999</v>
      </c>
      <c r="CP116" s="425">
        <f t="shared" si="79"/>
        <v>504.96964599999995</v>
      </c>
      <c r="CQ116" s="425">
        <f t="shared" si="80"/>
        <v>3069.7973059999999</v>
      </c>
      <c r="CU116" s="424" t="s">
        <v>418</v>
      </c>
      <c r="CV116" s="425">
        <v>0</v>
      </c>
      <c r="CW116" s="425">
        <v>0</v>
      </c>
      <c r="CX116" s="426">
        <f t="shared" si="81"/>
        <v>0</v>
      </c>
      <c r="CY116" s="426">
        <f t="shared" si="82"/>
        <v>0</v>
      </c>
      <c r="DB116" s="568" t="s">
        <v>410</v>
      </c>
      <c r="DC116" s="569">
        <v>3769974</v>
      </c>
      <c r="DD116" s="569">
        <v>3305472</v>
      </c>
      <c r="DE116" s="569">
        <v>464502</v>
      </c>
      <c r="DF116" s="569">
        <v>3301532</v>
      </c>
      <c r="DG116" s="570">
        <f t="shared" si="83"/>
        <v>4007.4823619999997</v>
      </c>
      <c r="DH116" s="570">
        <f t="shared" si="84"/>
        <v>3513.7167359999999</v>
      </c>
      <c r="DI116" s="570">
        <f t="shared" si="85"/>
        <v>493.765626</v>
      </c>
      <c r="DJ116" s="570">
        <f t="shared" si="86"/>
        <v>3509.5285159999999</v>
      </c>
      <c r="DV116" s="93" t="s">
        <v>409</v>
      </c>
      <c r="DW116" s="94">
        <v>6162870</v>
      </c>
      <c r="DX116" s="94">
        <v>6162870</v>
      </c>
      <c r="DY116" s="94">
        <v>0</v>
      </c>
      <c r="DZ116" s="94">
        <v>1849900</v>
      </c>
      <c r="EA116" s="94">
        <f t="shared" si="89"/>
        <v>6551.1308099999997</v>
      </c>
      <c r="EB116" s="94">
        <f t="shared" si="90"/>
        <v>6551.1308099999997</v>
      </c>
      <c r="EC116" s="94">
        <f t="shared" si="91"/>
        <v>0</v>
      </c>
      <c r="ED116" s="94">
        <f t="shared" si="92"/>
        <v>1966.4437</v>
      </c>
      <c r="EH116" s="420" t="s">
        <v>415</v>
      </c>
      <c r="EI116" s="420">
        <v>57335999</v>
      </c>
      <c r="EJ116" s="426">
        <f t="shared" si="93"/>
        <v>60948.166937000002</v>
      </c>
      <c r="EN116" s="420" t="s">
        <v>406</v>
      </c>
      <c r="EO116" s="426">
        <v>162471000</v>
      </c>
      <c r="EP116" s="426">
        <v>147471000</v>
      </c>
      <c r="EQ116" s="426">
        <v>15000000</v>
      </c>
      <c r="ER116" s="426">
        <v>147471000</v>
      </c>
      <c r="ES116" s="700">
        <f t="shared" si="94"/>
        <v>172706.67299999998</v>
      </c>
      <c r="ET116" s="700">
        <f t="shared" si="95"/>
        <v>156761.67299999998</v>
      </c>
      <c r="EU116" s="700">
        <f t="shared" si="96"/>
        <v>15945</v>
      </c>
      <c r="EV116" s="700">
        <f t="shared" si="97"/>
        <v>156761.67299999998</v>
      </c>
      <c r="EZ116" s="730" t="s">
        <v>553</v>
      </c>
      <c r="FA116" s="731" t="s">
        <v>418</v>
      </c>
      <c r="FB116" s="420">
        <v>1445419089</v>
      </c>
      <c r="FC116" s="426">
        <f t="shared" si="98"/>
        <v>1445419.0889999999</v>
      </c>
      <c r="FG116" s="735" t="s">
        <v>553</v>
      </c>
      <c r="FH116" s="734" t="s">
        <v>406</v>
      </c>
      <c r="FI116" s="732">
        <v>298278249</v>
      </c>
      <c r="FJ116" s="733">
        <v>186963000</v>
      </c>
      <c r="FK116" s="733">
        <v>111315249</v>
      </c>
      <c r="FL116" s="733">
        <v>186963000</v>
      </c>
      <c r="FM116" s="426">
        <f t="shared" si="99"/>
        <v>298278.24900000001</v>
      </c>
      <c r="FN116" s="426">
        <f t="shared" si="100"/>
        <v>186963</v>
      </c>
      <c r="FO116" s="426">
        <f t="shared" si="101"/>
        <v>111315.249</v>
      </c>
      <c r="FP116" s="426">
        <f t="shared" si="102"/>
        <v>186963</v>
      </c>
      <c r="FT116" s="427" t="s">
        <v>355</v>
      </c>
      <c r="FU116" s="93" t="s">
        <v>639</v>
      </c>
      <c r="FV116" s="94">
        <v>0</v>
      </c>
      <c r="FW116" s="94">
        <v>2012000</v>
      </c>
      <c r="FX116" s="94">
        <v>34813770</v>
      </c>
      <c r="FY116" s="426">
        <f t="shared" si="103"/>
        <v>0</v>
      </c>
      <c r="FZ116" s="426">
        <f t="shared" si="104"/>
        <v>2012</v>
      </c>
      <c r="GA116" s="426">
        <f t="shared" si="105"/>
        <v>34813.769999999997</v>
      </c>
      <c r="GG116" s="762" t="s">
        <v>553</v>
      </c>
      <c r="GH116" s="763" t="s">
        <v>406</v>
      </c>
      <c r="GI116" s="764">
        <v>314315154</v>
      </c>
      <c r="GJ116" s="764">
        <v>287665154</v>
      </c>
      <c r="GK116" s="764">
        <v>26650000</v>
      </c>
      <c r="GL116" s="764">
        <v>206709000</v>
      </c>
      <c r="GM116" s="764">
        <v>80956154</v>
      </c>
      <c r="GN116" s="426">
        <f t="shared" si="106"/>
        <v>314315.15399999998</v>
      </c>
      <c r="GO116" s="426">
        <f t="shared" si="107"/>
        <v>287665.15399999998</v>
      </c>
      <c r="GP116" s="426">
        <f t="shared" si="108"/>
        <v>26650</v>
      </c>
      <c r="GQ116" s="426">
        <f t="shared" si="109"/>
        <v>206709</v>
      </c>
      <c r="GR116" s="426">
        <f t="shared" si="110"/>
        <v>80956.153999999995</v>
      </c>
      <c r="GV116" s="780" t="s">
        <v>614</v>
      </c>
      <c r="GW116" s="779">
        <v>33000000</v>
      </c>
      <c r="GX116" s="426">
        <f t="shared" si="111"/>
        <v>33000</v>
      </c>
      <c r="HB116" s="782" t="s">
        <v>605</v>
      </c>
      <c r="HC116" s="764">
        <v>61947132</v>
      </c>
      <c r="HD116" s="764">
        <v>61947132</v>
      </c>
      <c r="HE116" s="764">
        <v>0</v>
      </c>
      <c r="HF116" s="764">
        <v>61947132</v>
      </c>
      <c r="HG116" s="426">
        <f t="shared" si="112"/>
        <v>61947.131999999998</v>
      </c>
      <c r="HH116" s="426">
        <f t="shared" si="113"/>
        <v>0</v>
      </c>
      <c r="HI116" s="426">
        <f t="shared" si="114"/>
        <v>61947.131999999998</v>
      </c>
      <c r="HJ116" s="426">
        <f t="shared" si="115"/>
        <v>0</v>
      </c>
      <c r="HK116" s="426">
        <f t="shared" si="116"/>
        <v>61947.131999999998</v>
      </c>
    </row>
    <row r="117" spans="1:219" ht="15" customHeight="1" x14ac:dyDescent="0.3">
      <c r="A117" s="287" t="s">
        <v>553</v>
      </c>
      <c r="B117" s="288" t="s">
        <v>531</v>
      </c>
      <c r="C117" s="289">
        <v>45387000</v>
      </c>
      <c r="D117" s="290">
        <f t="shared" si="61"/>
        <v>48246.380999999994</v>
      </c>
      <c r="E117" s="289">
        <v>0</v>
      </c>
      <c r="F117" s="289">
        <f t="shared" si="62"/>
        <v>0</v>
      </c>
      <c r="Q117" s="291" t="s">
        <v>553</v>
      </c>
      <c r="R117" s="292" t="s">
        <v>532</v>
      </c>
      <c r="S117" s="293">
        <v>208482000</v>
      </c>
      <c r="T117" s="293">
        <v>29390511</v>
      </c>
      <c r="U117" s="293">
        <f t="shared" si="64"/>
        <v>221616.36599999998</v>
      </c>
      <c r="V117" s="293">
        <f t="shared" si="65"/>
        <v>31242.113192999997</v>
      </c>
      <c r="Z117" s="288" t="s">
        <v>621</v>
      </c>
      <c r="AA117" s="289">
        <v>1256207454</v>
      </c>
      <c r="AB117" s="289">
        <f t="shared" si="66"/>
        <v>1335348.5236019997</v>
      </c>
      <c r="AF117" s="288" t="s">
        <v>413</v>
      </c>
      <c r="AG117" s="289">
        <v>253879000</v>
      </c>
      <c r="AH117" s="289">
        <f t="shared" si="117"/>
        <v>269873.37699999998</v>
      </c>
      <c r="AI117" s="289">
        <v>61781158</v>
      </c>
      <c r="AL117" s="426"/>
      <c r="AN117" s="423" t="s">
        <v>449</v>
      </c>
      <c r="AO117" s="424" t="s">
        <v>416</v>
      </c>
      <c r="AP117" s="425">
        <v>1322943917</v>
      </c>
      <c r="AQ117" s="425">
        <f t="shared" si="67"/>
        <v>1406289.3837709997</v>
      </c>
      <c r="AU117" s="423" t="s">
        <v>355</v>
      </c>
      <c r="AV117" s="424" t="s">
        <v>611</v>
      </c>
      <c r="AW117" s="425">
        <v>4360000</v>
      </c>
      <c r="AX117" s="425">
        <v>4360000</v>
      </c>
      <c r="AY117" s="425">
        <v>0</v>
      </c>
      <c r="AZ117" s="426">
        <f t="shared" si="68"/>
        <v>4634.6799999999994</v>
      </c>
      <c r="BA117" s="426">
        <f t="shared" si="69"/>
        <v>4634.6799999999994</v>
      </c>
      <c r="BB117" s="426">
        <f t="shared" si="70"/>
        <v>0</v>
      </c>
      <c r="BF117" s="423"/>
      <c r="BG117" s="424"/>
      <c r="BH117" s="425"/>
      <c r="BI117" s="426"/>
      <c r="BM117" s="427" t="s">
        <v>449</v>
      </c>
      <c r="BN117" s="93" t="s">
        <v>610</v>
      </c>
      <c r="BO117" s="94">
        <v>4360000</v>
      </c>
      <c r="BP117" s="94">
        <v>4360000</v>
      </c>
      <c r="BQ117" s="94">
        <v>4360000</v>
      </c>
      <c r="BR117" s="94">
        <v>0</v>
      </c>
      <c r="BS117" s="94">
        <v>4360000</v>
      </c>
      <c r="BT117" s="426">
        <f t="shared" si="72"/>
        <v>4634.6799999999994</v>
      </c>
      <c r="BU117" s="426">
        <f t="shared" si="73"/>
        <v>4634.6799999999994</v>
      </c>
      <c r="BV117" s="426">
        <f t="shared" si="74"/>
        <v>0</v>
      </c>
      <c r="BW117" s="426">
        <f t="shared" si="75"/>
        <v>4634.6799999999994</v>
      </c>
      <c r="CA117" s="93" t="s">
        <v>418</v>
      </c>
      <c r="CB117" s="426">
        <v>118876727</v>
      </c>
      <c r="CC117" s="426">
        <f t="shared" si="76"/>
        <v>126365.96080099999</v>
      </c>
      <c r="CG117" s="424" t="s">
        <v>609</v>
      </c>
      <c r="CH117" s="425">
        <v>0</v>
      </c>
      <c r="CI117" s="425">
        <v>149940</v>
      </c>
      <c r="CJ117" s="425">
        <v>-149940</v>
      </c>
      <c r="CK117" s="425">
        <v>149940</v>
      </c>
      <c r="CL117" s="425">
        <v>0</v>
      </c>
      <c r="CM117" s="425">
        <v>0</v>
      </c>
      <c r="CN117" s="425">
        <f t="shared" si="77"/>
        <v>159.38621999999998</v>
      </c>
      <c r="CO117" s="425">
        <f t="shared" si="78"/>
        <v>159.38621999999998</v>
      </c>
      <c r="CP117" s="425">
        <f t="shared" si="79"/>
        <v>0</v>
      </c>
      <c r="CQ117" s="425">
        <f t="shared" si="80"/>
        <v>0</v>
      </c>
      <c r="CU117" s="424" t="s">
        <v>419</v>
      </c>
      <c r="CV117" s="425">
        <v>255588316</v>
      </c>
      <c r="CW117" s="425">
        <v>255588316</v>
      </c>
      <c r="CX117" s="426">
        <f t="shared" si="81"/>
        <v>271690.379908</v>
      </c>
      <c r="CY117" s="426">
        <f t="shared" si="82"/>
        <v>271690.379908</v>
      </c>
      <c r="DB117" s="568" t="s">
        <v>609</v>
      </c>
      <c r="DC117" s="569">
        <v>149940</v>
      </c>
      <c r="DD117" s="569">
        <v>149940</v>
      </c>
      <c r="DE117" s="569">
        <v>0</v>
      </c>
      <c r="DF117" s="569">
        <v>0</v>
      </c>
      <c r="DG117" s="570">
        <f t="shared" si="83"/>
        <v>159.38621999999998</v>
      </c>
      <c r="DH117" s="570">
        <f t="shared" si="84"/>
        <v>159.38621999999998</v>
      </c>
      <c r="DI117" s="570">
        <f t="shared" si="85"/>
        <v>0</v>
      </c>
      <c r="DJ117" s="570">
        <f t="shared" si="86"/>
        <v>0</v>
      </c>
      <c r="DV117" s="93" t="s">
        <v>608</v>
      </c>
      <c r="DW117" s="94">
        <v>10050298</v>
      </c>
      <c r="DX117" s="94">
        <v>5232462</v>
      </c>
      <c r="DY117" s="94">
        <v>4817836</v>
      </c>
      <c r="DZ117" s="94">
        <v>4205442</v>
      </c>
      <c r="EA117" s="94">
        <f t="shared" si="89"/>
        <v>10683.466774</v>
      </c>
      <c r="EB117" s="94">
        <f t="shared" si="90"/>
        <v>5562.1071060000004</v>
      </c>
      <c r="EC117" s="94">
        <f t="shared" si="91"/>
        <v>5121.3596680000001</v>
      </c>
      <c r="ED117" s="94">
        <f t="shared" si="92"/>
        <v>4470.3848459999999</v>
      </c>
      <c r="EH117" s="420" t="s">
        <v>620</v>
      </c>
      <c r="EI117" s="420">
        <v>57335999</v>
      </c>
      <c r="EJ117" s="426">
        <f t="shared" si="93"/>
        <v>60948.166937000002</v>
      </c>
      <c r="EN117" s="420" t="s">
        <v>407</v>
      </c>
      <c r="EO117" s="426">
        <v>54956574</v>
      </c>
      <c r="EP117" s="426">
        <v>28231574</v>
      </c>
      <c r="EQ117" s="426">
        <v>26725000</v>
      </c>
      <c r="ER117" s="426">
        <v>7600000</v>
      </c>
      <c r="ES117" s="700">
        <f t="shared" si="94"/>
        <v>58418.838162</v>
      </c>
      <c r="ET117" s="700">
        <f t="shared" si="95"/>
        <v>30010.163162000001</v>
      </c>
      <c r="EU117" s="700">
        <f t="shared" si="96"/>
        <v>28408.674999999999</v>
      </c>
      <c r="EV117" s="700">
        <f t="shared" si="97"/>
        <v>8078.7999999999993</v>
      </c>
      <c r="EZ117" s="730" t="s">
        <v>355</v>
      </c>
      <c r="FA117" s="731" t="s">
        <v>419</v>
      </c>
      <c r="FB117" s="420">
        <v>67587647</v>
      </c>
      <c r="FC117" s="426">
        <f t="shared" si="98"/>
        <v>67587.646999999997</v>
      </c>
      <c r="FG117" s="735" t="s">
        <v>553</v>
      </c>
      <c r="FH117" s="734" t="s">
        <v>407</v>
      </c>
      <c r="FI117" s="732">
        <v>54956574</v>
      </c>
      <c r="FJ117" s="733">
        <v>39631574</v>
      </c>
      <c r="FK117" s="733">
        <v>15325000</v>
      </c>
      <c r="FL117" s="733">
        <v>15888000</v>
      </c>
      <c r="FM117" s="426">
        <f t="shared" si="99"/>
        <v>54956.574000000001</v>
      </c>
      <c r="FN117" s="426">
        <f t="shared" si="100"/>
        <v>39631.574000000001</v>
      </c>
      <c r="FO117" s="426">
        <f t="shared" si="101"/>
        <v>15325</v>
      </c>
      <c r="FP117" s="426">
        <f t="shared" si="102"/>
        <v>15888</v>
      </c>
      <c r="FT117" s="427" t="s">
        <v>449</v>
      </c>
      <c r="FU117" s="93" t="s">
        <v>618</v>
      </c>
      <c r="FV117" s="94">
        <v>0</v>
      </c>
      <c r="FW117" s="94">
        <v>13539743</v>
      </c>
      <c r="FX117" s="94">
        <v>104183</v>
      </c>
      <c r="FY117" s="426">
        <f t="shared" si="103"/>
        <v>0</v>
      </c>
      <c r="FZ117" s="426">
        <f t="shared" si="104"/>
        <v>13539.743</v>
      </c>
      <c r="GA117" s="426">
        <f t="shared" si="105"/>
        <v>104.18300000000001</v>
      </c>
      <c r="GG117" s="762" t="s">
        <v>553</v>
      </c>
      <c r="GH117" s="763" t="s">
        <v>407</v>
      </c>
      <c r="GI117" s="764">
        <v>55047000</v>
      </c>
      <c r="GJ117" s="764">
        <v>41811361</v>
      </c>
      <c r="GK117" s="764">
        <v>13235639</v>
      </c>
      <c r="GL117" s="764">
        <v>22835574</v>
      </c>
      <c r="GM117" s="764">
        <v>18975787</v>
      </c>
      <c r="GN117" s="426">
        <f t="shared" si="106"/>
        <v>55047</v>
      </c>
      <c r="GO117" s="426">
        <f t="shared" si="107"/>
        <v>41811.360999999997</v>
      </c>
      <c r="GP117" s="426">
        <f t="shared" si="108"/>
        <v>13235.638999999999</v>
      </c>
      <c r="GQ117" s="426">
        <f t="shared" si="109"/>
        <v>22835.574000000001</v>
      </c>
      <c r="GR117" s="426">
        <f t="shared" si="110"/>
        <v>18975.787</v>
      </c>
      <c r="GV117" s="780" t="s">
        <v>928</v>
      </c>
      <c r="GW117" s="779">
        <v>70000000</v>
      </c>
      <c r="GX117" s="426">
        <f t="shared" si="111"/>
        <v>70000</v>
      </c>
      <c r="HB117" s="782" t="s">
        <v>494</v>
      </c>
      <c r="HC117" s="764">
        <v>12495000</v>
      </c>
      <c r="HD117" s="764">
        <v>12495000</v>
      </c>
      <c r="HE117" s="764">
        <v>0</v>
      </c>
      <c r="HF117" s="764">
        <v>12495000</v>
      </c>
      <c r="HG117" s="426">
        <f t="shared" si="112"/>
        <v>12495</v>
      </c>
      <c r="HH117" s="426">
        <f t="shared" si="113"/>
        <v>0</v>
      </c>
      <c r="HI117" s="426">
        <f t="shared" si="114"/>
        <v>12495</v>
      </c>
      <c r="HJ117" s="426">
        <f t="shared" si="115"/>
        <v>0</v>
      </c>
      <c r="HK117" s="426">
        <f t="shared" si="116"/>
        <v>12495</v>
      </c>
    </row>
    <row r="118" spans="1:219" ht="15" customHeight="1" x14ac:dyDescent="0.3">
      <c r="A118" s="287" t="s">
        <v>449</v>
      </c>
      <c r="B118" s="288" t="s">
        <v>638</v>
      </c>
      <c r="C118" s="289">
        <v>155587000</v>
      </c>
      <c r="D118" s="290">
        <f t="shared" si="61"/>
        <v>165388.981</v>
      </c>
      <c r="E118" s="289">
        <v>0</v>
      </c>
      <c r="F118" s="289">
        <f t="shared" si="62"/>
        <v>0</v>
      </c>
      <c r="Q118" s="291" t="s">
        <v>553</v>
      </c>
      <c r="R118" s="292" t="s">
        <v>531</v>
      </c>
      <c r="S118" s="293">
        <v>45387000</v>
      </c>
      <c r="T118" s="293">
        <v>0</v>
      </c>
      <c r="U118" s="293">
        <f t="shared" si="64"/>
        <v>48246.380999999994</v>
      </c>
      <c r="V118" s="293">
        <f t="shared" si="65"/>
        <v>0</v>
      </c>
      <c r="Z118" s="288" t="s">
        <v>422</v>
      </c>
      <c r="AA118" s="289">
        <v>26183313</v>
      </c>
      <c r="AB118" s="289">
        <f t="shared" si="66"/>
        <v>27832.861718999997</v>
      </c>
      <c r="AF118" s="288" t="s">
        <v>614</v>
      </c>
      <c r="AG118" s="289">
        <v>10000</v>
      </c>
      <c r="AH118" s="289">
        <f t="shared" si="117"/>
        <v>10.629999999999999</v>
      </c>
      <c r="AI118" s="289">
        <v>0</v>
      </c>
      <c r="AL118" s="426"/>
      <c r="AN118" s="423" t="s">
        <v>355</v>
      </c>
      <c r="AO118" s="424" t="s">
        <v>417</v>
      </c>
      <c r="AP118" s="425">
        <v>1290617897</v>
      </c>
      <c r="AQ118" s="425">
        <f t="shared" si="67"/>
        <v>1371926.824511</v>
      </c>
      <c r="AU118" s="423" t="s">
        <v>553</v>
      </c>
      <c r="AV118" s="424" t="s">
        <v>612</v>
      </c>
      <c r="AW118" s="425">
        <v>4360000</v>
      </c>
      <c r="AX118" s="425">
        <v>4360000</v>
      </c>
      <c r="AY118" s="425">
        <v>0</v>
      </c>
      <c r="AZ118" s="426">
        <f t="shared" si="68"/>
        <v>4634.6799999999994</v>
      </c>
      <c r="BA118" s="426">
        <f t="shared" si="69"/>
        <v>4634.6799999999994</v>
      </c>
      <c r="BB118" s="426">
        <f t="shared" si="70"/>
        <v>0</v>
      </c>
      <c r="BF118" s="423"/>
      <c r="BG118" s="424"/>
      <c r="BH118" s="425"/>
      <c r="BI118" s="426"/>
      <c r="BM118" s="427" t="s">
        <v>355</v>
      </c>
      <c r="BN118" s="93" t="s">
        <v>611</v>
      </c>
      <c r="BO118" s="94">
        <v>4360000</v>
      </c>
      <c r="BP118" s="94">
        <v>4360000</v>
      </c>
      <c r="BQ118" s="94">
        <v>4360000</v>
      </c>
      <c r="BR118" s="94">
        <v>0</v>
      </c>
      <c r="BS118" s="94">
        <v>4360000</v>
      </c>
      <c r="BT118" s="426">
        <f t="shared" si="72"/>
        <v>4634.6799999999994</v>
      </c>
      <c r="BU118" s="426">
        <f t="shared" si="73"/>
        <v>4634.6799999999994</v>
      </c>
      <c r="BV118" s="426">
        <f t="shared" si="74"/>
        <v>0</v>
      </c>
      <c r="BW118" s="426">
        <f t="shared" si="75"/>
        <v>4634.6799999999994</v>
      </c>
      <c r="CA118" s="93" t="s">
        <v>419</v>
      </c>
      <c r="CB118" s="426">
        <v>22867468</v>
      </c>
      <c r="CC118" s="426">
        <f t="shared" si="76"/>
        <v>24308.118483999999</v>
      </c>
      <c r="CG118" s="424" t="s">
        <v>411</v>
      </c>
      <c r="CH118" s="425">
        <v>0</v>
      </c>
      <c r="CI118" s="425">
        <v>295190</v>
      </c>
      <c r="CJ118" s="425">
        <v>-295190</v>
      </c>
      <c r="CK118" s="425">
        <v>295190</v>
      </c>
      <c r="CL118" s="425">
        <v>0</v>
      </c>
      <c r="CM118" s="425">
        <v>295190</v>
      </c>
      <c r="CN118" s="425">
        <f t="shared" si="77"/>
        <v>313.78697</v>
      </c>
      <c r="CO118" s="425">
        <f t="shared" si="78"/>
        <v>313.78697</v>
      </c>
      <c r="CP118" s="425">
        <f t="shared" si="79"/>
        <v>0</v>
      </c>
      <c r="CQ118" s="425">
        <f t="shared" si="80"/>
        <v>313.78697</v>
      </c>
      <c r="CU118" s="424" t="s">
        <v>420</v>
      </c>
      <c r="CV118" s="425">
        <v>255588316</v>
      </c>
      <c r="CW118" s="425">
        <v>255588316</v>
      </c>
      <c r="CX118" s="426">
        <f t="shared" si="81"/>
        <v>271690.379908</v>
      </c>
      <c r="CY118" s="426">
        <f t="shared" si="82"/>
        <v>271690.379908</v>
      </c>
      <c r="DB118" s="568" t="s">
        <v>411</v>
      </c>
      <c r="DC118" s="569">
        <v>295190</v>
      </c>
      <c r="DD118" s="569">
        <v>295190</v>
      </c>
      <c r="DE118" s="569">
        <v>0</v>
      </c>
      <c r="DF118" s="569">
        <v>295190</v>
      </c>
      <c r="DG118" s="570">
        <f t="shared" si="83"/>
        <v>313.78697</v>
      </c>
      <c r="DH118" s="570">
        <f t="shared" si="84"/>
        <v>313.78697</v>
      </c>
      <c r="DI118" s="570">
        <f t="shared" si="85"/>
        <v>0</v>
      </c>
      <c r="DJ118" s="570">
        <f t="shared" si="86"/>
        <v>313.78697</v>
      </c>
      <c r="DV118" s="93" t="s">
        <v>410</v>
      </c>
      <c r="DW118" s="94">
        <v>3907332</v>
      </c>
      <c r="DX118" s="94">
        <v>3907332</v>
      </c>
      <c r="DY118" s="94">
        <v>0</v>
      </c>
      <c r="DZ118" s="94">
        <v>3760312</v>
      </c>
      <c r="EA118" s="94">
        <f t="shared" si="89"/>
        <v>4153.4939159999994</v>
      </c>
      <c r="EB118" s="94">
        <f t="shared" si="90"/>
        <v>4153.4939159999994</v>
      </c>
      <c r="EC118" s="94">
        <f t="shared" si="91"/>
        <v>0</v>
      </c>
      <c r="ED118" s="94">
        <f t="shared" si="92"/>
        <v>3997.2116559999995</v>
      </c>
      <c r="EJ118" s="426">
        <f>SUM(EJ3:EJ117)</f>
        <v>9137882.8758269958</v>
      </c>
      <c r="EN118" s="420" t="s">
        <v>408</v>
      </c>
      <c r="EO118" s="426">
        <v>613083439</v>
      </c>
      <c r="EP118" s="426">
        <v>556283439</v>
      </c>
      <c r="EQ118" s="426">
        <v>56800000</v>
      </c>
      <c r="ER118" s="426">
        <v>523678449</v>
      </c>
      <c r="ES118" s="700">
        <f t="shared" si="94"/>
        <v>651707.69565699995</v>
      </c>
      <c r="ET118" s="700">
        <f t="shared" si="95"/>
        <v>591329.29565700004</v>
      </c>
      <c r="EU118" s="700">
        <f t="shared" si="96"/>
        <v>60378.399999999994</v>
      </c>
      <c r="EV118" s="700">
        <f t="shared" si="97"/>
        <v>556670.19128699997</v>
      </c>
      <c r="EZ118" s="730" t="s">
        <v>553</v>
      </c>
      <c r="FA118" s="731" t="s">
        <v>420</v>
      </c>
      <c r="FB118" s="420">
        <v>67587647</v>
      </c>
      <c r="FC118" s="426">
        <f t="shared" si="98"/>
        <v>67587.646999999997</v>
      </c>
      <c r="FG118" s="735" t="s">
        <v>553</v>
      </c>
      <c r="FH118" s="734" t="s">
        <v>408</v>
      </c>
      <c r="FI118" s="732">
        <v>813465496</v>
      </c>
      <c r="FJ118" s="733">
        <v>754241444</v>
      </c>
      <c r="FK118" s="733">
        <v>59224052</v>
      </c>
      <c r="FL118" s="733">
        <v>581640148</v>
      </c>
      <c r="FM118" s="426">
        <f t="shared" si="99"/>
        <v>813465.49600000004</v>
      </c>
      <c r="FN118" s="426">
        <f t="shared" si="100"/>
        <v>754241.44400000002</v>
      </c>
      <c r="FO118" s="426">
        <f t="shared" si="101"/>
        <v>59224.052000000003</v>
      </c>
      <c r="FP118" s="426">
        <f t="shared" si="102"/>
        <v>581640.14800000004</v>
      </c>
      <c r="FT118" s="427" t="s">
        <v>355</v>
      </c>
      <c r="FU118" s="93" t="s">
        <v>414</v>
      </c>
      <c r="FV118" s="94">
        <v>0</v>
      </c>
      <c r="FW118" s="94">
        <v>104183</v>
      </c>
      <c r="FX118" s="94">
        <v>104183</v>
      </c>
      <c r="FY118" s="426">
        <f t="shared" si="103"/>
        <v>0</v>
      </c>
      <c r="FZ118" s="426">
        <f t="shared" si="104"/>
        <v>104.18300000000001</v>
      </c>
      <c r="GA118" s="426">
        <f t="shared" si="105"/>
        <v>104.18300000000001</v>
      </c>
      <c r="GG118" s="762" t="s">
        <v>553</v>
      </c>
      <c r="GH118" s="763" t="s">
        <v>408</v>
      </c>
      <c r="GI118" s="764">
        <v>826460004</v>
      </c>
      <c r="GJ118" s="764">
        <v>754241444</v>
      </c>
      <c r="GK118" s="764">
        <v>72218560</v>
      </c>
      <c r="GL118" s="764">
        <v>640807247</v>
      </c>
      <c r="GM118" s="764">
        <v>113434197</v>
      </c>
      <c r="GN118" s="426">
        <f t="shared" si="106"/>
        <v>826460.00399999996</v>
      </c>
      <c r="GO118" s="426">
        <f t="shared" si="107"/>
        <v>754241.44400000002</v>
      </c>
      <c r="GP118" s="426">
        <f t="shared" si="108"/>
        <v>72218.559999999998</v>
      </c>
      <c r="GQ118" s="426">
        <f t="shared" si="109"/>
        <v>640807.24699999997</v>
      </c>
      <c r="GR118" s="426">
        <f t="shared" si="110"/>
        <v>113434.197</v>
      </c>
      <c r="GV118" s="780" t="s">
        <v>532</v>
      </c>
      <c r="GW118" s="779">
        <v>18075757</v>
      </c>
      <c r="GX118" s="426">
        <f t="shared" si="111"/>
        <v>18075.757000000001</v>
      </c>
      <c r="HB118" s="782" t="s">
        <v>606</v>
      </c>
      <c r="HC118" s="764">
        <v>12736870</v>
      </c>
      <c r="HD118" s="764">
        <v>12736870</v>
      </c>
      <c r="HE118" s="764">
        <v>0</v>
      </c>
      <c r="HF118" s="764">
        <v>12736870</v>
      </c>
      <c r="HG118" s="426">
        <f t="shared" si="112"/>
        <v>12736.87</v>
      </c>
      <c r="HH118" s="426">
        <f t="shared" si="113"/>
        <v>0</v>
      </c>
      <c r="HI118" s="426">
        <f t="shared" si="114"/>
        <v>12736.87</v>
      </c>
      <c r="HJ118" s="426">
        <f t="shared" si="115"/>
        <v>0</v>
      </c>
      <c r="HK118" s="426">
        <f t="shared" si="116"/>
        <v>12736.87</v>
      </c>
    </row>
    <row r="119" spans="1:219" ht="15" customHeight="1" x14ac:dyDescent="0.3">
      <c r="A119" s="287" t="s">
        <v>355</v>
      </c>
      <c r="B119" s="288" t="s">
        <v>639</v>
      </c>
      <c r="C119" s="289">
        <v>155587000</v>
      </c>
      <c r="D119" s="290">
        <f t="shared" si="61"/>
        <v>165388.981</v>
      </c>
      <c r="E119" s="289">
        <v>0</v>
      </c>
      <c r="F119" s="289">
        <f t="shared" si="62"/>
        <v>0</v>
      </c>
      <c r="Q119" s="291" t="s">
        <v>449</v>
      </c>
      <c r="R119" s="292" t="s">
        <v>638</v>
      </c>
      <c r="S119" s="293">
        <v>155587000</v>
      </c>
      <c r="T119" s="293">
        <v>0</v>
      </c>
      <c r="U119" s="293">
        <f t="shared" si="64"/>
        <v>165388.981</v>
      </c>
      <c r="V119" s="293">
        <f t="shared" si="65"/>
        <v>0</v>
      </c>
      <c r="AF119" s="288" t="s">
        <v>532</v>
      </c>
      <c r="AG119" s="289">
        <v>208482000</v>
      </c>
      <c r="AH119" s="289">
        <f t="shared" si="117"/>
        <v>221616.36599999998</v>
      </c>
      <c r="AI119" s="289">
        <v>43901158</v>
      </c>
      <c r="AL119" s="426"/>
      <c r="AN119" s="423" t="s">
        <v>553</v>
      </c>
      <c r="AO119" s="424" t="s">
        <v>418</v>
      </c>
      <c r="AP119" s="425">
        <v>1290617897</v>
      </c>
      <c r="AQ119" s="425">
        <f t="shared" si="67"/>
        <v>1371926.824511</v>
      </c>
      <c r="AU119" s="423" t="s">
        <v>449</v>
      </c>
      <c r="AV119" s="424" t="s">
        <v>412</v>
      </c>
      <c r="AW119" s="425">
        <v>253879000</v>
      </c>
      <c r="AX119" s="425">
        <v>194850946</v>
      </c>
      <c r="AY119" s="425">
        <v>59028054</v>
      </c>
      <c r="AZ119" s="426">
        <f t="shared" si="68"/>
        <v>269873.37699999998</v>
      </c>
      <c r="BA119" s="426">
        <f t="shared" si="69"/>
        <v>207126.55559799998</v>
      </c>
      <c r="BB119" s="426">
        <f t="shared" si="70"/>
        <v>62746.821401999994</v>
      </c>
      <c r="BF119" s="423"/>
      <c r="BG119" s="424"/>
      <c r="BH119" s="425"/>
      <c r="BI119" s="426"/>
      <c r="BM119" s="427" t="s">
        <v>553</v>
      </c>
      <c r="BN119" s="93" t="s">
        <v>612</v>
      </c>
      <c r="BO119" s="94">
        <v>0</v>
      </c>
      <c r="BP119" s="94">
        <v>4360000</v>
      </c>
      <c r="BQ119" s="94">
        <v>4360000</v>
      </c>
      <c r="BR119" s="94">
        <v>0</v>
      </c>
      <c r="BS119" s="94">
        <v>4360000</v>
      </c>
      <c r="BT119" s="426">
        <f t="shared" si="72"/>
        <v>4634.6799999999994</v>
      </c>
      <c r="BU119" s="426">
        <f t="shared" si="73"/>
        <v>4634.6799999999994</v>
      </c>
      <c r="BV119" s="426">
        <f t="shared" si="74"/>
        <v>0</v>
      </c>
      <c r="BW119" s="426">
        <f t="shared" si="75"/>
        <v>4634.6799999999994</v>
      </c>
      <c r="CA119" s="93" t="s">
        <v>420</v>
      </c>
      <c r="CB119" s="426">
        <v>22867468</v>
      </c>
      <c r="CC119" s="426">
        <f t="shared" si="76"/>
        <v>24308.118483999999</v>
      </c>
      <c r="CG119" s="424" t="s">
        <v>610</v>
      </c>
      <c r="CH119" s="425">
        <v>4360000</v>
      </c>
      <c r="CI119" s="425">
        <v>4360000</v>
      </c>
      <c r="CJ119" s="425">
        <v>0</v>
      </c>
      <c r="CK119" s="425">
        <v>4360000</v>
      </c>
      <c r="CL119" s="425">
        <v>0</v>
      </c>
      <c r="CM119" s="425">
        <v>4360000</v>
      </c>
      <c r="CN119" s="425">
        <f t="shared" si="77"/>
        <v>4634.6799999999994</v>
      </c>
      <c r="CO119" s="425">
        <f t="shared" si="78"/>
        <v>4634.6799999999994</v>
      </c>
      <c r="CP119" s="425">
        <f t="shared" si="79"/>
        <v>0</v>
      </c>
      <c r="CQ119" s="425">
        <f t="shared" si="80"/>
        <v>4634.6799999999994</v>
      </c>
      <c r="CU119" s="424" t="s">
        <v>621</v>
      </c>
      <c r="CV119" s="425">
        <v>255588316</v>
      </c>
      <c r="CW119" s="425">
        <v>255588316</v>
      </c>
      <c r="CX119" s="426">
        <f t="shared" si="81"/>
        <v>271690.379908</v>
      </c>
      <c r="CY119" s="426">
        <f t="shared" si="82"/>
        <v>271690.379908</v>
      </c>
      <c r="DB119" s="568" t="s">
        <v>610</v>
      </c>
      <c r="DC119" s="569">
        <v>4360000</v>
      </c>
      <c r="DD119" s="569">
        <v>4360000</v>
      </c>
      <c r="DE119" s="569">
        <v>0</v>
      </c>
      <c r="DF119" s="569">
        <v>4360000</v>
      </c>
      <c r="DG119" s="570">
        <f t="shared" si="83"/>
        <v>4634.6799999999994</v>
      </c>
      <c r="DH119" s="570">
        <f t="shared" si="84"/>
        <v>4634.6799999999994</v>
      </c>
      <c r="DI119" s="570">
        <f t="shared" si="85"/>
        <v>0</v>
      </c>
      <c r="DJ119" s="570">
        <f t="shared" si="86"/>
        <v>4634.6799999999994</v>
      </c>
      <c r="DV119" s="93" t="s">
        <v>609</v>
      </c>
      <c r="DW119" s="94">
        <v>1029940</v>
      </c>
      <c r="DX119" s="94">
        <v>1029940</v>
      </c>
      <c r="DY119" s="94">
        <v>0</v>
      </c>
      <c r="DZ119" s="94">
        <v>149940</v>
      </c>
      <c r="EA119" s="94">
        <f t="shared" si="89"/>
        <v>1094.8262199999999</v>
      </c>
      <c r="EB119" s="94">
        <f t="shared" si="90"/>
        <v>1094.8262199999999</v>
      </c>
      <c r="EC119" s="94">
        <f t="shared" si="91"/>
        <v>0</v>
      </c>
      <c r="ED119" s="94">
        <f t="shared" si="92"/>
        <v>159.38621999999998</v>
      </c>
      <c r="EJ119" s="426"/>
      <c r="EN119" s="420" t="s">
        <v>409</v>
      </c>
      <c r="EO119" s="426">
        <v>6162870</v>
      </c>
      <c r="EP119" s="426">
        <v>6162870</v>
      </c>
      <c r="EQ119" s="426">
        <v>0</v>
      </c>
      <c r="ER119" s="426">
        <v>1912970</v>
      </c>
      <c r="ES119" s="700">
        <f t="shared" si="94"/>
        <v>6551.1308099999997</v>
      </c>
      <c r="ET119" s="700">
        <f t="shared" si="95"/>
        <v>6551.1308099999997</v>
      </c>
      <c r="EU119" s="700">
        <f t="shared" si="96"/>
        <v>0</v>
      </c>
      <c r="EV119" s="700">
        <f t="shared" si="97"/>
        <v>2033.48711</v>
      </c>
      <c r="EZ119" s="730" t="s">
        <v>554</v>
      </c>
      <c r="FA119" s="731" t="s">
        <v>621</v>
      </c>
      <c r="FB119" s="420">
        <v>67587647</v>
      </c>
      <c r="FC119" s="426">
        <f t="shared" si="98"/>
        <v>67587.646999999997</v>
      </c>
      <c r="FG119" s="735" t="s">
        <v>553</v>
      </c>
      <c r="FH119" s="734" t="s">
        <v>409</v>
      </c>
      <c r="FI119" s="732">
        <v>6162870</v>
      </c>
      <c r="FJ119" s="733">
        <v>6162870</v>
      </c>
      <c r="FK119" s="733">
        <v>0</v>
      </c>
      <c r="FL119" s="733">
        <v>3912970</v>
      </c>
      <c r="FM119" s="426">
        <f t="shared" si="99"/>
        <v>6162.87</v>
      </c>
      <c r="FN119" s="426">
        <f t="shared" si="100"/>
        <v>6162.87</v>
      </c>
      <c r="FO119" s="426">
        <f t="shared" si="101"/>
        <v>0</v>
      </c>
      <c r="FP119" s="426">
        <f t="shared" si="102"/>
        <v>3912.97</v>
      </c>
      <c r="FT119" s="427" t="s">
        <v>553</v>
      </c>
      <c r="FU119" s="93" t="s">
        <v>619</v>
      </c>
      <c r="FV119" s="94">
        <v>0</v>
      </c>
      <c r="FW119" s="94">
        <v>104183</v>
      </c>
      <c r="FX119" s="94">
        <v>104183</v>
      </c>
      <c r="FY119" s="426">
        <f t="shared" si="103"/>
        <v>0</v>
      </c>
      <c r="FZ119" s="426">
        <f t="shared" si="104"/>
        <v>104.18300000000001</v>
      </c>
      <c r="GA119" s="426">
        <f t="shared" si="105"/>
        <v>104.18300000000001</v>
      </c>
      <c r="GG119" s="762" t="s">
        <v>553</v>
      </c>
      <c r="GH119" s="763" t="s">
        <v>409</v>
      </c>
      <c r="GI119" s="764">
        <v>6162870</v>
      </c>
      <c r="GJ119" s="764">
        <v>6162870</v>
      </c>
      <c r="GK119" s="764">
        <v>0</v>
      </c>
      <c r="GL119" s="764">
        <v>5912970</v>
      </c>
      <c r="GM119" s="764">
        <v>249900</v>
      </c>
      <c r="GN119" s="426">
        <f t="shared" si="106"/>
        <v>6162.87</v>
      </c>
      <c r="GO119" s="426">
        <f t="shared" si="107"/>
        <v>6162.87</v>
      </c>
      <c r="GP119" s="426">
        <f t="shared" si="108"/>
        <v>0</v>
      </c>
      <c r="GQ119" s="426">
        <f t="shared" si="109"/>
        <v>5912.97</v>
      </c>
      <c r="GR119" s="426">
        <f t="shared" si="110"/>
        <v>249.9</v>
      </c>
      <c r="GV119" s="780" t="s">
        <v>495</v>
      </c>
      <c r="GW119" s="779">
        <v>124790280</v>
      </c>
      <c r="GX119" s="426">
        <f t="shared" si="111"/>
        <v>124790.28</v>
      </c>
      <c r="HB119" s="782" t="s">
        <v>405</v>
      </c>
      <c r="HC119" s="764">
        <v>12718436</v>
      </c>
      <c r="HD119" s="764">
        <v>12718436</v>
      </c>
      <c r="HE119" s="764">
        <v>0</v>
      </c>
      <c r="HF119" s="764">
        <v>12718436</v>
      </c>
      <c r="HG119" s="426">
        <f t="shared" si="112"/>
        <v>12718.436</v>
      </c>
      <c r="HH119" s="426">
        <f t="shared" si="113"/>
        <v>0</v>
      </c>
      <c r="HI119" s="426">
        <f t="shared" si="114"/>
        <v>12718.436</v>
      </c>
      <c r="HJ119" s="426">
        <f t="shared" si="115"/>
        <v>0</v>
      </c>
      <c r="HK119" s="426">
        <f t="shared" si="116"/>
        <v>12718.436</v>
      </c>
    </row>
    <row r="120" spans="1:219" ht="15" customHeight="1" x14ac:dyDescent="0.3">
      <c r="A120" s="287" t="s">
        <v>449</v>
      </c>
      <c r="B120" s="288" t="s">
        <v>618</v>
      </c>
      <c r="C120" s="289">
        <v>159090000</v>
      </c>
      <c r="D120" s="290">
        <f t="shared" si="61"/>
        <v>169112.66999999998</v>
      </c>
      <c r="E120" s="289">
        <v>0</v>
      </c>
      <c r="F120" s="289">
        <f t="shared" si="62"/>
        <v>0</v>
      </c>
      <c r="Q120" s="291" t="s">
        <v>355</v>
      </c>
      <c r="R120" s="292" t="s">
        <v>639</v>
      </c>
      <c r="S120" s="293">
        <v>155587000</v>
      </c>
      <c r="T120" s="293">
        <v>0</v>
      </c>
      <c r="U120" s="293">
        <f t="shared" si="64"/>
        <v>165388.981</v>
      </c>
      <c r="V120" s="293">
        <f t="shared" si="65"/>
        <v>0</v>
      </c>
      <c r="AF120" s="288" t="s">
        <v>531</v>
      </c>
      <c r="AG120" s="289">
        <v>45387000</v>
      </c>
      <c r="AH120" s="289">
        <f t="shared" si="117"/>
        <v>48246.380999999994</v>
      </c>
      <c r="AI120" s="289">
        <v>17880000</v>
      </c>
      <c r="AL120" s="426"/>
      <c r="AN120" s="423" t="s">
        <v>355</v>
      </c>
      <c r="AO120" s="424" t="s">
        <v>419</v>
      </c>
      <c r="AP120" s="425">
        <v>32326020</v>
      </c>
      <c r="AQ120" s="425">
        <f t="shared" si="67"/>
        <v>34362.559260000002</v>
      </c>
      <c r="AU120" s="423" t="s">
        <v>355</v>
      </c>
      <c r="AV120" s="424" t="s">
        <v>413</v>
      </c>
      <c r="AW120" s="425">
        <v>253879000</v>
      </c>
      <c r="AX120" s="425">
        <v>194850946</v>
      </c>
      <c r="AY120" s="425">
        <v>59028054</v>
      </c>
      <c r="AZ120" s="426">
        <f t="shared" si="68"/>
        <v>269873.37699999998</v>
      </c>
      <c r="BA120" s="426">
        <f t="shared" si="69"/>
        <v>207126.55559799998</v>
      </c>
      <c r="BB120" s="426">
        <f t="shared" si="70"/>
        <v>62746.821401999994</v>
      </c>
      <c r="BF120" s="423"/>
      <c r="BG120" s="424"/>
      <c r="BH120" s="425"/>
      <c r="BI120" s="426"/>
      <c r="BM120" s="427" t="s">
        <v>449</v>
      </c>
      <c r="BN120" s="93" t="s">
        <v>412</v>
      </c>
      <c r="BO120" s="94">
        <v>253879000</v>
      </c>
      <c r="BP120" s="94">
        <v>253879000</v>
      </c>
      <c r="BQ120" s="94">
        <v>225210946</v>
      </c>
      <c r="BR120" s="94">
        <v>28668054</v>
      </c>
      <c r="BS120" s="94">
        <v>114416616</v>
      </c>
      <c r="BT120" s="426">
        <f t="shared" si="72"/>
        <v>269873.37699999998</v>
      </c>
      <c r="BU120" s="426">
        <f t="shared" si="73"/>
        <v>239399.23559799997</v>
      </c>
      <c r="BV120" s="426">
        <f t="shared" si="74"/>
        <v>30474.141401999997</v>
      </c>
      <c r="BW120" s="426">
        <f t="shared" si="75"/>
        <v>121624.86280799999</v>
      </c>
      <c r="CA120" s="93" t="s">
        <v>621</v>
      </c>
      <c r="CB120" s="426">
        <v>22867468</v>
      </c>
      <c r="CC120" s="426">
        <f t="shared" si="76"/>
        <v>24308.118483999999</v>
      </c>
      <c r="CG120" s="424" t="s">
        <v>611</v>
      </c>
      <c r="CH120" s="425">
        <v>4360000</v>
      </c>
      <c r="CI120" s="425">
        <v>4360000</v>
      </c>
      <c r="CJ120" s="425">
        <v>0</v>
      </c>
      <c r="CK120" s="425">
        <v>4360000</v>
      </c>
      <c r="CL120" s="425">
        <v>0</v>
      </c>
      <c r="CM120" s="425">
        <v>4360000</v>
      </c>
      <c r="CN120" s="425">
        <f t="shared" si="77"/>
        <v>4634.6799999999994</v>
      </c>
      <c r="CO120" s="425">
        <f t="shared" si="78"/>
        <v>4634.6799999999994</v>
      </c>
      <c r="CP120" s="425">
        <f t="shared" si="79"/>
        <v>0</v>
      </c>
      <c r="CQ120" s="425">
        <f t="shared" si="80"/>
        <v>4634.6799999999994</v>
      </c>
      <c r="CU120" s="424" t="s">
        <v>622</v>
      </c>
      <c r="CV120" s="425">
        <v>307276</v>
      </c>
      <c r="CW120" s="425">
        <v>307276</v>
      </c>
      <c r="CX120" s="426">
        <f t="shared" si="81"/>
        <v>326.634388</v>
      </c>
      <c r="CY120" s="426">
        <f t="shared" si="82"/>
        <v>326.634388</v>
      </c>
      <c r="DB120" s="568" t="s">
        <v>611</v>
      </c>
      <c r="DC120" s="569">
        <v>4360000</v>
      </c>
      <c r="DD120" s="569">
        <v>4360000</v>
      </c>
      <c r="DE120" s="569">
        <v>0</v>
      </c>
      <c r="DF120" s="569">
        <v>4360000</v>
      </c>
      <c r="DG120" s="570">
        <f t="shared" si="83"/>
        <v>4634.6799999999994</v>
      </c>
      <c r="DH120" s="570">
        <f t="shared" si="84"/>
        <v>4634.6799999999994</v>
      </c>
      <c r="DI120" s="570">
        <f t="shared" si="85"/>
        <v>0</v>
      </c>
      <c r="DJ120" s="570">
        <f t="shared" si="86"/>
        <v>4634.6799999999994</v>
      </c>
      <c r="DV120" s="93" t="s">
        <v>411</v>
      </c>
      <c r="DW120" s="94">
        <v>5113026</v>
      </c>
      <c r="DX120" s="94">
        <v>295190</v>
      </c>
      <c r="DY120" s="94">
        <v>4817836</v>
      </c>
      <c r="DZ120" s="94">
        <v>295190</v>
      </c>
      <c r="EA120" s="94">
        <f t="shared" si="89"/>
        <v>5435.1466379999993</v>
      </c>
      <c r="EB120" s="94">
        <f t="shared" si="90"/>
        <v>313.78697</v>
      </c>
      <c r="EC120" s="94">
        <f t="shared" si="91"/>
        <v>5121.3596680000001</v>
      </c>
      <c r="ED120" s="94">
        <f t="shared" si="92"/>
        <v>313.78697</v>
      </c>
      <c r="EJ120" s="426"/>
      <c r="EN120" s="420" t="s">
        <v>608</v>
      </c>
      <c r="EO120" s="426">
        <v>6972421</v>
      </c>
      <c r="EP120" s="426">
        <v>5931043</v>
      </c>
      <c r="EQ120" s="426">
        <v>1041378</v>
      </c>
      <c r="ER120" s="426">
        <v>5883753</v>
      </c>
      <c r="ES120" s="700">
        <f t="shared" si="94"/>
        <v>7411.6835229999997</v>
      </c>
      <c r="ET120" s="700">
        <f t="shared" si="95"/>
        <v>6304.6987089999993</v>
      </c>
      <c r="EU120" s="700">
        <f t="shared" si="96"/>
        <v>1106.9848139999999</v>
      </c>
      <c r="EV120" s="700">
        <f t="shared" si="97"/>
        <v>6254.4294389999995</v>
      </c>
      <c r="FC120" s="432">
        <f>SUBTOTAL(9,FC3:FC119)</f>
        <v>9703859.9279999956</v>
      </c>
      <c r="FG120" s="735" t="s">
        <v>355</v>
      </c>
      <c r="FH120" s="734" t="s">
        <v>608</v>
      </c>
      <c r="FI120" s="732">
        <v>8542502</v>
      </c>
      <c r="FJ120" s="733">
        <v>7475695</v>
      </c>
      <c r="FK120" s="733">
        <v>1066807</v>
      </c>
      <c r="FL120" s="733">
        <v>7418425</v>
      </c>
      <c r="FM120" s="426">
        <f t="shared" si="99"/>
        <v>8542.5020000000004</v>
      </c>
      <c r="FN120" s="426">
        <f t="shared" si="100"/>
        <v>7475.6949999999997</v>
      </c>
      <c r="FO120" s="426">
        <f t="shared" si="101"/>
        <v>1066.807</v>
      </c>
      <c r="FP120" s="426">
        <f t="shared" si="102"/>
        <v>7418.4250000000002</v>
      </c>
      <c r="FT120" s="427" t="s">
        <v>355</v>
      </c>
      <c r="FU120" s="93" t="s">
        <v>415</v>
      </c>
      <c r="FV120" s="94">
        <v>0</v>
      </c>
      <c r="FW120" s="94">
        <v>13435560</v>
      </c>
      <c r="FX120" s="94">
        <v>0</v>
      </c>
      <c r="FY120" s="426">
        <f t="shared" si="103"/>
        <v>0</v>
      </c>
      <c r="FZ120" s="426">
        <f t="shared" si="104"/>
        <v>13435.56</v>
      </c>
      <c r="GA120" s="426">
        <f t="shared" si="105"/>
        <v>0</v>
      </c>
      <c r="GG120" s="762" t="s">
        <v>355</v>
      </c>
      <c r="GH120" s="763" t="s">
        <v>608</v>
      </c>
      <c r="GI120" s="764">
        <v>13172972</v>
      </c>
      <c r="GJ120" s="764">
        <v>7809215</v>
      </c>
      <c r="GK120" s="764">
        <v>5363757</v>
      </c>
      <c r="GL120" s="764">
        <v>7809215</v>
      </c>
      <c r="GM120" s="764">
        <v>0</v>
      </c>
      <c r="GN120" s="426">
        <f t="shared" si="106"/>
        <v>13172.972</v>
      </c>
      <c r="GO120" s="426">
        <f t="shared" si="107"/>
        <v>7809.2150000000001</v>
      </c>
      <c r="GP120" s="426">
        <f t="shared" si="108"/>
        <v>5363.7569999999996</v>
      </c>
      <c r="GQ120" s="426">
        <f t="shared" si="109"/>
        <v>7809.2150000000001</v>
      </c>
      <c r="GR120" s="426">
        <f t="shared" si="110"/>
        <v>0</v>
      </c>
      <c r="GV120" s="780" t="s">
        <v>615</v>
      </c>
      <c r="GW120" s="779">
        <v>4762680</v>
      </c>
      <c r="GX120" s="426">
        <f t="shared" si="111"/>
        <v>4762.68</v>
      </c>
      <c r="HB120" s="782" t="s">
        <v>504</v>
      </c>
      <c r="HC120" s="764">
        <v>18434</v>
      </c>
      <c r="HD120" s="764">
        <v>18434</v>
      </c>
      <c r="HE120" s="764">
        <v>0</v>
      </c>
      <c r="HF120" s="764">
        <v>18434</v>
      </c>
      <c r="HG120" s="426">
        <f t="shared" si="112"/>
        <v>18.434000000000001</v>
      </c>
      <c r="HH120" s="426">
        <f t="shared" si="113"/>
        <v>0</v>
      </c>
      <c r="HI120" s="426">
        <f t="shared" si="114"/>
        <v>18.434000000000001</v>
      </c>
      <c r="HJ120" s="426">
        <f t="shared" si="115"/>
        <v>0</v>
      </c>
      <c r="HK120" s="426">
        <f t="shared" si="116"/>
        <v>18.434000000000001</v>
      </c>
    </row>
    <row r="121" spans="1:219" ht="15" customHeight="1" x14ac:dyDescent="0.3">
      <c r="A121" s="287" t="s">
        <v>355</v>
      </c>
      <c r="B121" s="288" t="s">
        <v>415</v>
      </c>
      <c r="C121" s="289">
        <v>159090000</v>
      </c>
      <c r="D121" s="290">
        <f t="shared" si="61"/>
        <v>169112.66999999998</v>
      </c>
      <c r="E121" s="289">
        <v>0</v>
      </c>
      <c r="F121" s="289">
        <f t="shared" si="62"/>
        <v>0</v>
      </c>
      <c r="Q121" s="291" t="s">
        <v>449</v>
      </c>
      <c r="R121" s="292" t="s">
        <v>618</v>
      </c>
      <c r="S121" s="293">
        <v>159090000</v>
      </c>
      <c r="T121" s="293">
        <v>0</v>
      </c>
      <c r="U121" s="293">
        <f t="shared" si="64"/>
        <v>169112.66999999998</v>
      </c>
      <c r="V121" s="293">
        <f t="shared" si="65"/>
        <v>0</v>
      </c>
      <c r="AF121" s="288" t="s">
        <v>638</v>
      </c>
      <c r="AG121" s="289">
        <v>155587000</v>
      </c>
      <c r="AH121" s="289">
        <f t="shared" si="117"/>
        <v>165388.981</v>
      </c>
      <c r="AI121" s="289">
        <v>0</v>
      </c>
      <c r="AL121" s="426"/>
      <c r="AN121" s="423" t="s">
        <v>553</v>
      </c>
      <c r="AO121" s="424" t="s">
        <v>420</v>
      </c>
      <c r="AP121" s="425">
        <v>32326020</v>
      </c>
      <c r="AQ121" s="425">
        <f t="shared" si="67"/>
        <v>34362.559260000002</v>
      </c>
      <c r="AU121" s="423" t="s">
        <v>553</v>
      </c>
      <c r="AV121" s="424" t="s">
        <v>614</v>
      </c>
      <c r="AW121" s="425">
        <v>10000</v>
      </c>
      <c r="AX121" s="425">
        <v>0</v>
      </c>
      <c r="AY121" s="425">
        <v>10000</v>
      </c>
      <c r="AZ121" s="426">
        <f t="shared" si="68"/>
        <v>10.629999999999999</v>
      </c>
      <c r="BA121" s="426">
        <f t="shared" si="69"/>
        <v>0</v>
      </c>
      <c r="BB121" s="426">
        <f t="shared" si="70"/>
        <v>10.629999999999999</v>
      </c>
      <c r="BF121" s="423"/>
      <c r="BG121" s="424"/>
      <c r="BH121" s="425"/>
      <c r="BI121" s="426"/>
      <c r="BM121" s="427" t="s">
        <v>355</v>
      </c>
      <c r="BN121" s="93" t="s">
        <v>413</v>
      </c>
      <c r="BO121" s="94">
        <v>253879000</v>
      </c>
      <c r="BP121" s="94">
        <v>253879000</v>
      </c>
      <c r="BQ121" s="94">
        <v>225210946</v>
      </c>
      <c r="BR121" s="94">
        <v>28668054</v>
      </c>
      <c r="BS121" s="94">
        <v>114416616</v>
      </c>
      <c r="BT121" s="426">
        <f t="shared" si="72"/>
        <v>269873.37699999998</v>
      </c>
      <c r="BU121" s="426">
        <f t="shared" si="73"/>
        <v>239399.23559799997</v>
      </c>
      <c r="BV121" s="426">
        <f t="shared" si="74"/>
        <v>30474.141401999997</v>
      </c>
      <c r="BW121" s="426">
        <f t="shared" si="75"/>
        <v>121624.86280799999</v>
      </c>
      <c r="CA121" s="93" t="s">
        <v>422</v>
      </c>
      <c r="CB121" s="426">
        <v>0</v>
      </c>
      <c r="CC121" s="426">
        <f t="shared" si="76"/>
        <v>0</v>
      </c>
      <c r="CG121" s="424" t="s">
        <v>612</v>
      </c>
      <c r="CH121" s="425">
        <v>0</v>
      </c>
      <c r="CI121" s="425">
        <v>4360000</v>
      </c>
      <c r="CJ121" s="425">
        <v>-4360000</v>
      </c>
      <c r="CK121" s="425">
        <v>4360000</v>
      </c>
      <c r="CL121" s="425">
        <v>0</v>
      </c>
      <c r="CM121" s="425">
        <v>4360000</v>
      </c>
      <c r="CN121" s="425">
        <f t="shared" si="77"/>
        <v>4634.6799999999994</v>
      </c>
      <c r="CO121" s="425">
        <f t="shared" si="78"/>
        <v>4634.6799999999994</v>
      </c>
      <c r="CP121" s="425">
        <f t="shared" si="79"/>
        <v>0</v>
      </c>
      <c r="CQ121" s="425">
        <f t="shared" si="80"/>
        <v>4634.6799999999994</v>
      </c>
      <c r="CU121" s="424" t="s">
        <v>421</v>
      </c>
      <c r="CV121" s="425">
        <v>307276</v>
      </c>
      <c r="CW121" s="425">
        <v>307276</v>
      </c>
      <c r="CX121" s="426">
        <f t="shared" si="81"/>
        <v>326.634388</v>
      </c>
      <c r="CY121" s="426">
        <f t="shared" si="82"/>
        <v>326.634388</v>
      </c>
      <c r="DB121" s="568" t="s">
        <v>612</v>
      </c>
      <c r="DC121" s="569">
        <v>4360000</v>
      </c>
      <c r="DD121" s="569">
        <v>4360000</v>
      </c>
      <c r="DE121" s="569">
        <v>0</v>
      </c>
      <c r="DF121" s="569">
        <v>4360000</v>
      </c>
      <c r="DG121" s="570">
        <f t="shared" si="83"/>
        <v>4634.6799999999994</v>
      </c>
      <c r="DH121" s="570">
        <f t="shared" si="84"/>
        <v>4634.6799999999994</v>
      </c>
      <c r="DI121" s="570">
        <f t="shared" si="85"/>
        <v>0</v>
      </c>
      <c r="DJ121" s="570">
        <f t="shared" si="86"/>
        <v>4634.6799999999994</v>
      </c>
      <c r="DV121" s="93" t="s">
        <v>610</v>
      </c>
      <c r="DW121" s="94">
        <v>4360000</v>
      </c>
      <c r="DX121" s="94">
        <v>4360000</v>
      </c>
      <c r="DY121" s="94">
        <v>0</v>
      </c>
      <c r="DZ121" s="94">
        <v>4360000</v>
      </c>
      <c r="EA121" s="94">
        <f t="shared" si="89"/>
        <v>4634.6799999999994</v>
      </c>
      <c r="EB121" s="94">
        <f t="shared" si="90"/>
        <v>4634.6799999999994</v>
      </c>
      <c r="EC121" s="94">
        <f t="shared" si="91"/>
        <v>0</v>
      </c>
      <c r="ED121" s="94">
        <f t="shared" si="92"/>
        <v>4634.6799999999994</v>
      </c>
      <c r="EJ121" s="426"/>
      <c r="EN121" s="420" t="s">
        <v>410</v>
      </c>
      <c r="EO121" s="426">
        <v>4605913</v>
      </c>
      <c r="EP121" s="426">
        <v>4605913</v>
      </c>
      <c r="EQ121" s="426">
        <v>0</v>
      </c>
      <c r="ER121" s="426">
        <v>4558623</v>
      </c>
      <c r="ES121" s="700">
        <f t="shared" si="94"/>
        <v>4896.0855189999993</v>
      </c>
      <c r="ET121" s="700">
        <f t="shared" si="95"/>
        <v>4896.0855189999993</v>
      </c>
      <c r="EU121" s="700">
        <f t="shared" si="96"/>
        <v>0</v>
      </c>
      <c r="EV121" s="700">
        <f t="shared" si="97"/>
        <v>4845.8162489999995</v>
      </c>
      <c r="FG121" s="735" t="s">
        <v>553</v>
      </c>
      <c r="FH121" s="734" t="s">
        <v>410</v>
      </c>
      <c r="FI121" s="732">
        <v>6150565</v>
      </c>
      <c r="FJ121" s="733">
        <v>6150565</v>
      </c>
      <c r="FK121" s="733">
        <v>0</v>
      </c>
      <c r="FL121" s="733">
        <v>6093295</v>
      </c>
      <c r="FM121" s="426">
        <f t="shared" si="99"/>
        <v>6150.5649999999996</v>
      </c>
      <c r="FN121" s="426">
        <f t="shared" si="100"/>
        <v>6150.5649999999996</v>
      </c>
      <c r="FO121" s="426">
        <f t="shared" si="101"/>
        <v>0</v>
      </c>
      <c r="FP121" s="426">
        <f t="shared" si="102"/>
        <v>6093.2950000000001</v>
      </c>
      <c r="FT121" s="427" t="s">
        <v>553</v>
      </c>
      <c r="FU121" s="93" t="s">
        <v>620</v>
      </c>
      <c r="FV121" s="94">
        <v>-18500000</v>
      </c>
      <c r="FW121" s="94">
        <v>13435560</v>
      </c>
      <c r="FX121" s="94">
        <v>0</v>
      </c>
      <c r="FY121" s="426">
        <f t="shared" si="103"/>
        <v>-18500</v>
      </c>
      <c r="FZ121" s="426">
        <f t="shared" si="104"/>
        <v>13435.56</v>
      </c>
      <c r="GA121" s="426">
        <f t="shared" si="105"/>
        <v>0</v>
      </c>
      <c r="GG121" s="762" t="s">
        <v>553</v>
      </c>
      <c r="GH121" s="763" t="s">
        <v>410</v>
      </c>
      <c r="GI121" s="764">
        <v>6484085</v>
      </c>
      <c r="GJ121" s="764">
        <v>6484085</v>
      </c>
      <c r="GK121" s="764">
        <v>0</v>
      </c>
      <c r="GL121" s="764">
        <v>6484085</v>
      </c>
      <c r="GM121" s="764">
        <v>0</v>
      </c>
      <c r="GN121" s="426">
        <f t="shared" si="106"/>
        <v>6484.085</v>
      </c>
      <c r="GO121" s="426">
        <f t="shared" si="107"/>
        <v>6484.085</v>
      </c>
      <c r="GP121" s="426">
        <f t="shared" si="108"/>
        <v>0</v>
      </c>
      <c r="GQ121" s="426">
        <f t="shared" si="109"/>
        <v>6484.085</v>
      </c>
      <c r="GR121" s="426">
        <f t="shared" si="110"/>
        <v>0</v>
      </c>
      <c r="GV121" s="780" t="s">
        <v>616</v>
      </c>
      <c r="GW121" s="779">
        <v>120027600</v>
      </c>
      <c r="GX121" s="426">
        <f t="shared" si="111"/>
        <v>120027.6</v>
      </c>
      <c r="HB121" s="782" t="s">
        <v>607</v>
      </c>
      <c r="HC121" s="764">
        <v>1166461746</v>
      </c>
      <c r="HD121" s="764">
        <v>1166461746</v>
      </c>
      <c r="HE121" s="764">
        <v>0</v>
      </c>
      <c r="HF121" s="764">
        <v>1166461746</v>
      </c>
      <c r="HG121" s="426">
        <f t="shared" si="112"/>
        <v>1166461.746</v>
      </c>
      <c r="HH121" s="426">
        <f t="shared" si="113"/>
        <v>0</v>
      </c>
      <c r="HI121" s="426">
        <f t="shared" si="114"/>
        <v>1166461.746</v>
      </c>
      <c r="HJ121" s="426">
        <f t="shared" si="115"/>
        <v>0</v>
      </c>
      <c r="HK121" s="426">
        <f t="shared" si="116"/>
        <v>1166461.746</v>
      </c>
    </row>
    <row r="122" spans="1:219" ht="15" customHeight="1" x14ac:dyDescent="0.3">
      <c r="A122" s="287" t="s">
        <v>553</v>
      </c>
      <c r="B122" s="288" t="s">
        <v>620</v>
      </c>
      <c r="C122" s="289">
        <v>159090000</v>
      </c>
      <c r="D122" s="290">
        <f t="shared" si="61"/>
        <v>169112.66999999998</v>
      </c>
      <c r="E122" s="289">
        <v>0</v>
      </c>
      <c r="F122" s="289">
        <f t="shared" si="62"/>
        <v>0</v>
      </c>
      <c r="Q122" s="291" t="s">
        <v>355</v>
      </c>
      <c r="R122" s="292" t="s">
        <v>415</v>
      </c>
      <c r="S122" s="293">
        <v>159090000</v>
      </c>
      <c r="T122" s="293">
        <v>0</v>
      </c>
      <c r="U122" s="293">
        <f t="shared" si="64"/>
        <v>169112.66999999998</v>
      </c>
      <c r="V122" s="293">
        <f t="shared" si="65"/>
        <v>0</v>
      </c>
      <c r="AF122" s="288" t="s">
        <v>639</v>
      </c>
      <c r="AG122" s="289">
        <v>155587000</v>
      </c>
      <c r="AH122" s="289">
        <f t="shared" si="117"/>
        <v>165388.981</v>
      </c>
      <c r="AI122" s="289">
        <v>0</v>
      </c>
      <c r="AL122" s="426"/>
      <c r="AN122" s="423" t="s">
        <v>554</v>
      </c>
      <c r="AO122" s="424" t="s">
        <v>621</v>
      </c>
      <c r="AP122" s="425">
        <v>32326020</v>
      </c>
      <c r="AQ122" s="425">
        <f t="shared" si="67"/>
        <v>34362.559260000002</v>
      </c>
      <c r="AU122" s="423" t="s">
        <v>553</v>
      </c>
      <c r="AV122" s="424" t="s">
        <v>532</v>
      </c>
      <c r="AW122" s="425">
        <v>208482000</v>
      </c>
      <c r="AX122" s="425">
        <v>152570946</v>
      </c>
      <c r="AY122" s="425">
        <v>55911054</v>
      </c>
      <c r="AZ122" s="426">
        <f t="shared" si="68"/>
        <v>221616.36599999998</v>
      </c>
      <c r="BA122" s="426">
        <f t="shared" si="69"/>
        <v>162182.91559799999</v>
      </c>
      <c r="BB122" s="426">
        <f t="shared" si="70"/>
        <v>59433.450401999995</v>
      </c>
      <c r="BF122" s="423"/>
      <c r="BG122" s="424"/>
      <c r="BH122" s="425"/>
      <c r="BI122" s="426"/>
      <c r="BM122" s="427" t="s">
        <v>553</v>
      </c>
      <c r="BN122" s="93" t="s">
        <v>614</v>
      </c>
      <c r="BO122" s="94">
        <v>10000</v>
      </c>
      <c r="BP122" s="94">
        <v>10000</v>
      </c>
      <c r="BQ122" s="94">
        <v>0</v>
      </c>
      <c r="BR122" s="94">
        <v>10000</v>
      </c>
      <c r="BS122" s="94">
        <v>0</v>
      </c>
      <c r="BT122" s="426">
        <f t="shared" si="72"/>
        <v>10.629999999999999</v>
      </c>
      <c r="BU122" s="426">
        <f t="shared" si="73"/>
        <v>0</v>
      </c>
      <c r="BV122" s="426">
        <f t="shared" si="74"/>
        <v>10.629999999999999</v>
      </c>
      <c r="BW122" s="426">
        <f t="shared" si="75"/>
        <v>0</v>
      </c>
      <c r="CC122" s="432">
        <f>SUM(CC3:CC121)</f>
        <v>8861957.357224999</v>
      </c>
      <c r="CG122" s="424" t="s">
        <v>412</v>
      </c>
      <c r="CH122" s="425">
        <v>308879000</v>
      </c>
      <c r="CI122" s="425">
        <v>308879000</v>
      </c>
      <c r="CJ122" s="425">
        <v>0</v>
      </c>
      <c r="CK122" s="425">
        <v>225210946</v>
      </c>
      <c r="CL122" s="425">
        <v>83668054</v>
      </c>
      <c r="CM122" s="425">
        <v>128998066</v>
      </c>
      <c r="CN122" s="425">
        <f t="shared" si="77"/>
        <v>328338.37699999998</v>
      </c>
      <c r="CO122" s="425">
        <f t="shared" si="78"/>
        <v>239399.23559799997</v>
      </c>
      <c r="CP122" s="425">
        <f t="shared" si="79"/>
        <v>88939.141401999994</v>
      </c>
      <c r="CQ122" s="425">
        <f t="shared" si="80"/>
        <v>137124.944158</v>
      </c>
      <c r="CU122" s="424"/>
      <c r="CV122" s="425"/>
      <c r="CW122" s="425"/>
      <c r="CX122" s="426"/>
      <c r="CY122" s="426"/>
      <c r="DB122" s="568" t="s">
        <v>412</v>
      </c>
      <c r="DC122" s="569">
        <v>308879000</v>
      </c>
      <c r="DD122" s="569">
        <v>280210946</v>
      </c>
      <c r="DE122" s="569">
        <v>28668054</v>
      </c>
      <c r="DF122" s="569">
        <v>140508380</v>
      </c>
      <c r="DG122" s="570">
        <f t="shared" si="83"/>
        <v>328338.37699999998</v>
      </c>
      <c r="DH122" s="570">
        <f t="shared" si="84"/>
        <v>297864.235598</v>
      </c>
      <c r="DI122" s="570">
        <f t="shared" si="85"/>
        <v>30474.141401999997</v>
      </c>
      <c r="DJ122" s="570">
        <f t="shared" si="86"/>
        <v>149360.40794</v>
      </c>
      <c r="DV122" s="93" t="s">
        <v>611</v>
      </c>
      <c r="DW122" s="94">
        <v>4360000</v>
      </c>
      <c r="DX122" s="94">
        <v>4360000</v>
      </c>
      <c r="DY122" s="94">
        <v>0</v>
      </c>
      <c r="DZ122" s="94">
        <v>4360000</v>
      </c>
      <c r="EA122" s="94">
        <f t="shared" si="89"/>
        <v>4634.6799999999994</v>
      </c>
      <c r="EB122" s="94">
        <f t="shared" si="90"/>
        <v>4634.6799999999994</v>
      </c>
      <c r="EC122" s="94">
        <f t="shared" si="91"/>
        <v>0</v>
      </c>
      <c r="ED122" s="94">
        <f t="shared" si="92"/>
        <v>4634.6799999999994</v>
      </c>
      <c r="EJ122" s="426"/>
      <c r="EN122" s="420" t="s">
        <v>609</v>
      </c>
      <c r="EO122" s="426">
        <v>1029940</v>
      </c>
      <c r="EP122" s="426">
        <v>1029940</v>
      </c>
      <c r="EQ122" s="426">
        <v>0</v>
      </c>
      <c r="ER122" s="426">
        <v>1029940</v>
      </c>
      <c r="ES122" s="700">
        <f t="shared" si="94"/>
        <v>1094.8262199999999</v>
      </c>
      <c r="ET122" s="700">
        <f t="shared" si="95"/>
        <v>1094.8262199999999</v>
      </c>
      <c r="EU122" s="700">
        <f t="shared" si="96"/>
        <v>0</v>
      </c>
      <c r="EV122" s="700">
        <f t="shared" si="97"/>
        <v>1094.8262199999999</v>
      </c>
      <c r="FG122" s="735" t="s">
        <v>553</v>
      </c>
      <c r="FH122" s="734" t="s">
        <v>609</v>
      </c>
      <c r="FI122" s="732">
        <v>1029940</v>
      </c>
      <c r="FJ122" s="733">
        <v>1029940</v>
      </c>
      <c r="FK122" s="733">
        <v>0</v>
      </c>
      <c r="FL122" s="733">
        <v>1029940</v>
      </c>
      <c r="FM122" s="426">
        <f t="shared" si="99"/>
        <v>1029.94</v>
      </c>
      <c r="FN122" s="426">
        <f t="shared" si="100"/>
        <v>1029.94</v>
      </c>
      <c r="FO122" s="426">
        <f t="shared" si="101"/>
        <v>0</v>
      </c>
      <c r="FP122" s="426">
        <f t="shared" si="102"/>
        <v>1029.94</v>
      </c>
      <c r="FT122" s="427" t="s">
        <v>553</v>
      </c>
      <c r="FU122" s="93" t="s">
        <v>914</v>
      </c>
      <c r="FV122" s="94">
        <v>18500000</v>
      </c>
      <c r="FW122" s="94">
        <v>0</v>
      </c>
      <c r="FX122" s="94">
        <v>0</v>
      </c>
      <c r="FY122" s="426">
        <f t="shared" si="103"/>
        <v>18500</v>
      </c>
      <c r="FZ122" s="426">
        <f t="shared" si="104"/>
        <v>0</v>
      </c>
      <c r="GA122" s="426">
        <f t="shared" si="105"/>
        <v>0</v>
      </c>
      <c r="GG122" s="762" t="s">
        <v>553</v>
      </c>
      <c r="GH122" s="763" t="s">
        <v>609</v>
      </c>
      <c r="GI122" s="764">
        <v>6129515</v>
      </c>
      <c r="GJ122" s="764">
        <v>1029940</v>
      </c>
      <c r="GK122" s="764">
        <v>5099575</v>
      </c>
      <c r="GL122" s="764">
        <v>1029940</v>
      </c>
      <c r="GM122" s="764">
        <v>0</v>
      </c>
      <c r="GN122" s="426">
        <f t="shared" si="106"/>
        <v>6129.5150000000003</v>
      </c>
      <c r="GO122" s="426">
        <f t="shared" si="107"/>
        <v>1029.94</v>
      </c>
      <c r="GP122" s="426">
        <f t="shared" si="108"/>
        <v>5099.5749999999998</v>
      </c>
      <c r="GQ122" s="426">
        <f t="shared" si="109"/>
        <v>1029.94</v>
      </c>
      <c r="GR122" s="426">
        <f t="shared" si="110"/>
        <v>0</v>
      </c>
      <c r="GV122" s="780" t="s">
        <v>638</v>
      </c>
      <c r="GW122" s="779">
        <v>35078996</v>
      </c>
      <c r="GX122" s="426">
        <f t="shared" si="111"/>
        <v>35078.995999999999</v>
      </c>
      <c r="HB122" s="782" t="s">
        <v>406</v>
      </c>
      <c r="HC122" s="764">
        <v>287665155</v>
      </c>
      <c r="HD122" s="764">
        <v>287665155</v>
      </c>
      <c r="HE122" s="764">
        <v>0</v>
      </c>
      <c r="HF122" s="764">
        <v>287665155</v>
      </c>
      <c r="HG122" s="426">
        <f t="shared" si="112"/>
        <v>287665.15500000003</v>
      </c>
      <c r="HH122" s="426">
        <f t="shared" si="113"/>
        <v>0</v>
      </c>
      <c r="HI122" s="426">
        <f t="shared" si="114"/>
        <v>287665.15500000003</v>
      </c>
      <c r="HJ122" s="426">
        <f t="shared" si="115"/>
        <v>0</v>
      </c>
      <c r="HK122" s="426">
        <f t="shared" si="116"/>
        <v>287665.15500000003</v>
      </c>
    </row>
    <row r="123" spans="1:219" ht="15" customHeight="1" x14ac:dyDescent="0.3">
      <c r="A123" s="287" t="s">
        <v>449</v>
      </c>
      <c r="B123" s="288" t="s">
        <v>416</v>
      </c>
      <c r="C123" s="289">
        <v>15673650000</v>
      </c>
      <c r="D123" s="290">
        <f t="shared" si="61"/>
        <v>16661089.949999999</v>
      </c>
      <c r="E123" s="289">
        <v>300966359</v>
      </c>
      <c r="F123" s="289">
        <f t="shared" si="62"/>
        <v>319927.23961699998</v>
      </c>
      <c r="Q123" s="291" t="s">
        <v>553</v>
      </c>
      <c r="R123" s="292" t="s">
        <v>620</v>
      </c>
      <c r="S123" s="293">
        <v>159090000</v>
      </c>
      <c r="T123" s="293">
        <v>0</v>
      </c>
      <c r="U123" s="293">
        <f t="shared" si="64"/>
        <v>169112.66999999998</v>
      </c>
      <c r="V123" s="293">
        <f t="shared" si="65"/>
        <v>0</v>
      </c>
      <c r="AF123" s="288" t="s">
        <v>618</v>
      </c>
      <c r="AG123" s="289">
        <v>167540000</v>
      </c>
      <c r="AH123" s="289">
        <f t="shared" si="117"/>
        <v>178095.02</v>
      </c>
      <c r="AI123" s="289">
        <v>645000</v>
      </c>
      <c r="AL123" s="426"/>
      <c r="AN123" s="423" t="s">
        <v>355</v>
      </c>
      <c r="AO123" s="424" t="s">
        <v>422</v>
      </c>
      <c r="AP123" s="425">
        <v>0</v>
      </c>
      <c r="AQ123" s="425">
        <f t="shared" si="67"/>
        <v>0</v>
      </c>
      <c r="AU123" s="423" t="s">
        <v>553</v>
      </c>
      <c r="AV123" s="424" t="s">
        <v>531</v>
      </c>
      <c r="AW123" s="425">
        <v>45387000</v>
      </c>
      <c r="AX123" s="425">
        <v>42280000</v>
      </c>
      <c r="AY123" s="425">
        <v>3107000</v>
      </c>
      <c r="AZ123" s="426">
        <f t="shared" si="68"/>
        <v>48246.380999999994</v>
      </c>
      <c r="BA123" s="426">
        <f t="shared" si="69"/>
        <v>44943.64</v>
      </c>
      <c r="BB123" s="426">
        <f t="shared" si="70"/>
        <v>3302.741</v>
      </c>
      <c r="BF123" s="423"/>
      <c r="BG123" s="424"/>
      <c r="BH123" s="425"/>
      <c r="BI123" s="426"/>
      <c r="BM123" s="427" t="s">
        <v>553</v>
      </c>
      <c r="BN123" s="93" t="s">
        <v>532</v>
      </c>
      <c r="BO123" s="94">
        <v>208482000</v>
      </c>
      <c r="BP123" s="94">
        <v>208482000</v>
      </c>
      <c r="BQ123" s="94">
        <v>182930946</v>
      </c>
      <c r="BR123" s="94">
        <v>25551054</v>
      </c>
      <c r="BS123" s="94">
        <v>72136616</v>
      </c>
      <c r="BT123" s="426">
        <f t="shared" si="72"/>
        <v>221616.36599999998</v>
      </c>
      <c r="BU123" s="426">
        <f t="shared" si="73"/>
        <v>194455.59559799999</v>
      </c>
      <c r="BV123" s="426">
        <f t="shared" si="74"/>
        <v>27160.770401999998</v>
      </c>
      <c r="BW123" s="426">
        <f t="shared" si="75"/>
        <v>76681.222807999991</v>
      </c>
      <c r="CG123" s="424" t="s">
        <v>413</v>
      </c>
      <c r="CH123" s="425">
        <v>308879000</v>
      </c>
      <c r="CI123" s="425">
        <v>308879000</v>
      </c>
      <c r="CJ123" s="425">
        <v>0</v>
      </c>
      <c r="CK123" s="425">
        <v>225210946</v>
      </c>
      <c r="CL123" s="425">
        <v>83668054</v>
      </c>
      <c r="CM123" s="425">
        <v>128998066</v>
      </c>
      <c r="CN123" s="425">
        <f t="shared" si="77"/>
        <v>328338.37699999998</v>
      </c>
      <c r="CO123" s="425">
        <f t="shared" si="78"/>
        <v>239399.23559799997</v>
      </c>
      <c r="CP123" s="425">
        <f t="shared" si="79"/>
        <v>88939.141401999994</v>
      </c>
      <c r="CQ123" s="425">
        <f t="shared" si="80"/>
        <v>137124.944158</v>
      </c>
      <c r="CU123" s="424"/>
      <c r="CV123" s="425"/>
      <c r="CW123" s="425"/>
      <c r="CX123" s="426"/>
      <c r="CY123" s="426"/>
      <c r="DB123" s="568" t="s">
        <v>413</v>
      </c>
      <c r="DC123" s="569">
        <v>308879000</v>
      </c>
      <c r="DD123" s="569">
        <v>280210946</v>
      </c>
      <c r="DE123" s="569">
        <v>28668054</v>
      </c>
      <c r="DF123" s="569">
        <v>140508380</v>
      </c>
      <c r="DG123" s="570">
        <f t="shared" si="83"/>
        <v>328338.37699999998</v>
      </c>
      <c r="DH123" s="570">
        <f t="shared" si="84"/>
        <v>297864.235598</v>
      </c>
      <c r="DI123" s="570">
        <f t="shared" si="85"/>
        <v>30474.141401999997</v>
      </c>
      <c r="DJ123" s="570">
        <f t="shared" si="86"/>
        <v>149360.40794</v>
      </c>
      <c r="DV123" s="93" t="s">
        <v>612</v>
      </c>
      <c r="DW123" s="94">
        <v>4360000</v>
      </c>
      <c r="DX123" s="94">
        <v>4360000</v>
      </c>
      <c r="DY123" s="94">
        <v>0</v>
      </c>
      <c r="DZ123" s="94">
        <v>4360000</v>
      </c>
      <c r="EA123" s="94">
        <f t="shared" si="89"/>
        <v>4634.6799999999994</v>
      </c>
      <c r="EB123" s="94">
        <f t="shared" si="90"/>
        <v>4634.6799999999994</v>
      </c>
      <c r="EC123" s="94">
        <f t="shared" si="91"/>
        <v>0</v>
      </c>
      <c r="ED123" s="94">
        <f t="shared" si="92"/>
        <v>4634.6799999999994</v>
      </c>
      <c r="EJ123" s="426"/>
      <c r="EN123" s="420" t="s">
        <v>411</v>
      </c>
      <c r="EO123" s="426">
        <v>1336568</v>
      </c>
      <c r="EP123" s="426">
        <v>295190</v>
      </c>
      <c r="EQ123" s="426">
        <v>1041378</v>
      </c>
      <c r="ER123" s="426">
        <v>295190</v>
      </c>
      <c r="ES123" s="700">
        <f t="shared" si="94"/>
        <v>1420.7717839999998</v>
      </c>
      <c r="ET123" s="700">
        <f t="shared" si="95"/>
        <v>313.78697</v>
      </c>
      <c r="EU123" s="700">
        <f t="shared" si="96"/>
        <v>1106.9848139999999</v>
      </c>
      <c r="EV123" s="700">
        <f t="shared" si="97"/>
        <v>313.78697</v>
      </c>
      <c r="FG123" s="735" t="s">
        <v>553</v>
      </c>
      <c r="FH123" s="734" t="s">
        <v>411</v>
      </c>
      <c r="FI123" s="732">
        <v>1361997</v>
      </c>
      <c r="FJ123" s="733">
        <v>295190</v>
      </c>
      <c r="FK123" s="733">
        <v>1066807</v>
      </c>
      <c r="FL123" s="733">
        <v>295190</v>
      </c>
      <c r="FM123" s="426">
        <f t="shared" si="99"/>
        <v>1361.9970000000001</v>
      </c>
      <c r="FN123" s="426">
        <f t="shared" si="100"/>
        <v>295.19</v>
      </c>
      <c r="FO123" s="426">
        <f t="shared" si="101"/>
        <v>1066.807</v>
      </c>
      <c r="FP123" s="426">
        <f t="shared" si="102"/>
        <v>295.19</v>
      </c>
      <c r="GG123" s="762" t="s">
        <v>553</v>
      </c>
      <c r="GH123" s="763" t="s">
        <v>411</v>
      </c>
      <c r="GI123" s="764">
        <v>559372</v>
      </c>
      <c r="GJ123" s="764">
        <v>295190</v>
      </c>
      <c r="GK123" s="764">
        <v>264182</v>
      </c>
      <c r="GL123" s="764">
        <v>295190</v>
      </c>
      <c r="GM123" s="764">
        <v>0</v>
      </c>
      <c r="GN123" s="426">
        <f t="shared" si="106"/>
        <v>559.37199999999996</v>
      </c>
      <c r="GO123" s="426">
        <f t="shared" si="107"/>
        <v>295.19</v>
      </c>
      <c r="GP123" s="426">
        <f t="shared" si="108"/>
        <v>264.18200000000002</v>
      </c>
      <c r="GQ123" s="426">
        <f t="shared" si="109"/>
        <v>295.19</v>
      </c>
      <c r="GR123" s="426">
        <f t="shared" si="110"/>
        <v>0</v>
      </c>
      <c r="GV123" s="780" t="s">
        <v>639</v>
      </c>
      <c r="GW123" s="779">
        <v>35078996</v>
      </c>
      <c r="GX123" s="426">
        <f t="shared" si="111"/>
        <v>35078.995999999999</v>
      </c>
      <c r="HB123" s="782" t="s">
        <v>407</v>
      </c>
      <c r="HC123" s="764">
        <v>51684219</v>
      </c>
      <c r="HD123" s="764">
        <v>51684219</v>
      </c>
      <c r="HE123" s="764">
        <v>0</v>
      </c>
      <c r="HF123" s="764">
        <v>51684219</v>
      </c>
      <c r="HG123" s="426">
        <f t="shared" si="112"/>
        <v>51684.218999999997</v>
      </c>
      <c r="HH123" s="426">
        <f t="shared" si="113"/>
        <v>0</v>
      </c>
      <c r="HI123" s="426">
        <f t="shared" si="114"/>
        <v>51684.218999999997</v>
      </c>
      <c r="HJ123" s="426">
        <f t="shared" si="115"/>
        <v>0</v>
      </c>
      <c r="HK123" s="426">
        <f t="shared" si="116"/>
        <v>51684.218999999997</v>
      </c>
    </row>
    <row r="124" spans="1:219" ht="15" customHeight="1" x14ac:dyDescent="0.3">
      <c r="A124" s="287" t="s">
        <v>355</v>
      </c>
      <c r="B124" s="288" t="s">
        <v>417</v>
      </c>
      <c r="C124" s="289">
        <v>13192408000</v>
      </c>
      <c r="D124" s="290">
        <f t="shared" si="61"/>
        <v>14023529.704</v>
      </c>
      <c r="E124" s="289">
        <v>0</v>
      </c>
      <c r="F124" s="289">
        <f t="shared" si="62"/>
        <v>0</v>
      </c>
      <c r="Q124" s="291" t="s">
        <v>449</v>
      </c>
      <c r="R124" s="292" t="s">
        <v>416</v>
      </c>
      <c r="S124" s="293">
        <v>15673650000</v>
      </c>
      <c r="T124" s="293">
        <v>540513826</v>
      </c>
      <c r="U124" s="293">
        <f t="shared" si="64"/>
        <v>16661089.949999999</v>
      </c>
      <c r="V124" s="293">
        <f t="shared" si="65"/>
        <v>574566.19703799998</v>
      </c>
      <c r="AF124" s="288" t="s">
        <v>414</v>
      </c>
      <c r="AG124" s="289">
        <v>8450000</v>
      </c>
      <c r="AH124" s="289">
        <f t="shared" si="117"/>
        <v>8982.35</v>
      </c>
      <c r="AI124" s="289">
        <v>0</v>
      </c>
      <c r="AL124" s="426"/>
      <c r="AU124" s="423" t="s">
        <v>449</v>
      </c>
      <c r="AV124" s="424" t="s">
        <v>638</v>
      </c>
      <c r="AW124" s="425">
        <v>155587000</v>
      </c>
      <c r="AX124" s="425">
        <v>0</v>
      </c>
      <c r="AY124" s="425">
        <v>155587000</v>
      </c>
      <c r="AZ124" s="426">
        <f t="shared" si="68"/>
        <v>165388.981</v>
      </c>
      <c r="BA124" s="426">
        <f t="shared" si="69"/>
        <v>0</v>
      </c>
      <c r="BB124" s="426">
        <f t="shared" si="70"/>
        <v>165388.981</v>
      </c>
      <c r="BF124" s="423"/>
      <c r="BG124" s="424"/>
      <c r="BH124" s="425"/>
      <c r="BI124" s="426"/>
      <c r="BM124" s="427" t="s">
        <v>553</v>
      </c>
      <c r="BN124" s="93" t="s">
        <v>531</v>
      </c>
      <c r="BO124" s="94">
        <v>45387000</v>
      </c>
      <c r="BP124" s="94">
        <v>45387000</v>
      </c>
      <c r="BQ124" s="94">
        <v>42280000</v>
      </c>
      <c r="BR124" s="94">
        <v>3107000</v>
      </c>
      <c r="BS124" s="94">
        <v>42280000</v>
      </c>
      <c r="BT124" s="426">
        <f t="shared" si="72"/>
        <v>48246.380999999994</v>
      </c>
      <c r="BU124" s="426">
        <f t="shared" si="73"/>
        <v>44943.64</v>
      </c>
      <c r="BV124" s="426">
        <f t="shared" si="74"/>
        <v>3302.741</v>
      </c>
      <c r="BW124" s="426">
        <f t="shared" si="75"/>
        <v>44943.64</v>
      </c>
      <c r="CG124" s="424" t="s">
        <v>614</v>
      </c>
      <c r="CH124" s="425">
        <v>55010000</v>
      </c>
      <c r="CI124" s="425">
        <v>55010000</v>
      </c>
      <c r="CJ124" s="425">
        <v>0</v>
      </c>
      <c r="CK124" s="425">
        <v>0</v>
      </c>
      <c r="CL124" s="425">
        <v>55010000</v>
      </c>
      <c r="CM124" s="425">
        <v>0</v>
      </c>
      <c r="CN124" s="425">
        <f t="shared" si="77"/>
        <v>58475.63</v>
      </c>
      <c r="CO124" s="425">
        <f t="shared" si="78"/>
        <v>0</v>
      </c>
      <c r="CP124" s="425">
        <f t="shared" si="79"/>
        <v>58475.63</v>
      </c>
      <c r="CQ124" s="425">
        <f t="shared" si="80"/>
        <v>0</v>
      </c>
      <c r="CU124" s="424"/>
      <c r="CV124" s="425"/>
      <c r="CW124" s="425"/>
      <c r="CX124" s="426"/>
      <c r="CY124" s="426"/>
      <c r="DB124" s="568" t="s">
        <v>614</v>
      </c>
      <c r="DC124" s="569">
        <v>55010000</v>
      </c>
      <c r="DD124" s="569">
        <v>55000000</v>
      </c>
      <c r="DE124" s="569">
        <v>10000</v>
      </c>
      <c r="DF124" s="569">
        <v>0</v>
      </c>
      <c r="DG124" s="570">
        <f t="shared" si="83"/>
        <v>58475.63</v>
      </c>
      <c r="DH124" s="570">
        <f t="shared" si="84"/>
        <v>58465</v>
      </c>
      <c r="DI124" s="570">
        <f t="shared" si="85"/>
        <v>10.629999999999999</v>
      </c>
      <c r="DJ124" s="570">
        <f t="shared" si="86"/>
        <v>0</v>
      </c>
      <c r="DV124" s="93" t="s">
        <v>412</v>
      </c>
      <c r="DW124" s="94">
        <v>308879000</v>
      </c>
      <c r="DX124" s="94">
        <v>264682727</v>
      </c>
      <c r="DY124" s="94">
        <v>44196273</v>
      </c>
      <c r="DZ124" s="94">
        <v>151275893</v>
      </c>
      <c r="EA124" s="94">
        <f t="shared" si="89"/>
        <v>328338.37699999998</v>
      </c>
      <c r="EB124" s="94">
        <f t="shared" si="90"/>
        <v>281357.738801</v>
      </c>
      <c r="EC124" s="94">
        <f t="shared" si="91"/>
        <v>46980.638199000001</v>
      </c>
      <c r="ED124" s="94">
        <f t="shared" si="92"/>
        <v>160806.274259</v>
      </c>
      <c r="EN124" s="420" t="s">
        <v>610</v>
      </c>
      <c r="EO124" s="426">
        <v>4360000</v>
      </c>
      <c r="EP124" s="426">
        <v>4360000</v>
      </c>
      <c r="EQ124" s="426">
        <v>0</v>
      </c>
      <c r="ER124" s="426">
        <v>4360000</v>
      </c>
      <c r="ES124" s="700">
        <f t="shared" si="94"/>
        <v>4634.6799999999994</v>
      </c>
      <c r="ET124" s="700">
        <f t="shared" si="95"/>
        <v>4634.6799999999994</v>
      </c>
      <c r="EU124" s="700">
        <f t="shared" si="96"/>
        <v>0</v>
      </c>
      <c r="EV124" s="700">
        <f t="shared" si="97"/>
        <v>4634.6799999999994</v>
      </c>
      <c r="FG124" s="735" t="s">
        <v>449</v>
      </c>
      <c r="FH124" s="734" t="s">
        <v>610</v>
      </c>
      <c r="FI124" s="732">
        <v>4360000</v>
      </c>
      <c r="FJ124" s="733">
        <v>4360000</v>
      </c>
      <c r="FK124" s="733">
        <v>0</v>
      </c>
      <c r="FL124" s="733">
        <v>4360000</v>
      </c>
      <c r="FM124" s="426">
        <f t="shared" si="99"/>
        <v>4360</v>
      </c>
      <c r="FN124" s="426">
        <f t="shared" si="100"/>
        <v>4360</v>
      </c>
      <c r="FO124" s="426">
        <f t="shared" si="101"/>
        <v>0</v>
      </c>
      <c r="FP124" s="426">
        <f t="shared" si="102"/>
        <v>4360</v>
      </c>
      <c r="GG124" s="762" t="s">
        <v>449</v>
      </c>
      <c r="GH124" s="763" t="s">
        <v>610</v>
      </c>
      <c r="GI124" s="764">
        <v>4360000</v>
      </c>
      <c r="GJ124" s="764">
        <v>4360000</v>
      </c>
      <c r="GK124" s="764">
        <v>0</v>
      </c>
      <c r="GL124" s="764">
        <v>4360000</v>
      </c>
      <c r="GM124" s="764">
        <v>0</v>
      </c>
      <c r="GN124" s="426">
        <f t="shared" si="106"/>
        <v>4360</v>
      </c>
      <c r="GO124" s="426">
        <f t="shared" si="107"/>
        <v>4360</v>
      </c>
      <c r="GP124" s="426">
        <f t="shared" si="108"/>
        <v>0</v>
      </c>
      <c r="GQ124" s="426">
        <f t="shared" si="109"/>
        <v>4360</v>
      </c>
      <c r="GR124" s="426">
        <f t="shared" si="110"/>
        <v>0</v>
      </c>
      <c r="GV124" s="780" t="s">
        <v>618</v>
      </c>
      <c r="GW124" s="779">
        <v>76271471</v>
      </c>
      <c r="GX124" s="426">
        <f t="shared" si="111"/>
        <v>76271.471000000005</v>
      </c>
      <c r="HB124" s="782" t="s">
        <v>408</v>
      </c>
      <c r="HC124" s="764">
        <v>820949502</v>
      </c>
      <c r="HD124" s="764">
        <v>820949502</v>
      </c>
      <c r="HE124" s="764">
        <v>0</v>
      </c>
      <c r="HF124" s="764">
        <v>820949502</v>
      </c>
      <c r="HG124" s="426">
        <f t="shared" si="112"/>
        <v>820949.50199999998</v>
      </c>
      <c r="HH124" s="426">
        <f t="shared" si="113"/>
        <v>0</v>
      </c>
      <c r="HI124" s="426">
        <f t="shared" si="114"/>
        <v>820949.50199999998</v>
      </c>
      <c r="HJ124" s="426">
        <f t="shared" si="115"/>
        <v>0</v>
      </c>
      <c r="HK124" s="426">
        <f t="shared" si="116"/>
        <v>820949.50199999998</v>
      </c>
    </row>
    <row r="125" spans="1:219" ht="15" customHeight="1" x14ac:dyDescent="0.3">
      <c r="A125" s="287" t="s">
        <v>553</v>
      </c>
      <c r="B125" s="288" t="s">
        <v>418</v>
      </c>
      <c r="C125" s="289">
        <v>13192408000</v>
      </c>
      <c r="D125" s="290">
        <f t="shared" si="61"/>
        <v>14023529.704</v>
      </c>
      <c r="E125" s="289">
        <v>0</v>
      </c>
      <c r="F125" s="289">
        <f t="shared" si="62"/>
        <v>0</v>
      </c>
      <c r="Q125" s="291" t="s">
        <v>355</v>
      </c>
      <c r="R125" s="292" t="s">
        <v>417</v>
      </c>
      <c r="S125" s="293">
        <v>13192408000</v>
      </c>
      <c r="T125" s="293">
        <v>0</v>
      </c>
      <c r="U125" s="293">
        <f t="shared" si="64"/>
        <v>14023529.704</v>
      </c>
      <c r="V125" s="293">
        <f t="shared" si="65"/>
        <v>0</v>
      </c>
      <c r="AF125" s="288" t="s">
        <v>619</v>
      </c>
      <c r="AG125" s="289">
        <v>8450000</v>
      </c>
      <c r="AH125" s="289">
        <f t="shared" si="117"/>
        <v>8982.35</v>
      </c>
      <c r="AI125" s="289">
        <v>0</v>
      </c>
      <c r="AL125" s="426"/>
      <c r="AU125" s="423" t="s">
        <v>355</v>
      </c>
      <c r="AV125" s="424" t="s">
        <v>639</v>
      </c>
      <c r="AW125" s="425">
        <v>155587000</v>
      </c>
      <c r="AX125" s="425">
        <v>0</v>
      </c>
      <c r="AY125" s="425">
        <v>155587000</v>
      </c>
      <c r="AZ125" s="426">
        <f t="shared" si="68"/>
        <v>165388.981</v>
      </c>
      <c r="BA125" s="426">
        <f t="shared" si="69"/>
        <v>0</v>
      </c>
      <c r="BB125" s="426">
        <f t="shared" si="70"/>
        <v>165388.981</v>
      </c>
      <c r="BF125" s="423"/>
      <c r="BG125" s="424"/>
      <c r="BH125" s="425"/>
      <c r="BI125" s="426"/>
      <c r="BM125" s="427" t="s">
        <v>449</v>
      </c>
      <c r="BN125" s="93" t="s">
        <v>638</v>
      </c>
      <c r="BO125" s="94">
        <v>155587000</v>
      </c>
      <c r="BP125" s="94">
        <v>155587000</v>
      </c>
      <c r="BQ125" s="94">
        <v>392905708</v>
      </c>
      <c r="BR125" s="94">
        <v>-237318708</v>
      </c>
      <c r="BS125" s="94">
        <v>392905708</v>
      </c>
      <c r="BT125" s="426">
        <f t="shared" si="72"/>
        <v>165388.981</v>
      </c>
      <c r="BU125" s="426">
        <f t="shared" si="73"/>
        <v>417658.76760399994</v>
      </c>
      <c r="BV125" s="426">
        <f t="shared" si="74"/>
        <v>-252269.78660399999</v>
      </c>
      <c r="BW125" s="426">
        <f t="shared" si="75"/>
        <v>417658.76760399994</v>
      </c>
      <c r="CG125" s="424" t="s">
        <v>532</v>
      </c>
      <c r="CH125" s="425">
        <v>208482000</v>
      </c>
      <c r="CI125" s="425">
        <v>208482000</v>
      </c>
      <c r="CJ125" s="425">
        <v>0</v>
      </c>
      <c r="CK125" s="425">
        <v>182930946</v>
      </c>
      <c r="CL125" s="425">
        <v>25551054</v>
      </c>
      <c r="CM125" s="425">
        <v>86718066</v>
      </c>
      <c r="CN125" s="425">
        <f t="shared" si="77"/>
        <v>221616.36599999998</v>
      </c>
      <c r="CO125" s="425">
        <f t="shared" si="78"/>
        <v>194455.59559799999</v>
      </c>
      <c r="CP125" s="425">
        <f t="shared" si="79"/>
        <v>27160.770401999998</v>
      </c>
      <c r="CQ125" s="425">
        <f t="shared" si="80"/>
        <v>92181.304157999999</v>
      </c>
      <c r="CU125" s="424"/>
      <c r="CV125" s="425"/>
      <c r="CW125" s="425"/>
      <c r="CX125" s="426"/>
      <c r="CY125" s="426"/>
      <c r="DB125" s="568" t="s">
        <v>532</v>
      </c>
      <c r="DC125" s="569">
        <v>208482000</v>
      </c>
      <c r="DD125" s="569">
        <v>182930946</v>
      </c>
      <c r="DE125" s="569">
        <v>25551054</v>
      </c>
      <c r="DF125" s="569">
        <v>98228380</v>
      </c>
      <c r="DG125" s="570">
        <f t="shared" si="83"/>
        <v>221616.36599999998</v>
      </c>
      <c r="DH125" s="570">
        <f t="shared" si="84"/>
        <v>194455.59559799999</v>
      </c>
      <c r="DI125" s="570">
        <f t="shared" si="85"/>
        <v>27160.770401999998</v>
      </c>
      <c r="DJ125" s="570">
        <f t="shared" si="86"/>
        <v>104416.76794000001</v>
      </c>
      <c r="DV125" s="93" t="s">
        <v>413</v>
      </c>
      <c r="DW125" s="94">
        <v>308879000</v>
      </c>
      <c r="DX125" s="94">
        <v>264682727</v>
      </c>
      <c r="DY125" s="94">
        <v>44196273</v>
      </c>
      <c r="DZ125" s="94">
        <v>151275893</v>
      </c>
      <c r="EA125" s="94">
        <f t="shared" si="89"/>
        <v>328338.37699999998</v>
      </c>
      <c r="EB125" s="94">
        <f t="shared" si="90"/>
        <v>281357.738801</v>
      </c>
      <c r="EC125" s="94">
        <f t="shared" si="91"/>
        <v>46980.638199000001</v>
      </c>
      <c r="ED125" s="94">
        <f t="shared" si="92"/>
        <v>160806.274259</v>
      </c>
      <c r="EN125" s="420" t="s">
        <v>611</v>
      </c>
      <c r="EO125" s="426">
        <v>4360000</v>
      </c>
      <c r="EP125" s="426">
        <v>4360000</v>
      </c>
      <c r="EQ125" s="426">
        <v>0</v>
      </c>
      <c r="ER125" s="426">
        <v>4360000</v>
      </c>
      <c r="ES125" s="700">
        <f t="shared" si="94"/>
        <v>4634.6799999999994</v>
      </c>
      <c r="ET125" s="700">
        <f t="shared" si="95"/>
        <v>4634.6799999999994</v>
      </c>
      <c r="EU125" s="700">
        <f t="shared" si="96"/>
        <v>0</v>
      </c>
      <c r="EV125" s="700">
        <f t="shared" si="97"/>
        <v>4634.6799999999994</v>
      </c>
      <c r="FG125" s="735" t="s">
        <v>355</v>
      </c>
      <c r="FH125" s="734" t="s">
        <v>611</v>
      </c>
      <c r="FI125" s="732">
        <v>4360000</v>
      </c>
      <c r="FJ125" s="733">
        <v>4360000</v>
      </c>
      <c r="FK125" s="733">
        <v>0</v>
      </c>
      <c r="FL125" s="733">
        <v>4360000</v>
      </c>
      <c r="FM125" s="426">
        <f t="shared" si="99"/>
        <v>4360</v>
      </c>
      <c r="FN125" s="426">
        <f t="shared" si="100"/>
        <v>4360</v>
      </c>
      <c r="FO125" s="426">
        <f t="shared" si="101"/>
        <v>0</v>
      </c>
      <c r="FP125" s="426">
        <f t="shared" si="102"/>
        <v>4360</v>
      </c>
      <c r="GA125" s="432"/>
      <c r="GG125" s="762" t="s">
        <v>355</v>
      </c>
      <c r="GH125" s="763" t="s">
        <v>611</v>
      </c>
      <c r="GI125" s="764">
        <v>4360000</v>
      </c>
      <c r="GJ125" s="764">
        <v>4360000</v>
      </c>
      <c r="GK125" s="764">
        <v>0</v>
      </c>
      <c r="GL125" s="764">
        <v>4360000</v>
      </c>
      <c r="GM125" s="764">
        <v>0</v>
      </c>
      <c r="GN125" s="426">
        <f t="shared" si="106"/>
        <v>4360</v>
      </c>
      <c r="GO125" s="426">
        <f t="shared" si="107"/>
        <v>4360</v>
      </c>
      <c r="GP125" s="426">
        <f t="shared" si="108"/>
        <v>0</v>
      </c>
      <c r="GQ125" s="426">
        <f t="shared" si="109"/>
        <v>4360</v>
      </c>
      <c r="GR125" s="426">
        <f t="shared" si="110"/>
        <v>0</v>
      </c>
      <c r="GV125" s="780" t="s">
        <v>929</v>
      </c>
      <c r="GW125" s="779">
        <v>26956634</v>
      </c>
      <c r="GX125" s="426">
        <f t="shared" si="111"/>
        <v>26956.633999999998</v>
      </c>
      <c r="HB125" s="782" t="s">
        <v>409</v>
      </c>
      <c r="HC125" s="764">
        <v>6162870</v>
      </c>
      <c r="HD125" s="764">
        <v>6162870</v>
      </c>
      <c r="HE125" s="764">
        <v>0</v>
      </c>
      <c r="HF125" s="764">
        <v>6162870</v>
      </c>
      <c r="HG125" s="426">
        <f t="shared" si="112"/>
        <v>6162.87</v>
      </c>
      <c r="HH125" s="426">
        <f t="shared" si="113"/>
        <v>0</v>
      </c>
      <c r="HI125" s="426">
        <f t="shared" si="114"/>
        <v>6162.87</v>
      </c>
      <c r="HJ125" s="426">
        <f t="shared" si="115"/>
        <v>0</v>
      </c>
      <c r="HK125" s="426">
        <f t="shared" si="116"/>
        <v>6162.87</v>
      </c>
    </row>
    <row r="126" spans="1:219" ht="15" customHeight="1" x14ac:dyDescent="0.3">
      <c r="A126" s="287" t="s">
        <v>355</v>
      </c>
      <c r="B126" s="288" t="s">
        <v>419</v>
      </c>
      <c r="C126" s="289">
        <v>2263826000</v>
      </c>
      <c r="D126" s="290">
        <f t="shared" si="61"/>
        <v>2406447.0379999997</v>
      </c>
      <c r="E126" s="289">
        <v>131615433</v>
      </c>
      <c r="F126" s="289">
        <f t="shared" si="62"/>
        <v>139907.20527899999</v>
      </c>
      <c r="Q126" s="291" t="s">
        <v>553</v>
      </c>
      <c r="R126" s="292" t="s">
        <v>418</v>
      </c>
      <c r="S126" s="293">
        <v>13192408000</v>
      </c>
      <c r="T126" s="293">
        <v>0</v>
      </c>
      <c r="U126" s="293">
        <f t="shared" si="64"/>
        <v>14023529.704</v>
      </c>
      <c r="V126" s="293">
        <f t="shared" si="65"/>
        <v>0</v>
      </c>
      <c r="AF126" s="288" t="s">
        <v>415</v>
      </c>
      <c r="AG126" s="289">
        <v>159090000</v>
      </c>
      <c r="AH126" s="289">
        <f t="shared" si="117"/>
        <v>169112.66999999998</v>
      </c>
      <c r="AI126" s="289">
        <v>645000</v>
      </c>
      <c r="AL126" s="426"/>
      <c r="AU126" s="423" t="s">
        <v>449</v>
      </c>
      <c r="AV126" s="424" t="s">
        <v>618</v>
      </c>
      <c r="AW126" s="425">
        <v>167540000</v>
      </c>
      <c r="AX126" s="425">
        <v>41991900</v>
      </c>
      <c r="AY126" s="425">
        <v>125548100</v>
      </c>
      <c r="AZ126" s="426">
        <f t="shared" si="68"/>
        <v>178095.02</v>
      </c>
      <c r="BA126" s="426">
        <f t="shared" si="69"/>
        <v>44637.3897</v>
      </c>
      <c r="BB126" s="426">
        <f t="shared" si="70"/>
        <v>133457.63029999999</v>
      </c>
      <c r="BF126" s="423"/>
      <c r="BG126" s="424"/>
      <c r="BH126" s="425"/>
      <c r="BI126" s="426"/>
      <c r="BM126" s="427" t="s">
        <v>355</v>
      </c>
      <c r="BN126" s="93" t="s">
        <v>639</v>
      </c>
      <c r="BO126" s="94">
        <v>155587000</v>
      </c>
      <c r="BP126" s="94">
        <v>155587000</v>
      </c>
      <c r="BQ126" s="94">
        <v>392905708</v>
      </c>
      <c r="BR126" s="94">
        <v>-237318708</v>
      </c>
      <c r="BS126" s="94">
        <v>392905708</v>
      </c>
      <c r="BT126" s="426">
        <f t="shared" si="72"/>
        <v>165388.981</v>
      </c>
      <c r="BU126" s="426">
        <f t="shared" si="73"/>
        <v>417658.76760399994</v>
      </c>
      <c r="BV126" s="426">
        <f t="shared" si="74"/>
        <v>-252269.78660399999</v>
      </c>
      <c r="BW126" s="426">
        <f t="shared" si="75"/>
        <v>417658.76760399994</v>
      </c>
      <c r="CG126" s="424" t="s">
        <v>531</v>
      </c>
      <c r="CH126" s="425">
        <v>45387000</v>
      </c>
      <c r="CI126" s="425">
        <v>45387000</v>
      </c>
      <c r="CJ126" s="425">
        <v>0</v>
      </c>
      <c r="CK126" s="425">
        <v>42280000</v>
      </c>
      <c r="CL126" s="425">
        <v>3107000</v>
      </c>
      <c r="CM126" s="425">
        <v>42280000</v>
      </c>
      <c r="CN126" s="425">
        <f t="shared" si="77"/>
        <v>48246.380999999994</v>
      </c>
      <c r="CO126" s="425">
        <f t="shared" si="78"/>
        <v>44943.64</v>
      </c>
      <c r="CP126" s="425">
        <f t="shared" si="79"/>
        <v>3302.741</v>
      </c>
      <c r="CQ126" s="425">
        <f t="shared" si="80"/>
        <v>44943.64</v>
      </c>
      <c r="CU126" s="424"/>
      <c r="CV126" s="425"/>
      <c r="CW126" s="425"/>
      <c r="CX126" s="426"/>
      <c r="CY126" s="426"/>
      <c r="DB126" s="568" t="s">
        <v>531</v>
      </c>
      <c r="DC126" s="569">
        <v>45387000</v>
      </c>
      <c r="DD126" s="569">
        <v>42280000</v>
      </c>
      <c r="DE126" s="569">
        <v>3107000</v>
      </c>
      <c r="DF126" s="569">
        <v>42280000</v>
      </c>
      <c r="DG126" s="570">
        <f t="shared" si="83"/>
        <v>48246.380999999994</v>
      </c>
      <c r="DH126" s="570">
        <f t="shared" si="84"/>
        <v>44943.64</v>
      </c>
      <c r="DI126" s="570">
        <f t="shared" si="85"/>
        <v>3302.741</v>
      </c>
      <c r="DJ126" s="570">
        <f t="shared" si="86"/>
        <v>44943.64</v>
      </c>
      <c r="DV126" s="93" t="s">
        <v>614</v>
      </c>
      <c r="DW126" s="94">
        <v>55010000</v>
      </c>
      <c r="DX126" s="94">
        <v>55000000</v>
      </c>
      <c r="DY126" s="94">
        <v>10000</v>
      </c>
      <c r="DZ126" s="94">
        <v>0</v>
      </c>
      <c r="EA126" s="94">
        <f t="shared" si="89"/>
        <v>58475.63</v>
      </c>
      <c r="EB126" s="94">
        <f t="shared" si="90"/>
        <v>58465</v>
      </c>
      <c r="EC126" s="94">
        <f t="shared" si="91"/>
        <v>10.629999999999999</v>
      </c>
      <c r="ED126" s="94">
        <f t="shared" si="92"/>
        <v>0</v>
      </c>
      <c r="EN126" s="420" t="s">
        <v>612</v>
      </c>
      <c r="EO126" s="426">
        <v>4360000</v>
      </c>
      <c r="EP126" s="426">
        <v>4360000</v>
      </c>
      <c r="EQ126" s="426">
        <v>0</v>
      </c>
      <c r="ER126" s="426">
        <v>4360000</v>
      </c>
      <c r="ES126" s="700">
        <f t="shared" si="94"/>
        <v>4634.6799999999994</v>
      </c>
      <c r="ET126" s="700">
        <f t="shared" si="95"/>
        <v>4634.6799999999994</v>
      </c>
      <c r="EU126" s="700">
        <f t="shared" si="96"/>
        <v>0</v>
      </c>
      <c r="EV126" s="700">
        <f t="shared" si="97"/>
        <v>4634.6799999999994</v>
      </c>
      <c r="FG126" s="735" t="s">
        <v>553</v>
      </c>
      <c r="FH126" s="734" t="s">
        <v>612</v>
      </c>
      <c r="FI126" s="732">
        <v>4360000</v>
      </c>
      <c r="FJ126" s="733">
        <v>4360000</v>
      </c>
      <c r="FK126" s="733">
        <v>0</v>
      </c>
      <c r="FL126" s="733">
        <v>4360000</v>
      </c>
      <c r="FM126" s="426">
        <f t="shared" si="99"/>
        <v>4360</v>
      </c>
      <c r="FN126" s="426">
        <f t="shared" si="100"/>
        <v>4360</v>
      </c>
      <c r="FO126" s="426">
        <f t="shared" si="101"/>
        <v>0</v>
      </c>
      <c r="FP126" s="426">
        <f t="shared" si="102"/>
        <v>4360</v>
      </c>
      <c r="GA126" s="765"/>
      <c r="GG126" s="762" t="s">
        <v>553</v>
      </c>
      <c r="GH126" s="763" t="s">
        <v>612</v>
      </c>
      <c r="GI126" s="764">
        <v>4360000</v>
      </c>
      <c r="GJ126" s="764">
        <v>4360000</v>
      </c>
      <c r="GK126" s="764">
        <v>0</v>
      </c>
      <c r="GL126" s="764">
        <v>4360000</v>
      </c>
      <c r="GM126" s="764">
        <v>0</v>
      </c>
      <c r="GN126" s="426">
        <f t="shared" si="106"/>
        <v>4360</v>
      </c>
      <c r="GO126" s="426">
        <f t="shared" si="107"/>
        <v>4360</v>
      </c>
      <c r="GP126" s="426">
        <f t="shared" si="108"/>
        <v>0</v>
      </c>
      <c r="GQ126" s="426">
        <f t="shared" si="109"/>
        <v>4360</v>
      </c>
      <c r="GR126" s="426">
        <f t="shared" si="110"/>
        <v>0</v>
      </c>
      <c r="GV126" s="780" t="s">
        <v>415</v>
      </c>
      <c r="GW126" s="779">
        <v>49314837</v>
      </c>
      <c r="GX126" s="426">
        <f t="shared" si="111"/>
        <v>49314.837</v>
      </c>
      <c r="HB126" s="782" t="s">
        <v>608</v>
      </c>
      <c r="HC126" s="764">
        <v>15965393</v>
      </c>
      <c r="HD126" s="764">
        <v>15965393</v>
      </c>
      <c r="HE126" s="764">
        <v>0</v>
      </c>
      <c r="HF126" s="764">
        <v>15965393</v>
      </c>
      <c r="HG126" s="426">
        <f t="shared" si="112"/>
        <v>15965.393</v>
      </c>
      <c r="HH126" s="426">
        <f t="shared" si="113"/>
        <v>0</v>
      </c>
      <c r="HI126" s="426">
        <f t="shared" si="114"/>
        <v>15965.393</v>
      </c>
      <c r="HJ126" s="426">
        <f t="shared" si="115"/>
        <v>0</v>
      </c>
      <c r="HK126" s="426">
        <f t="shared" si="116"/>
        <v>15965.393</v>
      </c>
    </row>
    <row r="127" spans="1:219" ht="15" customHeight="1" x14ac:dyDescent="0.3">
      <c r="A127" s="287" t="s">
        <v>553</v>
      </c>
      <c r="B127" s="288" t="s">
        <v>420</v>
      </c>
      <c r="C127" s="289">
        <v>2263826000</v>
      </c>
      <c r="D127" s="290">
        <f t="shared" si="61"/>
        <v>2406447.0379999997</v>
      </c>
      <c r="E127" s="289">
        <v>131615433</v>
      </c>
      <c r="F127" s="289">
        <f t="shared" si="62"/>
        <v>139907.20527899999</v>
      </c>
      <c r="Q127" s="291" t="s">
        <v>355</v>
      </c>
      <c r="R127" s="292" t="s">
        <v>419</v>
      </c>
      <c r="S127" s="293">
        <v>2263826000</v>
      </c>
      <c r="T127" s="293">
        <v>131615433</v>
      </c>
      <c r="U127" s="293">
        <f t="shared" si="64"/>
        <v>2406447.0379999997</v>
      </c>
      <c r="V127" s="293">
        <f t="shared" si="65"/>
        <v>139907.20527899999</v>
      </c>
      <c r="AF127" s="288" t="s">
        <v>620</v>
      </c>
      <c r="AG127" s="289">
        <v>159090000</v>
      </c>
      <c r="AH127" s="289">
        <f t="shared" si="117"/>
        <v>169112.66999999998</v>
      </c>
      <c r="AI127" s="289">
        <v>645000</v>
      </c>
      <c r="AL127" s="426"/>
      <c r="AU127" s="423" t="s">
        <v>355</v>
      </c>
      <c r="AV127" s="424" t="s">
        <v>414</v>
      </c>
      <c r="AW127" s="425">
        <v>8450000</v>
      </c>
      <c r="AX127" s="425">
        <v>0</v>
      </c>
      <c r="AY127" s="425">
        <v>8450000</v>
      </c>
      <c r="AZ127" s="426">
        <f t="shared" si="68"/>
        <v>8982.35</v>
      </c>
      <c r="BA127" s="426">
        <f t="shared" si="69"/>
        <v>0</v>
      </c>
      <c r="BB127" s="426">
        <f t="shared" si="70"/>
        <v>8982.35</v>
      </c>
      <c r="BF127" s="423"/>
      <c r="BG127" s="424"/>
      <c r="BH127" s="425"/>
      <c r="BI127" s="426"/>
      <c r="BM127" s="427" t="s">
        <v>449</v>
      </c>
      <c r="BN127" s="93" t="s">
        <v>618</v>
      </c>
      <c r="BO127" s="94">
        <v>167540000</v>
      </c>
      <c r="BP127" s="94">
        <v>167540000</v>
      </c>
      <c r="BQ127" s="94">
        <v>50791899</v>
      </c>
      <c r="BR127" s="94">
        <v>116748101</v>
      </c>
      <c r="BS127" s="94">
        <v>15674540</v>
      </c>
      <c r="BT127" s="426">
        <f t="shared" si="72"/>
        <v>178095.02</v>
      </c>
      <c r="BU127" s="426">
        <f t="shared" si="73"/>
        <v>53991.788636999998</v>
      </c>
      <c r="BV127" s="426">
        <f t="shared" si="74"/>
        <v>124103.23136299998</v>
      </c>
      <c r="BW127" s="426">
        <f t="shared" si="75"/>
        <v>16662.03602</v>
      </c>
      <c r="CG127" s="424" t="s">
        <v>638</v>
      </c>
      <c r="CH127" s="425">
        <v>155587000</v>
      </c>
      <c r="CI127" s="425">
        <v>155587000</v>
      </c>
      <c r="CJ127" s="425">
        <v>0</v>
      </c>
      <c r="CK127" s="425">
        <v>392905708</v>
      </c>
      <c r="CL127" s="425">
        <v>-237318708</v>
      </c>
      <c r="CM127" s="425">
        <v>392905708</v>
      </c>
      <c r="CN127" s="425">
        <f t="shared" si="77"/>
        <v>165388.981</v>
      </c>
      <c r="CO127" s="425">
        <f t="shared" si="78"/>
        <v>417658.76760399994</v>
      </c>
      <c r="CP127" s="425">
        <f t="shared" si="79"/>
        <v>-252269.78660399999</v>
      </c>
      <c r="CQ127" s="425">
        <f t="shared" si="80"/>
        <v>417658.76760399994</v>
      </c>
      <c r="CU127" s="424"/>
      <c r="CV127" s="425"/>
      <c r="CW127" s="425"/>
      <c r="CX127" s="426"/>
      <c r="CY127" s="426"/>
      <c r="DB127" s="568" t="s">
        <v>638</v>
      </c>
      <c r="DC127" s="569">
        <v>155587000</v>
      </c>
      <c r="DD127" s="569">
        <v>592905708</v>
      </c>
      <c r="DE127" s="569">
        <v>-437318708</v>
      </c>
      <c r="DF127" s="569">
        <v>474269435</v>
      </c>
      <c r="DG127" s="570">
        <f t="shared" si="83"/>
        <v>165388.981</v>
      </c>
      <c r="DH127" s="570">
        <f t="shared" si="84"/>
        <v>630258.76760399994</v>
      </c>
      <c r="DI127" s="570">
        <f t="shared" si="85"/>
        <v>-464869.78660399996</v>
      </c>
      <c r="DJ127" s="570">
        <f t="shared" si="86"/>
        <v>504148.40940499998</v>
      </c>
      <c r="DV127" s="93" t="s">
        <v>532</v>
      </c>
      <c r="DW127" s="94">
        <v>208482000</v>
      </c>
      <c r="DX127" s="94">
        <v>167402727</v>
      </c>
      <c r="DY127" s="94">
        <v>41079273</v>
      </c>
      <c r="DZ127" s="94">
        <v>108995893</v>
      </c>
      <c r="EA127" s="94">
        <f t="shared" si="89"/>
        <v>221616.36599999998</v>
      </c>
      <c r="EB127" s="94">
        <f t="shared" si="90"/>
        <v>177949.09880100001</v>
      </c>
      <c r="EC127" s="94">
        <f t="shared" si="91"/>
        <v>43667.267199000002</v>
      </c>
      <c r="ED127" s="94">
        <f t="shared" si="92"/>
        <v>115862.63425899998</v>
      </c>
      <c r="EN127" s="420" t="s">
        <v>412</v>
      </c>
      <c r="EO127" s="426">
        <v>308879000</v>
      </c>
      <c r="EP127" s="426">
        <v>264682727</v>
      </c>
      <c r="EQ127" s="426">
        <v>44196273</v>
      </c>
      <c r="ER127" s="426">
        <v>184885665</v>
      </c>
      <c r="ES127" s="700">
        <f t="shared" si="94"/>
        <v>328338.37699999998</v>
      </c>
      <c r="ET127" s="700">
        <f t="shared" si="95"/>
        <v>281357.738801</v>
      </c>
      <c r="EU127" s="700">
        <f t="shared" si="96"/>
        <v>46980.638199000001</v>
      </c>
      <c r="EV127" s="700">
        <f t="shared" si="97"/>
        <v>196533.46189499999</v>
      </c>
      <c r="FG127" s="735" t="s">
        <v>449</v>
      </c>
      <c r="FH127" s="734" t="s">
        <v>412</v>
      </c>
      <c r="FI127" s="732">
        <v>433534000</v>
      </c>
      <c r="FJ127" s="733">
        <v>264682727</v>
      </c>
      <c r="FK127" s="733">
        <v>168851273</v>
      </c>
      <c r="FL127" s="733">
        <v>196304077</v>
      </c>
      <c r="FM127" s="426">
        <f t="shared" si="99"/>
        <v>433534</v>
      </c>
      <c r="FN127" s="426">
        <f t="shared" si="100"/>
        <v>264682.72700000001</v>
      </c>
      <c r="FO127" s="426">
        <f t="shared" si="101"/>
        <v>168851.27299999999</v>
      </c>
      <c r="FP127" s="426">
        <f t="shared" si="102"/>
        <v>196304.07699999999</v>
      </c>
      <c r="GG127" s="762" t="s">
        <v>449</v>
      </c>
      <c r="GH127" s="763" t="s">
        <v>412</v>
      </c>
      <c r="GI127" s="764">
        <v>436904000</v>
      </c>
      <c r="GJ127" s="764">
        <v>385837727</v>
      </c>
      <c r="GK127" s="764">
        <v>51066273</v>
      </c>
      <c r="GL127" s="764">
        <v>249057890</v>
      </c>
      <c r="GM127" s="764">
        <v>136779837</v>
      </c>
      <c r="GN127" s="426">
        <f t="shared" si="106"/>
        <v>436904</v>
      </c>
      <c r="GO127" s="426">
        <f t="shared" si="107"/>
        <v>385837.72700000001</v>
      </c>
      <c r="GP127" s="426">
        <f t="shared" si="108"/>
        <v>51066.273000000001</v>
      </c>
      <c r="GQ127" s="426">
        <f t="shared" si="109"/>
        <v>249057.89</v>
      </c>
      <c r="GR127" s="426">
        <f t="shared" si="110"/>
        <v>136779.837</v>
      </c>
      <c r="GV127" s="780" t="s">
        <v>620</v>
      </c>
      <c r="GW127" s="779">
        <v>29366056</v>
      </c>
      <c r="GX127" s="426">
        <f t="shared" si="111"/>
        <v>29366.056</v>
      </c>
      <c r="HB127" s="782" t="s">
        <v>410</v>
      </c>
      <c r="HC127" s="764">
        <v>9611228</v>
      </c>
      <c r="HD127" s="764">
        <v>9611228</v>
      </c>
      <c r="HE127" s="764">
        <v>0</v>
      </c>
      <c r="HF127" s="764">
        <v>9611228</v>
      </c>
      <c r="HG127" s="426">
        <f t="shared" si="112"/>
        <v>9611.2279999999992</v>
      </c>
      <c r="HH127" s="426">
        <f t="shared" si="113"/>
        <v>0</v>
      </c>
      <c r="HI127" s="426">
        <f t="shared" si="114"/>
        <v>9611.2279999999992</v>
      </c>
      <c r="HJ127" s="426">
        <f t="shared" si="115"/>
        <v>0</v>
      </c>
      <c r="HK127" s="426">
        <f t="shared" si="116"/>
        <v>9611.2279999999992</v>
      </c>
    </row>
    <row r="128" spans="1:219" ht="15" customHeight="1" x14ac:dyDescent="0.3">
      <c r="A128" s="287" t="s">
        <v>554</v>
      </c>
      <c r="B128" s="288" t="s">
        <v>621</v>
      </c>
      <c r="C128" s="289">
        <v>2263826000</v>
      </c>
      <c r="D128" s="290">
        <f t="shared" si="61"/>
        <v>2406447.0379999997</v>
      </c>
      <c r="E128" s="289">
        <v>131615433</v>
      </c>
      <c r="F128" s="289">
        <f t="shared" si="62"/>
        <v>139907.20527899999</v>
      </c>
      <c r="Q128" s="291" t="s">
        <v>553</v>
      </c>
      <c r="R128" s="292" t="s">
        <v>420</v>
      </c>
      <c r="S128" s="293">
        <v>2263826000</v>
      </c>
      <c r="T128" s="293">
        <v>131615433</v>
      </c>
      <c r="U128" s="293">
        <f t="shared" si="64"/>
        <v>2406447.0379999997</v>
      </c>
      <c r="V128" s="293">
        <f t="shared" si="65"/>
        <v>139907.20527899999</v>
      </c>
      <c r="AF128" s="288" t="s">
        <v>416</v>
      </c>
      <c r="AG128" s="289">
        <v>15673650000</v>
      </c>
      <c r="AH128" s="289">
        <f t="shared" si="117"/>
        <v>16661089.949999999</v>
      </c>
      <c r="AI128" s="289">
        <v>7955163179</v>
      </c>
      <c r="AL128" s="426"/>
      <c r="AU128" s="423" t="s">
        <v>553</v>
      </c>
      <c r="AV128" s="424" t="s">
        <v>619</v>
      </c>
      <c r="AW128" s="425">
        <v>8450000</v>
      </c>
      <c r="AX128" s="425">
        <v>0</v>
      </c>
      <c r="AY128" s="425">
        <v>8450000</v>
      </c>
      <c r="AZ128" s="426">
        <f t="shared" si="68"/>
        <v>8982.35</v>
      </c>
      <c r="BA128" s="426">
        <f t="shared" si="69"/>
        <v>0</v>
      </c>
      <c r="BB128" s="426">
        <f t="shared" si="70"/>
        <v>8982.35</v>
      </c>
      <c r="BF128" s="423"/>
      <c r="BG128" s="424"/>
      <c r="BH128" s="425"/>
      <c r="BI128" s="426"/>
      <c r="BM128" s="427" t="s">
        <v>355</v>
      </c>
      <c r="BN128" s="93" t="s">
        <v>414</v>
      </c>
      <c r="BO128" s="94">
        <v>8450000</v>
      </c>
      <c r="BP128" s="94">
        <v>8450000</v>
      </c>
      <c r="BQ128" s="94">
        <v>0</v>
      </c>
      <c r="BR128" s="94">
        <v>8450000</v>
      </c>
      <c r="BS128" s="94">
        <v>0</v>
      </c>
      <c r="BT128" s="426">
        <f t="shared" si="72"/>
        <v>8982.35</v>
      </c>
      <c r="BU128" s="426">
        <f t="shared" si="73"/>
        <v>0</v>
      </c>
      <c r="BV128" s="426">
        <f t="shared" si="74"/>
        <v>8982.35</v>
      </c>
      <c r="BW128" s="426">
        <f t="shared" si="75"/>
        <v>0</v>
      </c>
      <c r="CG128" s="424" t="s">
        <v>639</v>
      </c>
      <c r="CH128" s="425">
        <v>155587000</v>
      </c>
      <c r="CI128" s="425">
        <v>155587000</v>
      </c>
      <c r="CJ128" s="425">
        <v>0</v>
      </c>
      <c r="CK128" s="425">
        <v>392905708</v>
      </c>
      <c r="CL128" s="425">
        <v>-237318708</v>
      </c>
      <c r="CM128" s="425">
        <v>392905708</v>
      </c>
      <c r="CN128" s="425">
        <f t="shared" si="77"/>
        <v>165388.981</v>
      </c>
      <c r="CO128" s="425">
        <f t="shared" si="78"/>
        <v>417658.76760399994</v>
      </c>
      <c r="CP128" s="425">
        <f t="shared" si="79"/>
        <v>-252269.78660399999</v>
      </c>
      <c r="CQ128" s="425">
        <f t="shared" si="80"/>
        <v>417658.76760399994</v>
      </c>
      <c r="CU128" s="424"/>
      <c r="CV128" s="425"/>
      <c r="CW128" s="425"/>
      <c r="CX128" s="426"/>
      <c r="CY128" s="426"/>
      <c r="DB128" s="568" t="s">
        <v>639</v>
      </c>
      <c r="DC128" s="569">
        <v>155587000</v>
      </c>
      <c r="DD128" s="569">
        <v>592905708</v>
      </c>
      <c r="DE128" s="569">
        <v>-437318708</v>
      </c>
      <c r="DF128" s="569">
        <v>474269435</v>
      </c>
      <c r="DG128" s="570">
        <f t="shared" si="83"/>
        <v>165388.981</v>
      </c>
      <c r="DH128" s="570">
        <f t="shared" si="84"/>
        <v>630258.76760399994</v>
      </c>
      <c r="DI128" s="570">
        <f t="shared" si="85"/>
        <v>-464869.78660399996</v>
      </c>
      <c r="DJ128" s="570">
        <f t="shared" si="86"/>
        <v>504148.40940499998</v>
      </c>
      <c r="DV128" s="93" t="s">
        <v>531</v>
      </c>
      <c r="DW128" s="94">
        <v>45387000</v>
      </c>
      <c r="DX128" s="94">
        <v>42280000</v>
      </c>
      <c r="DY128" s="94">
        <v>3107000</v>
      </c>
      <c r="DZ128" s="94">
        <v>42280000</v>
      </c>
      <c r="EA128" s="94">
        <f t="shared" si="89"/>
        <v>48246.380999999994</v>
      </c>
      <c r="EB128" s="94">
        <f t="shared" si="90"/>
        <v>44943.64</v>
      </c>
      <c r="EC128" s="94">
        <f t="shared" si="91"/>
        <v>3302.741</v>
      </c>
      <c r="ED128" s="94">
        <f t="shared" si="92"/>
        <v>44943.64</v>
      </c>
      <c r="EN128" s="420" t="s">
        <v>413</v>
      </c>
      <c r="EO128" s="426">
        <v>308879000</v>
      </c>
      <c r="EP128" s="426">
        <v>264682727</v>
      </c>
      <c r="EQ128" s="426">
        <v>44196273</v>
      </c>
      <c r="ER128" s="426">
        <v>184885665</v>
      </c>
      <c r="ES128" s="700">
        <f t="shared" si="94"/>
        <v>328338.37699999998</v>
      </c>
      <c r="ET128" s="700">
        <f t="shared" si="95"/>
        <v>281357.738801</v>
      </c>
      <c r="EU128" s="700">
        <f t="shared" si="96"/>
        <v>46980.638199000001</v>
      </c>
      <c r="EV128" s="700">
        <f t="shared" si="97"/>
        <v>196533.46189499999</v>
      </c>
      <c r="FG128" s="735" t="s">
        <v>355</v>
      </c>
      <c r="FH128" s="734" t="s">
        <v>538</v>
      </c>
      <c r="FI128" s="732">
        <v>81155000</v>
      </c>
      <c r="FJ128" s="733">
        <v>0</v>
      </c>
      <c r="FK128" s="733">
        <v>81155000</v>
      </c>
      <c r="FL128" s="733">
        <v>0</v>
      </c>
      <c r="FM128" s="426">
        <f t="shared" si="99"/>
        <v>81155</v>
      </c>
      <c r="FN128" s="426">
        <f t="shared" si="100"/>
        <v>0</v>
      </c>
      <c r="FO128" s="426">
        <f t="shared" si="101"/>
        <v>81155</v>
      </c>
      <c r="FP128" s="426">
        <f t="shared" si="102"/>
        <v>0</v>
      </c>
      <c r="GG128" s="762" t="s">
        <v>355</v>
      </c>
      <c r="GH128" s="763" t="s">
        <v>538</v>
      </c>
      <c r="GI128" s="764">
        <v>81155000</v>
      </c>
      <c r="GJ128" s="764">
        <v>81155000</v>
      </c>
      <c r="GK128" s="764">
        <v>0</v>
      </c>
      <c r="GL128" s="764">
        <v>0</v>
      </c>
      <c r="GM128" s="764">
        <v>81155000</v>
      </c>
      <c r="GN128" s="426">
        <f t="shared" si="106"/>
        <v>81155</v>
      </c>
      <c r="GO128" s="426">
        <f t="shared" si="107"/>
        <v>81155</v>
      </c>
      <c r="GP128" s="426">
        <f t="shared" si="108"/>
        <v>0</v>
      </c>
      <c r="GQ128" s="426">
        <f t="shared" si="109"/>
        <v>0</v>
      </c>
      <c r="GR128" s="426">
        <f t="shared" si="110"/>
        <v>81155</v>
      </c>
      <c r="GV128" s="780" t="s">
        <v>914</v>
      </c>
      <c r="GW128" s="779">
        <v>19948781</v>
      </c>
      <c r="GX128" s="426">
        <f t="shared" si="111"/>
        <v>19948.780999999999</v>
      </c>
      <c r="HB128" s="782" t="s">
        <v>609</v>
      </c>
      <c r="HC128" s="764">
        <v>6058975</v>
      </c>
      <c r="HD128" s="764">
        <v>6058975</v>
      </c>
      <c r="HE128" s="764">
        <v>0</v>
      </c>
      <c r="HF128" s="764">
        <v>6058975</v>
      </c>
      <c r="HG128" s="426">
        <f t="shared" si="112"/>
        <v>6058.9750000000004</v>
      </c>
      <c r="HH128" s="426">
        <f t="shared" si="113"/>
        <v>0</v>
      </c>
      <c r="HI128" s="426">
        <f t="shared" si="114"/>
        <v>6058.9750000000004</v>
      </c>
      <c r="HJ128" s="426">
        <f t="shared" si="115"/>
        <v>0</v>
      </c>
      <c r="HK128" s="426">
        <f t="shared" si="116"/>
        <v>6058.9750000000004</v>
      </c>
    </row>
    <row r="129" spans="1:219" ht="15" customHeight="1" x14ac:dyDescent="0.3">
      <c r="A129" s="287" t="s">
        <v>355</v>
      </c>
      <c r="B129" s="288" t="s">
        <v>622</v>
      </c>
      <c r="C129" s="289">
        <v>217406000</v>
      </c>
      <c r="D129" s="290">
        <f t="shared" si="61"/>
        <v>231102.57799999998</v>
      </c>
      <c r="E129" s="289">
        <v>95146325</v>
      </c>
      <c r="F129" s="289">
        <f t="shared" si="62"/>
        <v>101140.543475</v>
      </c>
      <c r="Q129" s="291" t="s">
        <v>554</v>
      </c>
      <c r="R129" s="292" t="s">
        <v>621</v>
      </c>
      <c r="S129" s="293">
        <v>2263826000</v>
      </c>
      <c r="T129" s="293">
        <v>131615433</v>
      </c>
      <c r="U129" s="293">
        <f t="shared" si="64"/>
        <v>2406447.0379999997</v>
      </c>
      <c r="V129" s="293">
        <f t="shared" si="65"/>
        <v>139907.20527899999</v>
      </c>
      <c r="AF129" s="288" t="s">
        <v>417</v>
      </c>
      <c r="AG129" s="289">
        <v>13192408000</v>
      </c>
      <c r="AH129" s="289">
        <f t="shared" si="117"/>
        <v>14023529.704</v>
      </c>
      <c r="AI129" s="289">
        <v>6132258586</v>
      </c>
      <c r="AL129" s="426"/>
      <c r="AU129" s="423" t="s">
        <v>355</v>
      </c>
      <c r="AV129" s="424" t="s">
        <v>415</v>
      </c>
      <c r="AW129" s="425">
        <v>159090000</v>
      </c>
      <c r="AX129" s="425">
        <v>41991900</v>
      </c>
      <c r="AY129" s="425">
        <v>117098100</v>
      </c>
      <c r="AZ129" s="426">
        <f t="shared" si="68"/>
        <v>169112.66999999998</v>
      </c>
      <c r="BA129" s="426">
        <f t="shared" si="69"/>
        <v>44637.3897</v>
      </c>
      <c r="BB129" s="426">
        <f t="shared" si="70"/>
        <v>124475.2803</v>
      </c>
      <c r="BF129" s="423"/>
      <c r="BG129" s="424"/>
      <c r="BH129" s="425"/>
      <c r="BI129" s="426"/>
      <c r="BM129" s="427" t="s">
        <v>553</v>
      </c>
      <c r="BN129" s="93" t="s">
        <v>619</v>
      </c>
      <c r="BO129" s="94">
        <v>0</v>
      </c>
      <c r="BP129" s="94">
        <v>8450000</v>
      </c>
      <c r="BQ129" s="94">
        <v>0</v>
      </c>
      <c r="BR129" s="94">
        <v>8450000</v>
      </c>
      <c r="BS129" s="94">
        <v>0</v>
      </c>
      <c r="BT129" s="426">
        <f t="shared" si="72"/>
        <v>8982.35</v>
      </c>
      <c r="BU129" s="426">
        <f t="shared" si="73"/>
        <v>0</v>
      </c>
      <c r="BV129" s="426">
        <f t="shared" si="74"/>
        <v>8982.35</v>
      </c>
      <c r="BW129" s="426">
        <f t="shared" si="75"/>
        <v>0</v>
      </c>
      <c r="CG129" s="424" t="s">
        <v>618</v>
      </c>
      <c r="CH129" s="425">
        <v>167540000</v>
      </c>
      <c r="CI129" s="425">
        <v>167540000</v>
      </c>
      <c r="CJ129" s="425">
        <v>0</v>
      </c>
      <c r="CK129" s="425">
        <v>54781899</v>
      </c>
      <c r="CL129" s="425">
        <v>112758101</v>
      </c>
      <c r="CM129" s="425">
        <v>24474539</v>
      </c>
      <c r="CN129" s="425">
        <f t="shared" si="77"/>
        <v>178095.02</v>
      </c>
      <c r="CO129" s="425">
        <f t="shared" si="78"/>
        <v>58233.158636999993</v>
      </c>
      <c r="CP129" s="425">
        <f t="shared" si="79"/>
        <v>119861.86136299999</v>
      </c>
      <c r="CQ129" s="425">
        <f t="shared" si="80"/>
        <v>26016.434956999998</v>
      </c>
      <c r="CU129" s="424"/>
      <c r="CV129" s="425"/>
      <c r="CW129" s="425"/>
      <c r="CX129" s="426"/>
      <c r="CY129" s="426"/>
      <c r="DB129" s="568" t="s">
        <v>618</v>
      </c>
      <c r="DC129" s="569">
        <v>167540000</v>
      </c>
      <c r="DD129" s="569">
        <v>56819381</v>
      </c>
      <c r="DE129" s="569">
        <v>110720619</v>
      </c>
      <c r="DF129" s="569">
        <v>39169381</v>
      </c>
      <c r="DG129" s="570">
        <f t="shared" si="83"/>
        <v>178095.02</v>
      </c>
      <c r="DH129" s="570">
        <f t="shared" si="84"/>
        <v>60399.002003000001</v>
      </c>
      <c r="DI129" s="570">
        <f t="shared" si="85"/>
        <v>117696.017997</v>
      </c>
      <c r="DJ129" s="570">
        <f t="shared" si="86"/>
        <v>41637.052002999997</v>
      </c>
      <c r="DV129" s="93" t="s">
        <v>638</v>
      </c>
      <c r="DW129" s="94">
        <v>155587000</v>
      </c>
      <c r="DX129" s="94">
        <v>592905708</v>
      </c>
      <c r="DY129" s="94">
        <v>-437318708</v>
      </c>
      <c r="DZ129" s="94">
        <v>474269435</v>
      </c>
      <c r="EA129" s="94">
        <f t="shared" si="89"/>
        <v>165388.981</v>
      </c>
      <c r="EB129" s="94">
        <f t="shared" si="90"/>
        <v>630258.76760399994</v>
      </c>
      <c r="EC129" s="94">
        <f t="shared" si="91"/>
        <v>-464869.78660399996</v>
      </c>
      <c r="ED129" s="94">
        <f t="shared" si="92"/>
        <v>504148.40940499998</v>
      </c>
      <c r="EN129" s="420" t="s">
        <v>614</v>
      </c>
      <c r="EO129" s="426">
        <v>55010000</v>
      </c>
      <c r="EP129" s="426">
        <v>55000000</v>
      </c>
      <c r="EQ129" s="426">
        <v>10000</v>
      </c>
      <c r="ER129" s="426">
        <v>22000000</v>
      </c>
      <c r="ES129" s="700">
        <f t="shared" si="94"/>
        <v>58475.63</v>
      </c>
      <c r="ET129" s="700">
        <f t="shared" si="95"/>
        <v>58465</v>
      </c>
      <c r="EU129" s="700">
        <f t="shared" si="96"/>
        <v>10.629999999999999</v>
      </c>
      <c r="EV129" s="700">
        <f t="shared" si="97"/>
        <v>23386</v>
      </c>
      <c r="FG129" s="735" t="s">
        <v>553</v>
      </c>
      <c r="FH129" s="734" t="s">
        <v>690</v>
      </c>
      <c r="FI129" s="732">
        <v>81155000</v>
      </c>
      <c r="FJ129" s="733">
        <v>0</v>
      </c>
      <c r="FK129" s="733">
        <v>81155000</v>
      </c>
      <c r="FL129" s="733">
        <v>0</v>
      </c>
      <c r="FM129" s="426">
        <f t="shared" si="99"/>
        <v>81155</v>
      </c>
      <c r="FN129" s="426">
        <f t="shared" si="100"/>
        <v>0</v>
      </c>
      <c r="FO129" s="426">
        <f t="shared" si="101"/>
        <v>81155</v>
      </c>
      <c r="FP129" s="426">
        <f t="shared" si="102"/>
        <v>0</v>
      </c>
      <c r="GG129" s="762" t="s">
        <v>553</v>
      </c>
      <c r="GH129" s="763" t="s">
        <v>690</v>
      </c>
      <c r="GI129" s="764">
        <v>81155000</v>
      </c>
      <c r="GJ129" s="764">
        <v>81155000</v>
      </c>
      <c r="GK129" s="764">
        <v>0</v>
      </c>
      <c r="GL129" s="764">
        <v>0</v>
      </c>
      <c r="GM129" s="764">
        <v>81155000</v>
      </c>
      <c r="GN129" s="426">
        <f t="shared" si="106"/>
        <v>81155</v>
      </c>
      <c r="GO129" s="426">
        <f t="shared" si="107"/>
        <v>81155</v>
      </c>
      <c r="GP129" s="426">
        <f t="shared" si="108"/>
        <v>0</v>
      </c>
      <c r="GQ129" s="426">
        <f t="shared" si="109"/>
        <v>0</v>
      </c>
      <c r="GR129" s="426">
        <f t="shared" si="110"/>
        <v>81155</v>
      </c>
      <c r="GV129" s="780" t="s">
        <v>416</v>
      </c>
      <c r="GW129" s="779">
        <v>8417250497</v>
      </c>
      <c r="GX129" s="426">
        <f t="shared" si="111"/>
        <v>8417250.4969999995</v>
      </c>
      <c r="HB129" s="782" t="s">
        <v>411</v>
      </c>
      <c r="HC129" s="764">
        <v>295190</v>
      </c>
      <c r="HD129" s="764">
        <v>295190</v>
      </c>
      <c r="HE129" s="764">
        <v>0</v>
      </c>
      <c r="HF129" s="764">
        <v>295190</v>
      </c>
      <c r="HG129" s="426">
        <f t="shared" si="112"/>
        <v>295.19</v>
      </c>
      <c r="HH129" s="426">
        <f t="shared" si="113"/>
        <v>0</v>
      </c>
      <c r="HI129" s="426">
        <f t="shared" si="114"/>
        <v>295.19</v>
      </c>
      <c r="HJ129" s="426">
        <f t="shared" si="115"/>
        <v>0</v>
      </c>
      <c r="HK129" s="426">
        <f t="shared" si="116"/>
        <v>295.19</v>
      </c>
    </row>
    <row r="130" spans="1:219" ht="15" customHeight="1" x14ac:dyDescent="0.3">
      <c r="A130" s="287" t="s">
        <v>553</v>
      </c>
      <c r="B130" s="288" t="s">
        <v>421</v>
      </c>
      <c r="C130" s="289">
        <v>217406000</v>
      </c>
      <c r="D130" s="290">
        <f t="shared" si="61"/>
        <v>231102.57799999998</v>
      </c>
      <c r="E130" s="289">
        <v>95146325</v>
      </c>
      <c r="F130" s="289">
        <f t="shared" si="62"/>
        <v>101140.543475</v>
      </c>
      <c r="Q130" s="291" t="s">
        <v>355</v>
      </c>
      <c r="R130" s="292" t="s">
        <v>622</v>
      </c>
      <c r="S130" s="293">
        <v>217406000</v>
      </c>
      <c r="T130" s="293">
        <v>95146325</v>
      </c>
      <c r="U130" s="293">
        <f t="shared" si="64"/>
        <v>231102.57799999998</v>
      </c>
      <c r="V130" s="293">
        <f t="shared" si="65"/>
        <v>101140.543475</v>
      </c>
      <c r="AF130" s="288" t="s">
        <v>418</v>
      </c>
      <c r="AG130" s="289">
        <v>13192408000</v>
      </c>
      <c r="AH130" s="289">
        <f t="shared" si="117"/>
        <v>14023529.704</v>
      </c>
      <c r="AI130" s="289">
        <v>6132258586</v>
      </c>
      <c r="AL130" s="426"/>
      <c r="AU130" s="423" t="s">
        <v>553</v>
      </c>
      <c r="AV130" s="424" t="s">
        <v>620</v>
      </c>
      <c r="AW130" s="425">
        <v>159090000</v>
      </c>
      <c r="AX130" s="425">
        <v>41991900</v>
      </c>
      <c r="AY130" s="425">
        <v>117098100</v>
      </c>
      <c r="AZ130" s="426">
        <f t="shared" si="68"/>
        <v>169112.66999999998</v>
      </c>
      <c r="BA130" s="426">
        <f t="shared" si="69"/>
        <v>44637.3897</v>
      </c>
      <c r="BB130" s="426">
        <f t="shared" si="70"/>
        <v>124475.2803</v>
      </c>
      <c r="BF130" s="423"/>
      <c r="BG130" s="424"/>
      <c r="BH130" s="425"/>
      <c r="BI130" s="426"/>
      <c r="BM130" s="427" t="s">
        <v>355</v>
      </c>
      <c r="BN130" s="93" t="s">
        <v>415</v>
      </c>
      <c r="BO130" s="94">
        <v>159090000</v>
      </c>
      <c r="BP130" s="94">
        <v>159090000</v>
      </c>
      <c r="BQ130" s="94">
        <v>50791899</v>
      </c>
      <c r="BR130" s="94">
        <v>108298101</v>
      </c>
      <c r="BS130" s="94">
        <v>15674540</v>
      </c>
      <c r="BT130" s="426">
        <f t="shared" si="72"/>
        <v>169112.66999999998</v>
      </c>
      <c r="BU130" s="426">
        <f t="shared" si="73"/>
        <v>53991.788636999998</v>
      </c>
      <c r="BV130" s="426">
        <f t="shared" si="74"/>
        <v>115120.88136299999</v>
      </c>
      <c r="BW130" s="426">
        <f t="shared" si="75"/>
        <v>16662.03602</v>
      </c>
      <c r="CG130" s="424" t="s">
        <v>414</v>
      </c>
      <c r="CH130" s="425">
        <v>8450000</v>
      </c>
      <c r="CI130" s="425">
        <v>8450000</v>
      </c>
      <c r="CJ130" s="425">
        <v>0</v>
      </c>
      <c r="CK130" s="425">
        <v>0</v>
      </c>
      <c r="CL130" s="425">
        <v>8450000</v>
      </c>
      <c r="CM130" s="425">
        <v>0</v>
      </c>
      <c r="CN130" s="425">
        <f t="shared" si="77"/>
        <v>8982.35</v>
      </c>
      <c r="CO130" s="425">
        <f t="shared" si="78"/>
        <v>0</v>
      </c>
      <c r="CP130" s="425">
        <f t="shared" si="79"/>
        <v>8982.35</v>
      </c>
      <c r="CQ130" s="425">
        <f t="shared" si="80"/>
        <v>0</v>
      </c>
      <c r="CU130" s="424"/>
      <c r="CV130" s="425"/>
      <c r="CW130" s="425"/>
      <c r="CX130" s="426"/>
      <c r="CY130" s="426"/>
      <c r="DB130" s="568" t="s">
        <v>414</v>
      </c>
      <c r="DC130" s="569">
        <v>8450000</v>
      </c>
      <c r="DD130" s="569">
        <v>0</v>
      </c>
      <c r="DE130" s="569">
        <v>8450000</v>
      </c>
      <c r="DF130" s="569">
        <v>0</v>
      </c>
      <c r="DG130" s="570">
        <f t="shared" si="83"/>
        <v>8982.35</v>
      </c>
      <c r="DH130" s="570">
        <f t="shared" si="84"/>
        <v>0</v>
      </c>
      <c r="DI130" s="570">
        <f t="shared" si="85"/>
        <v>8982.35</v>
      </c>
      <c r="DJ130" s="570">
        <f t="shared" si="86"/>
        <v>0</v>
      </c>
      <c r="DV130" s="93" t="s">
        <v>639</v>
      </c>
      <c r="DW130" s="94">
        <v>155587000</v>
      </c>
      <c r="DX130" s="94">
        <v>592905708</v>
      </c>
      <c r="DY130" s="94">
        <v>-437318708</v>
      </c>
      <c r="DZ130" s="94">
        <v>474269435</v>
      </c>
      <c r="EA130" s="94">
        <f t="shared" si="89"/>
        <v>165388.981</v>
      </c>
      <c r="EB130" s="94">
        <f t="shared" si="90"/>
        <v>630258.76760399994</v>
      </c>
      <c r="EC130" s="94">
        <f t="shared" si="91"/>
        <v>-464869.78660399996</v>
      </c>
      <c r="ED130" s="94">
        <f t="shared" si="92"/>
        <v>504148.40940499998</v>
      </c>
      <c r="EN130" s="420" t="s">
        <v>532</v>
      </c>
      <c r="EO130" s="426">
        <v>208482000</v>
      </c>
      <c r="EP130" s="426">
        <v>167402727</v>
      </c>
      <c r="EQ130" s="426">
        <v>41079273</v>
      </c>
      <c r="ER130" s="426">
        <v>120605665</v>
      </c>
      <c r="ES130" s="700">
        <f t="shared" si="94"/>
        <v>221616.36599999998</v>
      </c>
      <c r="ET130" s="700">
        <f t="shared" si="95"/>
        <v>177949.09880100001</v>
      </c>
      <c r="EU130" s="700">
        <f t="shared" si="96"/>
        <v>43667.267199000002</v>
      </c>
      <c r="EV130" s="700">
        <f t="shared" si="97"/>
        <v>128203.82189499999</v>
      </c>
      <c r="FG130" s="735" t="s">
        <v>355</v>
      </c>
      <c r="FH130" s="734" t="s">
        <v>413</v>
      </c>
      <c r="FI130" s="732">
        <v>308879000</v>
      </c>
      <c r="FJ130" s="733">
        <v>264682727</v>
      </c>
      <c r="FK130" s="733">
        <v>44196273</v>
      </c>
      <c r="FL130" s="733">
        <v>196304077</v>
      </c>
      <c r="FM130" s="426">
        <f t="shared" si="99"/>
        <v>308879</v>
      </c>
      <c r="FN130" s="426">
        <f t="shared" si="100"/>
        <v>264682.72700000001</v>
      </c>
      <c r="FO130" s="426">
        <f t="shared" si="101"/>
        <v>44196.273000000001</v>
      </c>
      <c r="FP130" s="426">
        <f t="shared" si="102"/>
        <v>196304.07699999999</v>
      </c>
      <c r="GG130" s="762" t="s">
        <v>355</v>
      </c>
      <c r="GH130" s="763" t="s">
        <v>413</v>
      </c>
      <c r="GI130" s="764">
        <v>312249000</v>
      </c>
      <c r="GJ130" s="764">
        <v>264682727</v>
      </c>
      <c r="GK130" s="764">
        <v>47566273</v>
      </c>
      <c r="GL130" s="764">
        <v>209057890</v>
      </c>
      <c r="GM130" s="764">
        <v>55624837</v>
      </c>
      <c r="GN130" s="426">
        <f t="shared" si="106"/>
        <v>312249</v>
      </c>
      <c r="GO130" s="426">
        <f t="shared" si="107"/>
        <v>264682.72700000001</v>
      </c>
      <c r="GP130" s="426">
        <f t="shared" si="108"/>
        <v>47566.273000000001</v>
      </c>
      <c r="GQ130" s="426">
        <f t="shared" si="109"/>
        <v>209057.89</v>
      </c>
      <c r="GR130" s="426">
        <f t="shared" si="110"/>
        <v>55624.837</v>
      </c>
      <c r="GV130" s="780" t="s">
        <v>417</v>
      </c>
      <c r="GW130" s="779">
        <v>7102184465</v>
      </c>
      <c r="GX130" s="426">
        <f t="shared" si="111"/>
        <v>7102184.4649999999</v>
      </c>
      <c r="HB130" s="782" t="s">
        <v>610</v>
      </c>
      <c r="HC130" s="764">
        <v>170144000</v>
      </c>
      <c r="HD130" s="764">
        <v>170144000</v>
      </c>
      <c r="HE130" s="764">
        <v>0</v>
      </c>
      <c r="HF130" s="764">
        <v>170144000</v>
      </c>
      <c r="HG130" s="426">
        <f t="shared" si="112"/>
        <v>170144</v>
      </c>
      <c r="HH130" s="426">
        <f t="shared" si="113"/>
        <v>0</v>
      </c>
      <c r="HI130" s="426">
        <f t="shared" si="114"/>
        <v>170144</v>
      </c>
      <c r="HJ130" s="426">
        <f t="shared" si="115"/>
        <v>0</v>
      </c>
      <c r="HK130" s="426">
        <f t="shared" si="116"/>
        <v>170144</v>
      </c>
    </row>
    <row r="131" spans="1:219" ht="15" customHeight="1" x14ac:dyDescent="0.3">
      <c r="A131" s="287" t="s">
        <v>355</v>
      </c>
      <c r="B131" s="288" t="s">
        <v>422</v>
      </c>
      <c r="C131" s="289">
        <v>10000</v>
      </c>
      <c r="D131" s="290">
        <f t="shared" si="61"/>
        <v>10.629999999999999</v>
      </c>
      <c r="E131" s="289">
        <v>74204601</v>
      </c>
      <c r="F131" s="289">
        <f t="shared" si="62"/>
        <v>78879.490862999985</v>
      </c>
      <c r="Q131" s="291" t="s">
        <v>553</v>
      </c>
      <c r="R131" s="292" t="s">
        <v>421</v>
      </c>
      <c r="S131" s="293">
        <v>217406000</v>
      </c>
      <c r="T131" s="293">
        <v>95146325</v>
      </c>
      <c r="U131" s="293">
        <f t="shared" si="64"/>
        <v>231102.57799999998</v>
      </c>
      <c r="V131" s="293">
        <f t="shared" si="65"/>
        <v>101140.543475</v>
      </c>
      <c r="AF131" s="288" t="s">
        <v>419</v>
      </c>
      <c r="AG131" s="289">
        <v>2263826000</v>
      </c>
      <c r="AH131" s="289">
        <f t="shared" ref="AH131:AH136" si="118">+AG131/$AJ$2*$AK$2</f>
        <v>2406447.0379999997</v>
      </c>
      <c r="AI131" s="289">
        <v>1387822887</v>
      </c>
      <c r="AL131" s="426"/>
      <c r="AU131" s="423" t="s">
        <v>449</v>
      </c>
      <c r="AV131" s="424" t="s">
        <v>416</v>
      </c>
      <c r="AW131" s="425">
        <v>15673650000</v>
      </c>
      <c r="AX131" s="425">
        <v>9278107096</v>
      </c>
      <c r="AY131" s="425">
        <v>6395542904</v>
      </c>
      <c r="AZ131" s="426">
        <f t="shared" si="68"/>
        <v>16661089.949999999</v>
      </c>
      <c r="BA131" s="426">
        <f t="shared" si="69"/>
        <v>9862627.8430480007</v>
      </c>
      <c r="BB131" s="426">
        <f t="shared" si="70"/>
        <v>6798462.1069519995</v>
      </c>
      <c r="BF131" s="423"/>
      <c r="BG131" s="424"/>
      <c r="BH131" s="425"/>
      <c r="BI131" s="426"/>
      <c r="BM131" s="427" t="s">
        <v>553</v>
      </c>
      <c r="BN131" s="93" t="s">
        <v>620</v>
      </c>
      <c r="BO131" s="94">
        <v>0</v>
      </c>
      <c r="BP131" s="94">
        <v>159090000</v>
      </c>
      <c r="BQ131" s="94">
        <v>50791899</v>
      </c>
      <c r="BR131" s="94">
        <v>108298101</v>
      </c>
      <c r="BS131" s="94">
        <v>15674540</v>
      </c>
      <c r="BT131" s="426">
        <f t="shared" si="72"/>
        <v>169112.66999999998</v>
      </c>
      <c r="BU131" s="426">
        <f t="shared" si="73"/>
        <v>53991.788636999998</v>
      </c>
      <c r="BV131" s="426">
        <f t="shared" si="74"/>
        <v>115120.88136299999</v>
      </c>
      <c r="BW131" s="426">
        <f t="shared" si="75"/>
        <v>16662.03602</v>
      </c>
      <c r="CG131" s="424" t="s">
        <v>619</v>
      </c>
      <c r="CH131" s="425">
        <v>0</v>
      </c>
      <c r="CI131" s="425">
        <v>8450000</v>
      </c>
      <c r="CJ131" s="425">
        <v>-8450000</v>
      </c>
      <c r="CK131" s="425">
        <v>0</v>
      </c>
      <c r="CL131" s="425">
        <v>8450000</v>
      </c>
      <c r="CM131" s="425">
        <v>0</v>
      </c>
      <c r="CN131" s="425">
        <f t="shared" si="77"/>
        <v>8982.35</v>
      </c>
      <c r="CO131" s="425">
        <f t="shared" si="78"/>
        <v>0</v>
      </c>
      <c r="CP131" s="425">
        <f t="shared" si="79"/>
        <v>8982.35</v>
      </c>
      <c r="CQ131" s="425">
        <f t="shared" si="80"/>
        <v>0</v>
      </c>
      <c r="CU131" s="424"/>
      <c r="CV131" s="425"/>
      <c r="CW131" s="425"/>
      <c r="CX131" s="426"/>
      <c r="CY131" s="426"/>
      <c r="DB131" s="568" t="s">
        <v>619</v>
      </c>
      <c r="DC131" s="569">
        <v>8450000</v>
      </c>
      <c r="DD131" s="569">
        <v>0</v>
      </c>
      <c r="DE131" s="569">
        <v>8450000</v>
      </c>
      <c r="DF131" s="569">
        <v>0</v>
      </c>
      <c r="DG131" s="570">
        <f t="shared" si="83"/>
        <v>8982.35</v>
      </c>
      <c r="DH131" s="570">
        <f t="shared" si="84"/>
        <v>0</v>
      </c>
      <c r="DI131" s="570">
        <f t="shared" si="85"/>
        <v>8982.35</v>
      </c>
      <c r="DJ131" s="570">
        <f t="shared" si="86"/>
        <v>0</v>
      </c>
      <c r="DV131" s="93" t="s">
        <v>618</v>
      </c>
      <c r="DW131" s="94">
        <v>167540000</v>
      </c>
      <c r="DX131" s="94">
        <v>123555377</v>
      </c>
      <c r="DY131" s="94">
        <v>43984623</v>
      </c>
      <c r="DZ131" s="94">
        <v>47490527</v>
      </c>
      <c r="EA131" s="94">
        <f t="shared" si="89"/>
        <v>178095.02</v>
      </c>
      <c r="EB131" s="94">
        <f t="shared" si="90"/>
        <v>131339.36575099998</v>
      </c>
      <c r="EC131" s="94">
        <f t="shared" si="91"/>
        <v>46755.654248999999</v>
      </c>
      <c r="ED131" s="94">
        <f t="shared" si="92"/>
        <v>50482.430201000003</v>
      </c>
      <c r="EN131" s="420" t="s">
        <v>531</v>
      </c>
      <c r="EO131" s="426">
        <v>45387000</v>
      </c>
      <c r="EP131" s="426">
        <v>42280000</v>
      </c>
      <c r="EQ131" s="426">
        <v>3107000</v>
      </c>
      <c r="ER131" s="426">
        <v>42280000</v>
      </c>
      <c r="ES131" s="700">
        <f t="shared" si="94"/>
        <v>48246.380999999994</v>
      </c>
      <c r="ET131" s="700">
        <f t="shared" si="95"/>
        <v>44943.64</v>
      </c>
      <c r="EU131" s="700">
        <f t="shared" si="96"/>
        <v>3302.741</v>
      </c>
      <c r="EV131" s="700">
        <f t="shared" si="97"/>
        <v>44943.64</v>
      </c>
      <c r="FG131" s="735" t="s">
        <v>553</v>
      </c>
      <c r="FH131" s="734" t="s">
        <v>614</v>
      </c>
      <c r="FI131" s="732">
        <v>55010000</v>
      </c>
      <c r="FJ131" s="733">
        <v>55000000</v>
      </c>
      <c r="FK131" s="733">
        <v>10000</v>
      </c>
      <c r="FL131" s="733">
        <v>22000000</v>
      </c>
      <c r="FM131" s="426">
        <f t="shared" si="99"/>
        <v>55010</v>
      </c>
      <c r="FN131" s="426">
        <f t="shared" si="100"/>
        <v>55000</v>
      </c>
      <c r="FO131" s="426">
        <f t="shared" si="101"/>
        <v>10</v>
      </c>
      <c r="FP131" s="426">
        <f t="shared" si="102"/>
        <v>22000</v>
      </c>
      <c r="GG131" s="762" t="s">
        <v>553</v>
      </c>
      <c r="GH131" s="763" t="s">
        <v>614</v>
      </c>
      <c r="GI131" s="764">
        <v>55010000</v>
      </c>
      <c r="GJ131" s="764">
        <v>55000000</v>
      </c>
      <c r="GK131" s="764">
        <v>10000</v>
      </c>
      <c r="GL131" s="764">
        <v>22000000</v>
      </c>
      <c r="GM131" s="764">
        <v>33000000</v>
      </c>
      <c r="GN131" s="426">
        <f t="shared" si="106"/>
        <v>55010</v>
      </c>
      <c r="GO131" s="426">
        <f t="shared" si="107"/>
        <v>55000</v>
      </c>
      <c r="GP131" s="426">
        <f t="shared" si="108"/>
        <v>10</v>
      </c>
      <c r="GQ131" s="426">
        <f t="shared" si="109"/>
        <v>22000</v>
      </c>
      <c r="GR131" s="426">
        <f t="shared" si="110"/>
        <v>33000</v>
      </c>
      <c r="GV131" s="780" t="s">
        <v>418</v>
      </c>
      <c r="GW131" s="779">
        <v>7102184465</v>
      </c>
      <c r="GX131" s="426">
        <f t="shared" si="111"/>
        <v>7102184.4649999999</v>
      </c>
      <c r="HB131" s="782" t="s">
        <v>611</v>
      </c>
      <c r="HC131" s="764">
        <v>170144000</v>
      </c>
      <c r="HD131" s="764">
        <v>170144000</v>
      </c>
      <c r="HE131" s="764">
        <v>0</v>
      </c>
      <c r="HF131" s="764">
        <v>170144000</v>
      </c>
      <c r="HG131" s="426">
        <f t="shared" si="112"/>
        <v>170144</v>
      </c>
      <c r="HH131" s="426">
        <f t="shared" si="113"/>
        <v>0</v>
      </c>
      <c r="HI131" s="426">
        <f t="shared" si="114"/>
        <v>170144</v>
      </c>
      <c r="HJ131" s="426">
        <f t="shared" si="115"/>
        <v>0</v>
      </c>
      <c r="HK131" s="426">
        <f t="shared" si="116"/>
        <v>170144</v>
      </c>
    </row>
    <row r="132" spans="1:219" ht="33" x14ac:dyDescent="0.3">
      <c r="Q132" s="291" t="s">
        <v>355</v>
      </c>
      <c r="R132" s="292" t="s">
        <v>422</v>
      </c>
      <c r="S132" s="293">
        <v>10000</v>
      </c>
      <c r="T132" s="293">
        <v>313752068</v>
      </c>
      <c r="U132" s="293">
        <f>+S132/$W$2*$X$2</f>
        <v>10.629999999999999</v>
      </c>
      <c r="V132" s="293">
        <f>+T132/$W$2*$X$2</f>
        <v>333518.44828400004</v>
      </c>
      <c r="AF132" s="288" t="s">
        <v>420</v>
      </c>
      <c r="AG132" s="289">
        <v>2263826000</v>
      </c>
      <c r="AH132" s="289">
        <f t="shared" si="118"/>
        <v>2406447.0379999997</v>
      </c>
      <c r="AI132" s="289">
        <v>1387822887</v>
      </c>
      <c r="AL132" s="426"/>
      <c r="AU132" s="423" t="s">
        <v>355</v>
      </c>
      <c r="AV132" s="1275" t="s">
        <v>417</v>
      </c>
      <c r="AW132" s="1276">
        <v>13192408000</v>
      </c>
      <c r="AX132" s="1276">
        <v>7422876483</v>
      </c>
      <c r="AY132" s="1276">
        <v>5769531517</v>
      </c>
      <c r="AZ132" s="1277">
        <f t="shared" ref="AZ132:AZ140" si="119">+AW132/$BC$2*$BD$2</f>
        <v>14023529.704</v>
      </c>
      <c r="BA132" s="1277">
        <f t="shared" ref="BA132:BA140" si="120">+AX132/$BC$2*$BD$2</f>
        <v>7890517.7014289992</v>
      </c>
      <c r="BB132" s="1277">
        <f t="shared" ref="BB132:BB140" si="121">+AY132/$BC$2*$BD$2</f>
        <v>6133012.0025709998</v>
      </c>
      <c r="BF132" s="423"/>
      <c r="BG132" s="424"/>
      <c r="BH132" s="425"/>
      <c r="BI132" s="426"/>
      <c r="BM132" s="423" t="s">
        <v>449</v>
      </c>
      <c r="BN132" s="424" t="s">
        <v>416</v>
      </c>
      <c r="BO132" s="425">
        <v>15673650000</v>
      </c>
      <c r="BP132" s="425">
        <v>15673650000</v>
      </c>
      <c r="BQ132" s="425">
        <v>9278107096</v>
      </c>
      <c r="BR132" s="425">
        <v>6395542904</v>
      </c>
      <c r="BS132" s="425">
        <v>9278107096</v>
      </c>
      <c r="BT132" s="426">
        <f t="shared" ref="BT132:BT140" si="122">+BP132/$BX$2*$BY$2</f>
        <v>16661089.949999999</v>
      </c>
      <c r="BU132" s="426">
        <f t="shared" ref="BU132:BU140" si="123">+BQ132/$BX$2*$BY$2</f>
        <v>9862627.8430480007</v>
      </c>
      <c r="BV132" s="426">
        <f t="shared" ref="BV132:BV140" si="124">+BR132/$BX$2*$BY$2</f>
        <v>6798462.1069519995</v>
      </c>
      <c r="BW132" s="426">
        <f t="shared" ref="BW132:BW140" si="125">+BS132/$BX$2*$BY$2</f>
        <v>9862627.8430480007</v>
      </c>
      <c r="CG132" s="424" t="s">
        <v>415</v>
      </c>
      <c r="CH132" s="425">
        <v>159090000</v>
      </c>
      <c r="CI132" s="425">
        <v>159090000</v>
      </c>
      <c r="CJ132" s="425">
        <v>0</v>
      </c>
      <c r="CK132" s="425">
        <v>54781899</v>
      </c>
      <c r="CL132" s="425">
        <v>104308101</v>
      </c>
      <c r="CM132" s="425">
        <v>24474539</v>
      </c>
      <c r="CN132" s="425">
        <f t="shared" ref="CN132:CN142" si="126">+CI132/$CR$2*$CS$2</f>
        <v>169112.66999999998</v>
      </c>
      <c r="CO132" s="425">
        <f t="shared" ref="CO132:CO142" si="127">+CK132/$CR$2*$CS$2</f>
        <v>58233.158636999993</v>
      </c>
      <c r="CP132" s="425">
        <f t="shared" ref="CP132:CP142" si="128">+CL132/$CR$2*$CS$2</f>
        <v>110879.51136299998</v>
      </c>
      <c r="CQ132" s="425">
        <f t="shared" ref="CQ132:CQ142" si="129">+CM132/$CR$2*$CS$2</f>
        <v>26016.434956999998</v>
      </c>
      <c r="CU132" s="424"/>
      <c r="CV132" s="425"/>
      <c r="CW132" s="425"/>
      <c r="CX132" s="426"/>
      <c r="CY132" s="426"/>
      <c r="DB132" s="568" t="s">
        <v>415</v>
      </c>
      <c r="DC132" s="569">
        <v>159090000</v>
      </c>
      <c r="DD132" s="569">
        <v>56819381</v>
      </c>
      <c r="DE132" s="569">
        <v>102270619</v>
      </c>
      <c r="DF132" s="569">
        <v>39169381</v>
      </c>
      <c r="DG132" s="570">
        <f t="shared" ref="DG132:DG195" si="130">+DC132/$DK$2*$DL$2</f>
        <v>169112.66999999998</v>
      </c>
      <c r="DH132" s="570">
        <f t="shared" ref="DH132:DH195" si="131">+DD132/$DK$2*$DL$2</f>
        <v>60399.002003000001</v>
      </c>
      <c r="DI132" s="570">
        <f t="shared" ref="DI132:DI195" si="132">+DE132/$DK$2*$DL$2</f>
        <v>108713.667997</v>
      </c>
      <c r="DJ132" s="570">
        <f t="shared" ref="DJ132:DJ195" si="133">+DF132/$DK$2*$DL$2</f>
        <v>41637.052002999997</v>
      </c>
      <c r="DV132" s="93" t="s">
        <v>414</v>
      </c>
      <c r="DW132" s="94">
        <v>8450000</v>
      </c>
      <c r="DX132" s="94">
        <v>8321146</v>
      </c>
      <c r="DY132" s="94">
        <v>128854</v>
      </c>
      <c r="DZ132" s="94">
        <v>8321146</v>
      </c>
      <c r="EA132" s="94">
        <f t="shared" ref="EA132:EA144" si="134">+DW132/$EE$2*$EF$2</f>
        <v>8982.35</v>
      </c>
      <c r="EB132" s="94">
        <f t="shared" ref="EB132:EB144" si="135">+DX132/$EE$2*$EF$2</f>
        <v>8845.3781980000003</v>
      </c>
      <c r="EC132" s="94">
        <f t="shared" ref="EC132:EC144" si="136">+DY132/$EE$2*$EF$2</f>
        <v>136.971802</v>
      </c>
      <c r="ED132" s="94">
        <f t="shared" ref="ED132:ED144" si="137">+DZ132/$EE$2*$EF$2</f>
        <v>8845.3781980000003</v>
      </c>
      <c r="EN132" s="420" t="s">
        <v>638</v>
      </c>
      <c r="EO132" s="426">
        <v>155587000</v>
      </c>
      <c r="EP132" s="426">
        <v>592905708</v>
      </c>
      <c r="EQ132" s="426">
        <v>-437318708</v>
      </c>
      <c r="ER132" s="426">
        <v>534774980</v>
      </c>
      <c r="ES132" s="700">
        <f t="shared" ref="ES132:ES147" si="138">+EO132/$EW$2*$EX$2</f>
        <v>165388.981</v>
      </c>
      <c r="ET132" s="700">
        <f t="shared" ref="ET132:ET147" si="139">+EP132/$EW$2*$EX$2</f>
        <v>630258.76760399994</v>
      </c>
      <c r="EU132" s="700">
        <f t="shared" ref="EU132:EU147" si="140">+EQ132/$EW$2*$EX$2</f>
        <v>-464869.78660399996</v>
      </c>
      <c r="EV132" s="700">
        <f t="shared" ref="EV132:EV147" si="141">+ER132/$EW$2*$EX$2</f>
        <v>568465.80374</v>
      </c>
      <c r="FG132" s="735" t="s">
        <v>553</v>
      </c>
      <c r="FH132" s="734" t="s">
        <v>532</v>
      </c>
      <c r="FI132" s="732">
        <v>208482000</v>
      </c>
      <c r="FJ132" s="733">
        <v>167402727</v>
      </c>
      <c r="FK132" s="733">
        <v>41079273</v>
      </c>
      <c r="FL132" s="733">
        <v>132024077</v>
      </c>
      <c r="FM132" s="426">
        <f t="shared" ref="FM132:FM152" si="142">+FI132/$FQ$2*$FR$2</f>
        <v>208482</v>
      </c>
      <c r="FN132" s="426">
        <f t="shared" ref="FN132:FN152" si="143">+FJ132/$FQ$2*$FR$2</f>
        <v>167402.72700000001</v>
      </c>
      <c r="FO132" s="426">
        <f t="shared" ref="FO132:FO152" si="144">+FK132/$FQ$2*$FR$2</f>
        <v>41079.273000000001</v>
      </c>
      <c r="FP132" s="426">
        <f t="shared" ref="FP132:FP152" si="145">+FL132/$FQ$2*$FR$2</f>
        <v>132024.07699999999</v>
      </c>
      <c r="GG132" s="762" t="s">
        <v>553</v>
      </c>
      <c r="GH132" s="763" t="s">
        <v>532</v>
      </c>
      <c r="GI132" s="764">
        <v>211852000</v>
      </c>
      <c r="GJ132" s="764">
        <v>167402727</v>
      </c>
      <c r="GK132" s="764">
        <v>44449273</v>
      </c>
      <c r="GL132" s="764">
        <v>144777890</v>
      </c>
      <c r="GM132" s="764">
        <v>22624837</v>
      </c>
      <c r="GN132" s="426">
        <f t="shared" ref="GN132:GN153" si="146">+GI132/$GS$2*$GT$2</f>
        <v>211852</v>
      </c>
      <c r="GO132" s="426">
        <f t="shared" ref="GO132:GO153" si="147">+GJ132/$GS$2*$GT$2</f>
        <v>167402.72700000001</v>
      </c>
      <c r="GP132" s="426">
        <f t="shared" ref="GP132:GP153" si="148">+GK132/$GS$2*$GT$2</f>
        <v>44449.273000000001</v>
      </c>
      <c r="GQ132" s="426">
        <f t="shared" ref="GQ132:GQ153" si="149">+GL132/$GS$2*$GT$2</f>
        <v>144777.89000000001</v>
      </c>
      <c r="GR132" s="426">
        <f t="shared" ref="GR132:GR153" si="150">+GM132/$GS$2*$GT$2</f>
        <v>22624.837</v>
      </c>
      <c r="GV132" s="780" t="s">
        <v>419</v>
      </c>
      <c r="GW132" s="779">
        <v>1315066032</v>
      </c>
      <c r="GX132" s="426">
        <f t="shared" ref="GX132:GX134" si="151">+GW132/$GY$2*$GZ$2</f>
        <v>1315066.0319999999</v>
      </c>
      <c r="HB132" s="782" t="s">
        <v>612</v>
      </c>
      <c r="HC132" s="764">
        <v>167887825</v>
      </c>
      <c r="HD132" s="764">
        <v>167887825</v>
      </c>
      <c r="HE132" s="764">
        <v>0</v>
      </c>
      <c r="HF132" s="764">
        <v>167887825</v>
      </c>
      <c r="HG132" s="426">
        <f t="shared" ref="HG132:HG165" si="152">+HC132/$HL$2*$HM$2</f>
        <v>167887.82500000001</v>
      </c>
      <c r="HH132" s="426">
        <f t="shared" ref="HH132:HH165" si="153">+HE132/$HL$2*$HM$2</f>
        <v>0</v>
      </c>
      <c r="HI132" s="426">
        <f t="shared" ref="HI132:HI165" si="154">+HD132/$HL$2*$HM$2</f>
        <v>167887.82500000001</v>
      </c>
      <c r="HJ132" s="426">
        <f t="shared" ref="HJ132:HJ165" si="155">+HE132/$HL$2*$HM$2</f>
        <v>0</v>
      </c>
      <c r="HK132" s="426">
        <f t="shared" ref="HK132:HK165" si="156">+HF132/$HL$2*$HM$2</f>
        <v>167887.82500000001</v>
      </c>
    </row>
    <row r="133" spans="1:219" ht="30" x14ac:dyDescent="0.3">
      <c r="AF133" s="288" t="s">
        <v>621</v>
      </c>
      <c r="AG133" s="289">
        <v>2263826000</v>
      </c>
      <c r="AH133" s="289">
        <f t="shared" si="118"/>
        <v>2406447.0379999997</v>
      </c>
      <c r="AI133" s="289">
        <v>1387822887</v>
      </c>
      <c r="AL133" s="426"/>
      <c r="AU133" s="423" t="s">
        <v>553</v>
      </c>
      <c r="AV133" s="424" t="s">
        <v>418</v>
      </c>
      <c r="AW133" s="425">
        <v>13192408000</v>
      </c>
      <c r="AX133" s="425">
        <v>7422876483</v>
      </c>
      <c r="AY133" s="425">
        <v>5769531517</v>
      </c>
      <c r="AZ133" s="426">
        <f t="shared" si="119"/>
        <v>14023529.704</v>
      </c>
      <c r="BA133" s="426">
        <f t="shared" si="120"/>
        <v>7890517.7014289992</v>
      </c>
      <c r="BB133" s="426">
        <f t="shared" si="121"/>
        <v>6133012.0025709998</v>
      </c>
      <c r="BF133" s="423"/>
      <c r="BG133" s="424"/>
      <c r="BH133" s="425"/>
      <c r="BI133" s="426"/>
      <c r="BM133" s="423" t="s">
        <v>355</v>
      </c>
      <c r="BN133" s="424" t="s">
        <v>417</v>
      </c>
      <c r="BO133" s="425">
        <v>13192408000</v>
      </c>
      <c r="BP133" s="425">
        <v>13192408000</v>
      </c>
      <c r="BQ133" s="425">
        <v>7422876483</v>
      </c>
      <c r="BR133" s="425">
        <v>5769531517</v>
      </c>
      <c r="BS133" s="425">
        <v>7422876483</v>
      </c>
      <c r="BT133" s="426">
        <f t="shared" si="122"/>
        <v>14023529.704</v>
      </c>
      <c r="BU133" s="426">
        <f t="shared" si="123"/>
        <v>7890517.7014289992</v>
      </c>
      <c r="BV133" s="426">
        <f t="shared" si="124"/>
        <v>6133012.0025709998</v>
      </c>
      <c r="BW133" s="426">
        <f t="shared" si="125"/>
        <v>7890517.7014289992</v>
      </c>
      <c r="CG133" s="424" t="s">
        <v>620</v>
      </c>
      <c r="CH133" s="425">
        <v>0</v>
      </c>
      <c r="CI133" s="425">
        <v>159090000</v>
      </c>
      <c r="CJ133" s="425">
        <v>-159090000</v>
      </c>
      <c r="CK133" s="425">
        <v>54781899</v>
      </c>
      <c r="CL133" s="425">
        <v>104308101</v>
      </c>
      <c r="CM133" s="425">
        <v>24474539</v>
      </c>
      <c r="CN133" s="425">
        <f t="shared" si="126"/>
        <v>169112.66999999998</v>
      </c>
      <c r="CO133" s="425">
        <f t="shared" si="127"/>
        <v>58233.158636999993</v>
      </c>
      <c r="CP133" s="425">
        <f t="shared" si="128"/>
        <v>110879.51136299998</v>
      </c>
      <c r="CQ133" s="425">
        <f t="shared" si="129"/>
        <v>26016.434956999998</v>
      </c>
      <c r="CU133" s="424"/>
      <c r="CV133" s="425"/>
      <c r="CW133" s="425"/>
      <c r="CX133" s="426"/>
      <c r="CY133" s="426"/>
      <c r="DB133" s="568" t="s">
        <v>620</v>
      </c>
      <c r="DC133" s="569">
        <v>159090000</v>
      </c>
      <c r="DD133" s="569">
        <v>56819381</v>
      </c>
      <c r="DE133" s="569">
        <v>102270619</v>
      </c>
      <c r="DF133" s="569">
        <v>39169381</v>
      </c>
      <c r="DG133" s="570">
        <f t="shared" si="130"/>
        <v>169112.66999999998</v>
      </c>
      <c r="DH133" s="570">
        <f t="shared" si="131"/>
        <v>60399.002003000001</v>
      </c>
      <c r="DI133" s="570">
        <f t="shared" si="132"/>
        <v>108713.667997</v>
      </c>
      <c r="DJ133" s="570">
        <f t="shared" si="133"/>
        <v>41637.052002999997</v>
      </c>
      <c r="DV133" s="93" t="s">
        <v>619</v>
      </c>
      <c r="DW133" s="94">
        <v>8450000</v>
      </c>
      <c r="DX133" s="94">
        <v>8321146</v>
      </c>
      <c r="DY133" s="94">
        <v>128854</v>
      </c>
      <c r="DZ133" s="94">
        <v>8321146</v>
      </c>
      <c r="EA133" s="94">
        <f t="shared" si="134"/>
        <v>8982.35</v>
      </c>
      <c r="EB133" s="94">
        <f t="shared" si="135"/>
        <v>8845.3781980000003</v>
      </c>
      <c r="EC133" s="94">
        <f t="shared" si="136"/>
        <v>136.971802</v>
      </c>
      <c r="ED133" s="94">
        <f t="shared" si="137"/>
        <v>8845.3781980000003</v>
      </c>
      <c r="EN133" s="420" t="s">
        <v>639</v>
      </c>
      <c r="EO133" s="426">
        <v>155587000</v>
      </c>
      <c r="EP133" s="426">
        <v>592905708</v>
      </c>
      <c r="EQ133" s="426">
        <v>-437318708</v>
      </c>
      <c r="ER133" s="426">
        <v>534774980</v>
      </c>
      <c r="ES133" s="700">
        <f t="shared" si="138"/>
        <v>165388.981</v>
      </c>
      <c r="ET133" s="700">
        <f t="shared" si="139"/>
        <v>630258.76760399994</v>
      </c>
      <c r="EU133" s="700">
        <f t="shared" si="140"/>
        <v>-464869.78660399996</v>
      </c>
      <c r="EV133" s="700">
        <f t="shared" si="141"/>
        <v>568465.80374</v>
      </c>
      <c r="FG133" s="735" t="s">
        <v>553</v>
      </c>
      <c r="FH133" s="734" t="s">
        <v>531</v>
      </c>
      <c r="FI133" s="732">
        <v>45387000</v>
      </c>
      <c r="FJ133" s="733">
        <v>42280000</v>
      </c>
      <c r="FK133" s="733">
        <v>3107000</v>
      </c>
      <c r="FL133" s="733">
        <v>42280000</v>
      </c>
      <c r="FM133" s="426">
        <f t="shared" si="142"/>
        <v>45387</v>
      </c>
      <c r="FN133" s="426">
        <f t="shared" si="143"/>
        <v>42280</v>
      </c>
      <c r="FO133" s="426">
        <f t="shared" si="144"/>
        <v>3107</v>
      </c>
      <c r="FP133" s="426">
        <f t="shared" si="145"/>
        <v>42280</v>
      </c>
      <c r="GG133" s="762" t="s">
        <v>553</v>
      </c>
      <c r="GH133" s="763" t="s">
        <v>531</v>
      </c>
      <c r="GI133" s="764">
        <v>45387000</v>
      </c>
      <c r="GJ133" s="764">
        <v>42280000</v>
      </c>
      <c r="GK133" s="764">
        <v>3107000</v>
      </c>
      <c r="GL133" s="764">
        <v>42280000</v>
      </c>
      <c r="GM133" s="764">
        <v>0</v>
      </c>
      <c r="GN133" s="426">
        <f t="shared" si="146"/>
        <v>45387</v>
      </c>
      <c r="GO133" s="426">
        <f t="shared" si="147"/>
        <v>42280</v>
      </c>
      <c r="GP133" s="426">
        <f t="shared" si="148"/>
        <v>3107</v>
      </c>
      <c r="GQ133" s="426">
        <f t="shared" si="149"/>
        <v>42280</v>
      </c>
      <c r="GR133" s="426">
        <f t="shared" si="150"/>
        <v>0</v>
      </c>
      <c r="GV133" s="780" t="s">
        <v>420</v>
      </c>
      <c r="GW133" s="779">
        <v>1315066032</v>
      </c>
      <c r="GX133" s="426">
        <f t="shared" si="151"/>
        <v>1315066.0319999999</v>
      </c>
      <c r="HB133" s="782" t="s">
        <v>927</v>
      </c>
      <c r="HC133" s="764">
        <v>2256175</v>
      </c>
      <c r="HD133" s="764">
        <v>2256175</v>
      </c>
      <c r="HE133" s="764">
        <v>0</v>
      </c>
      <c r="HF133" s="764">
        <v>2256175</v>
      </c>
      <c r="HG133" s="426">
        <f t="shared" si="152"/>
        <v>2256.1750000000002</v>
      </c>
      <c r="HH133" s="426">
        <f t="shared" si="153"/>
        <v>0</v>
      </c>
      <c r="HI133" s="426">
        <f t="shared" si="154"/>
        <v>2256.1750000000002</v>
      </c>
      <c r="HJ133" s="426">
        <f t="shared" si="155"/>
        <v>0</v>
      </c>
      <c r="HK133" s="426">
        <f t="shared" si="156"/>
        <v>2256.1750000000002</v>
      </c>
    </row>
    <row r="134" spans="1:219" ht="33" x14ac:dyDescent="0.3">
      <c r="AF134" s="288" t="s">
        <v>622</v>
      </c>
      <c r="AG134" s="289">
        <v>217406000</v>
      </c>
      <c r="AH134" s="289">
        <f t="shared" si="118"/>
        <v>231102.57799999998</v>
      </c>
      <c r="AI134" s="289">
        <v>95146325</v>
      </c>
      <c r="AL134" s="426"/>
      <c r="AU134" s="423" t="s">
        <v>355</v>
      </c>
      <c r="AV134" s="1275" t="s">
        <v>419</v>
      </c>
      <c r="AW134" s="1276">
        <v>2263826000</v>
      </c>
      <c r="AX134" s="1276">
        <v>1420148907</v>
      </c>
      <c r="AY134" s="1276">
        <v>843677093</v>
      </c>
      <c r="AZ134" s="1277">
        <f t="shared" si="119"/>
        <v>2406447.0379999997</v>
      </c>
      <c r="BA134" s="1277">
        <f t="shared" si="120"/>
        <v>1509618.2881409999</v>
      </c>
      <c r="BB134" s="1277">
        <f t="shared" si="121"/>
        <v>896828.74985899997</v>
      </c>
      <c r="BF134" s="423"/>
      <c r="BG134" s="424"/>
      <c r="BH134" s="425"/>
      <c r="BI134" s="426"/>
      <c r="BM134" s="423" t="s">
        <v>553</v>
      </c>
      <c r="BN134" s="424" t="s">
        <v>418</v>
      </c>
      <c r="BO134" s="425">
        <v>0</v>
      </c>
      <c r="BP134" s="425">
        <v>13192408000</v>
      </c>
      <c r="BQ134" s="425">
        <v>7422876483</v>
      </c>
      <c r="BR134" s="425">
        <v>5769531517</v>
      </c>
      <c r="BS134" s="425">
        <v>7422876483</v>
      </c>
      <c r="BT134" s="426">
        <f t="shared" si="122"/>
        <v>14023529.704</v>
      </c>
      <c r="BU134" s="426">
        <f t="shared" si="123"/>
        <v>7890517.7014289992</v>
      </c>
      <c r="BV134" s="426">
        <f t="shared" si="124"/>
        <v>6133012.0025709998</v>
      </c>
      <c r="BW134" s="426">
        <f t="shared" si="125"/>
        <v>7890517.7014289992</v>
      </c>
      <c r="CG134" s="424" t="s">
        <v>416</v>
      </c>
      <c r="CH134" s="425">
        <v>16009464000</v>
      </c>
      <c r="CI134" s="425">
        <v>16009464000</v>
      </c>
      <c r="CJ134" s="425">
        <v>0</v>
      </c>
      <c r="CK134" s="425">
        <v>9419851291</v>
      </c>
      <c r="CL134" s="425">
        <v>6589612709</v>
      </c>
      <c r="CM134" s="425">
        <v>9419851291</v>
      </c>
      <c r="CN134" s="425">
        <f t="shared" si="126"/>
        <v>17018060.232000001</v>
      </c>
      <c r="CO134" s="425">
        <f t="shared" si="127"/>
        <v>10013301.922332998</v>
      </c>
      <c r="CP134" s="425">
        <f t="shared" si="128"/>
        <v>7004758.3096669996</v>
      </c>
      <c r="CQ134" s="425">
        <f t="shared" si="129"/>
        <v>10013301.922332998</v>
      </c>
      <c r="CU134" s="424"/>
      <c r="CV134" s="425"/>
      <c r="CW134" s="425"/>
      <c r="CX134" s="426"/>
      <c r="CY134" s="426"/>
      <c r="DB134" s="568" t="s">
        <v>416</v>
      </c>
      <c r="DC134" s="569">
        <v>16009464000</v>
      </c>
      <c r="DD134" s="569">
        <v>9675746883</v>
      </c>
      <c r="DE134" s="569">
        <v>6333717117</v>
      </c>
      <c r="DF134" s="569">
        <v>9675746883</v>
      </c>
      <c r="DG134" s="570">
        <f t="shared" si="130"/>
        <v>17018060.232000001</v>
      </c>
      <c r="DH134" s="570">
        <f t="shared" si="131"/>
        <v>10285318.936628999</v>
      </c>
      <c r="DI134" s="570">
        <f t="shared" si="132"/>
        <v>6732741.2953709988</v>
      </c>
      <c r="DJ134" s="570">
        <f t="shared" si="133"/>
        <v>10285318.936628999</v>
      </c>
      <c r="DV134" s="93" t="s">
        <v>415</v>
      </c>
      <c r="DW134" s="94">
        <v>159090000</v>
      </c>
      <c r="DX134" s="94">
        <v>115234231</v>
      </c>
      <c r="DY134" s="94">
        <v>43855769</v>
      </c>
      <c r="DZ134" s="94">
        <v>39169381</v>
      </c>
      <c r="EA134" s="94">
        <f t="shared" si="134"/>
        <v>169112.66999999998</v>
      </c>
      <c r="EB134" s="94">
        <f t="shared" si="135"/>
        <v>122493.987553</v>
      </c>
      <c r="EC134" s="94">
        <f t="shared" si="136"/>
        <v>46618.682446999999</v>
      </c>
      <c r="ED134" s="94">
        <f t="shared" si="137"/>
        <v>41637.052002999997</v>
      </c>
      <c r="EN134" s="420" t="s">
        <v>618</v>
      </c>
      <c r="EO134" s="426">
        <v>167540000</v>
      </c>
      <c r="EP134" s="426">
        <v>111976526</v>
      </c>
      <c r="EQ134" s="426">
        <v>55563474</v>
      </c>
      <c r="ER134" s="426">
        <v>104826526</v>
      </c>
      <c r="ES134" s="700">
        <f t="shared" si="138"/>
        <v>178095.02</v>
      </c>
      <c r="ET134" s="700">
        <f t="shared" si="139"/>
        <v>119031.04713799999</v>
      </c>
      <c r="EU134" s="700">
        <f t="shared" si="140"/>
        <v>59063.972862000002</v>
      </c>
      <c r="EV134" s="700">
        <f t="shared" si="141"/>
        <v>111430.597138</v>
      </c>
      <c r="FG134" s="735" t="s">
        <v>355</v>
      </c>
      <c r="FH134" s="734" t="s">
        <v>495</v>
      </c>
      <c r="FI134" s="732">
        <v>43500000</v>
      </c>
      <c r="FJ134" s="733">
        <v>0</v>
      </c>
      <c r="FK134" s="733">
        <v>43500000</v>
      </c>
      <c r="FL134" s="733">
        <v>0</v>
      </c>
      <c r="FM134" s="426">
        <f t="shared" si="142"/>
        <v>43500</v>
      </c>
      <c r="FN134" s="426">
        <f t="shared" si="143"/>
        <v>0</v>
      </c>
      <c r="FO134" s="426">
        <f t="shared" si="144"/>
        <v>43500</v>
      </c>
      <c r="FP134" s="426">
        <f t="shared" si="145"/>
        <v>0</v>
      </c>
      <c r="GG134" s="762" t="s">
        <v>355</v>
      </c>
      <c r="GH134" s="763" t="s">
        <v>495</v>
      </c>
      <c r="GI134" s="764">
        <v>43500000</v>
      </c>
      <c r="GJ134" s="764">
        <v>40000000</v>
      </c>
      <c r="GK134" s="764">
        <v>3500000</v>
      </c>
      <c r="GL134" s="764">
        <v>40000000</v>
      </c>
      <c r="GM134" s="764">
        <v>0</v>
      </c>
      <c r="GN134" s="426">
        <f t="shared" si="146"/>
        <v>43500</v>
      </c>
      <c r="GO134" s="426">
        <f t="shared" si="147"/>
        <v>40000</v>
      </c>
      <c r="GP134" s="426">
        <f t="shared" si="148"/>
        <v>3500</v>
      </c>
      <c r="GQ134" s="426">
        <f t="shared" si="149"/>
        <v>40000</v>
      </c>
      <c r="GR134" s="426">
        <f t="shared" si="150"/>
        <v>0</v>
      </c>
      <c r="GV134" s="780" t="s">
        <v>621</v>
      </c>
      <c r="GW134" s="779">
        <v>1315066032</v>
      </c>
      <c r="GX134" s="426">
        <f t="shared" si="151"/>
        <v>1315066.0319999999</v>
      </c>
      <c r="HB134" s="782" t="s">
        <v>412</v>
      </c>
      <c r="HC134" s="764">
        <v>637904000</v>
      </c>
      <c r="HD134" s="764">
        <v>583504891</v>
      </c>
      <c r="HE134" s="764">
        <v>54399109</v>
      </c>
      <c r="HF134" s="764">
        <v>576078927</v>
      </c>
      <c r="HG134" s="426">
        <f t="shared" si="152"/>
        <v>637904</v>
      </c>
      <c r="HH134" s="426">
        <f t="shared" si="153"/>
        <v>54399.108999999997</v>
      </c>
      <c r="HI134" s="426">
        <f t="shared" si="154"/>
        <v>583504.89099999995</v>
      </c>
      <c r="HJ134" s="426">
        <f t="shared" si="155"/>
        <v>54399.108999999997</v>
      </c>
      <c r="HK134" s="426">
        <f t="shared" si="156"/>
        <v>576078.92700000003</v>
      </c>
    </row>
    <row r="135" spans="1:219" ht="16.5" x14ac:dyDescent="0.3">
      <c r="AF135" s="288" t="s">
        <v>421</v>
      </c>
      <c r="AG135" s="289">
        <v>217406000</v>
      </c>
      <c r="AH135" s="289">
        <f t="shared" si="118"/>
        <v>231102.57799999998</v>
      </c>
      <c r="AI135" s="289">
        <v>95146325</v>
      </c>
      <c r="AL135" s="426"/>
      <c r="AU135" s="423" t="s">
        <v>553</v>
      </c>
      <c r="AV135" s="424" t="s">
        <v>420</v>
      </c>
      <c r="AW135" s="425">
        <v>2263826000</v>
      </c>
      <c r="AX135" s="425">
        <v>1420148907</v>
      </c>
      <c r="AY135" s="425">
        <v>843677093</v>
      </c>
      <c r="AZ135" s="426">
        <f t="shared" si="119"/>
        <v>2406447.0379999997</v>
      </c>
      <c r="BA135" s="426">
        <f t="shared" si="120"/>
        <v>1509618.2881409999</v>
      </c>
      <c r="BB135" s="426">
        <f t="shared" si="121"/>
        <v>896828.74985899997</v>
      </c>
      <c r="BF135" s="423"/>
      <c r="BG135" s="424"/>
      <c r="BH135" s="425"/>
      <c r="BI135" s="426"/>
      <c r="BM135" s="423" t="s">
        <v>355</v>
      </c>
      <c r="BN135" s="424" t="s">
        <v>419</v>
      </c>
      <c r="BO135" s="425">
        <v>2263826000</v>
      </c>
      <c r="BP135" s="425">
        <v>2263826000</v>
      </c>
      <c r="BQ135" s="425">
        <v>1420148907</v>
      </c>
      <c r="BR135" s="425">
        <v>843677093</v>
      </c>
      <c r="BS135" s="425">
        <v>1420148907</v>
      </c>
      <c r="BT135" s="426">
        <f t="shared" si="122"/>
        <v>2406447.0379999997</v>
      </c>
      <c r="BU135" s="426">
        <f t="shared" si="123"/>
        <v>1509618.2881409999</v>
      </c>
      <c r="BV135" s="426">
        <f t="shared" si="124"/>
        <v>896828.74985899997</v>
      </c>
      <c r="BW135" s="426">
        <f t="shared" si="125"/>
        <v>1509618.2881409999</v>
      </c>
      <c r="CG135" s="424" t="s">
        <v>417</v>
      </c>
      <c r="CH135" s="425">
        <v>13192408000</v>
      </c>
      <c r="CI135" s="425">
        <v>13192408000</v>
      </c>
      <c r="CJ135" s="425">
        <v>0</v>
      </c>
      <c r="CK135" s="425">
        <v>7541753210</v>
      </c>
      <c r="CL135" s="425">
        <v>5650654790</v>
      </c>
      <c r="CM135" s="425">
        <v>7541753210</v>
      </c>
      <c r="CN135" s="425">
        <f t="shared" si="126"/>
        <v>14023529.704</v>
      </c>
      <c r="CO135" s="425">
        <f t="shared" si="127"/>
        <v>8016883.6622299999</v>
      </c>
      <c r="CP135" s="425">
        <f t="shared" si="128"/>
        <v>6006646.04177</v>
      </c>
      <c r="CQ135" s="425">
        <f t="shared" si="129"/>
        <v>8016883.6622299999</v>
      </c>
      <c r="CU135" s="424"/>
      <c r="CV135" s="425"/>
      <c r="CW135" s="425"/>
      <c r="CX135" s="426"/>
      <c r="CY135" s="426"/>
      <c r="DB135" s="568" t="s">
        <v>417</v>
      </c>
      <c r="DC135" s="569">
        <v>13192408000</v>
      </c>
      <c r="DD135" s="569">
        <v>7541753210</v>
      </c>
      <c r="DE135" s="569">
        <v>5650654790</v>
      </c>
      <c r="DF135" s="569">
        <v>7541753210</v>
      </c>
      <c r="DG135" s="570">
        <f t="shared" si="130"/>
        <v>14023529.704</v>
      </c>
      <c r="DH135" s="570">
        <f t="shared" si="131"/>
        <v>8016883.6622299999</v>
      </c>
      <c r="DI135" s="570">
        <f t="shared" si="132"/>
        <v>6006646.04177</v>
      </c>
      <c r="DJ135" s="570">
        <f t="shared" si="133"/>
        <v>8016883.6622299999</v>
      </c>
      <c r="DV135" s="93" t="s">
        <v>620</v>
      </c>
      <c r="DW135" s="94">
        <v>159090000</v>
      </c>
      <c r="DX135" s="94">
        <v>115234231</v>
      </c>
      <c r="DY135" s="94">
        <v>43855769</v>
      </c>
      <c r="DZ135" s="94">
        <v>39169381</v>
      </c>
      <c r="EA135" s="94">
        <f t="shared" si="134"/>
        <v>169112.66999999998</v>
      </c>
      <c r="EB135" s="94">
        <f t="shared" si="135"/>
        <v>122493.987553</v>
      </c>
      <c r="EC135" s="94">
        <f t="shared" si="136"/>
        <v>46618.682446999999</v>
      </c>
      <c r="ED135" s="94">
        <f t="shared" si="137"/>
        <v>41637.052002999997</v>
      </c>
      <c r="EN135" s="420" t="s">
        <v>414</v>
      </c>
      <c r="EO135" s="426">
        <v>8450000</v>
      </c>
      <c r="EP135" s="426">
        <v>8321146</v>
      </c>
      <c r="EQ135" s="426">
        <v>128854</v>
      </c>
      <c r="ER135" s="426">
        <v>8321146</v>
      </c>
      <c r="ES135" s="700">
        <f t="shared" si="138"/>
        <v>8982.35</v>
      </c>
      <c r="ET135" s="700">
        <f t="shared" si="139"/>
        <v>8845.3781980000003</v>
      </c>
      <c r="EU135" s="700">
        <f t="shared" si="140"/>
        <v>136.971802</v>
      </c>
      <c r="EV135" s="700">
        <f t="shared" si="141"/>
        <v>8845.3781980000003</v>
      </c>
      <c r="FG135" s="735" t="s">
        <v>553</v>
      </c>
      <c r="FH135" s="734" t="s">
        <v>617</v>
      </c>
      <c r="FI135" s="732">
        <v>3500000</v>
      </c>
      <c r="FJ135" s="733">
        <v>0</v>
      </c>
      <c r="FK135" s="733">
        <v>3500000</v>
      </c>
      <c r="FL135" s="733">
        <v>0</v>
      </c>
      <c r="FM135" s="426">
        <f t="shared" si="142"/>
        <v>3500</v>
      </c>
      <c r="FN135" s="426">
        <f t="shared" si="143"/>
        <v>0</v>
      </c>
      <c r="FO135" s="426">
        <f t="shared" si="144"/>
        <v>3500</v>
      </c>
      <c r="FP135" s="426">
        <f t="shared" si="145"/>
        <v>0</v>
      </c>
      <c r="GG135" s="762" t="s">
        <v>553</v>
      </c>
      <c r="GH135" s="763" t="s">
        <v>617</v>
      </c>
      <c r="GI135" s="764">
        <v>3500000</v>
      </c>
      <c r="GJ135" s="764">
        <v>0</v>
      </c>
      <c r="GK135" s="764">
        <v>3500000</v>
      </c>
      <c r="GL135" s="764">
        <v>0</v>
      </c>
      <c r="GM135" s="764">
        <v>0</v>
      </c>
      <c r="GN135" s="426">
        <f t="shared" si="146"/>
        <v>3500</v>
      </c>
      <c r="GO135" s="426">
        <f t="shared" si="147"/>
        <v>0</v>
      </c>
      <c r="GP135" s="426">
        <f t="shared" si="148"/>
        <v>3500</v>
      </c>
      <c r="GQ135" s="426">
        <f t="shared" si="149"/>
        <v>0</v>
      </c>
      <c r="GR135" s="426">
        <f t="shared" si="150"/>
        <v>0</v>
      </c>
      <c r="HB135" s="782" t="s">
        <v>538</v>
      </c>
      <c r="HC135" s="764">
        <v>81155000</v>
      </c>
      <c r="HD135" s="764">
        <v>81155000</v>
      </c>
      <c r="HE135" s="764">
        <v>0</v>
      </c>
      <c r="HF135" s="764">
        <v>81155000</v>
      </c>
      <c r="HG135" s="426">
        <f t="shared" si="152"/>
        <v>81155</v>
      </c>
      <c r="HH135" s="426">
        <f t="shared" si="153"/>
        <v>0</v>
      </c>
      <c r="HI135" s="426">
        <f t="shared" si="154"/>
        <v>81155</v>
      </c>
      <c r="HJ135" s="426">
        <f t="shared" si="155"/>
        <v>0</v>
      </c>
      <c r="HK135" s="426">
        <f t="shared" si="156"/>
        <v>81155</v>
      </c>
    </row>
    <row r="136" spans="1:219" ht="16.5" x14ac:dyDescent="0.3">
      <c r="AF136" s="288" t="s">
        <v>422</v>
      </c>
      <c r="AG136" s="289">
        <v>10000</v>
      </c>
      <c r="AH136" s="289">
        <f t="shared" si="118"/>
        <v>10.629999999999999</v>
      </c>
      <c r="AI136" s="289">
        <v>339935381</v>
      </c>
      <c r="AL136" s="426"/>
      <c r="AU136" s="423" t="s">
        <v>554</v>
      </c>
      <c r="AV136" s="424" t="s">
        <v>621</v>
      </c>
      <c r="AW136" s="425">
        <v>2263826000</v>
      </c>
      <c r="AX136" s="425">
        <v>1420148907</v>
      </c>
      <c r="AY136" s="425">
        <v>843677093</v>
      </c>
      <c r="AZ136" s="426">
        <f t="shared" si="119"/>
        <v>2406447.0379999997</v>
      </c>
      <c r="BA136" s="426">
        <f t="shared" si="120"/>
        <v>1509618.2881409999</v>
      </c>
      <c r="BB136" s="426">
        <f t="shared" si="121"/>
        <v>896828.74985899997</v>
      </c>
      <c r="BF136" s="423"/>
      <c r="BG136" s="424"/>
      <c r="BH136" s="425"/>
      <c r="BI136" s="426"/>
      <c r="BM136" s="423" t="s">
        <v>553</v>
      </c>
      <c r="BN136" s="424" t="s">
        <v>420</v>
      </c>
      <c r="BO136" s="425">
        <v>0</v>
      </c>
      <c r="BP136" s="425">
        <v>2263826000</v>
      </c>
      <c r="BQ136" s="425">
        <v>1420148907</v>
      </c>
      <c r="BR136" s="425">
        <v>843677093</v>
      </c>
      <c r="BS136" s="425">
        <v>1420148907</v>
      </c>
      <c r="BT136" s="426">
        <f t="shared" si="122"/>
        <v>2406447.0379999997</v>
      </c>
      <c r="BU136" s="426">
        <f t="shared" si="123"/>
        <v>1509618.2881409999</v>
      </c>
      <c r="BV136" s="426">
        <f t="shared" si="124"/>
        <v>896828.74985899997</v>
      </c>
      <c r="BW136" s="426">
        <f t="shared" si="125"/>
        <v>1509618.2881409999</v>
      </c>
      <c r="CG136" s="424" t="s">
        <v>418</v>
      </c>
      <c r="CH136" s="425">
        <v>0</v>
      </c>
      <c r="CI136" s="425">
        <v>13192408000</v>
      </c>
      <c r="CJ136" s="425">
        <v>-13192408000</v>
      </c>
      <c r="CK136" s="425">
        <v>7541753210</v>
      </c>
      <c r="CL136" s="425">
        <v>5650654790</v>
      </c>
      <c r="CM136" s="425">
        <v>7541753210</v>
      </c>
      <c r="CN136" s="425">
        <f t="shared" si="126"/>
        <v>14023529.704</v>
      </c>
      <c r="CO136" s="425">
        <f t="shared" si="127"/>
        <v>8016883.6622299999</v>
      </c>
      <c r="CP136" s="425">
        <f t="shared" si="128"/>
        <v>6006646.04177</v>
      </c>
      <c r="CQ136" s="425">
        <f t="shared" si="129"/>
        <v>8016883.6622299999</v>
      </c>
      <c r="CU136" s="424"/>
      <c r="CV136" s="425"/>
      <c r="CW136" s="425"/>
      <c r="CX136" s="426"/>
      <c r="CY136" s="426"/>
      <c r="DB136" s="568" t="s">
        <v>418</v>
      </c>
      <c r="DC136" s="569">
        <v>13192408000</v>
      </c>
      <c r="DD136" s="569">
        <v>7541753210</v>
      </c>
      <c r="DE136" s="569">
        <v>5650654790</v>
      </c>
      <c r="DF136" s="569">
        <v>7541753210</v>
      </c>
      <c r="DG136" s="570">
        <f t="shared" si="130"/>
        <v>14023529.704</v>
      </c>
      <c r="DH136" s="570">
        <f t="shared" si="131"/>
        <v>8016883.6622299999</v>
      </c>
      <c r="DI136" s="570">
        <f t="shared" si="132"/>
        <v>6006646.04177</v>
      </c>
      <c r="DJ136" s="570">
        <f t="shared" si="133"/>
        <v>8016883.6622299999</v>
      </c>
      <c r="DV136" s="93" t="s">
        <v>416</v>
      </c>
      <c r="DW136" s="94">
        <v>16009464000</v>
      </c>
      <c r="DX136" s="94">
        <v>9675746883</v>
      </c>
      <c r="DY136" s="94">
        <v>6333717117</v>
      </c>
      <c r="DZ136" s="94">
        <v>9675746883</v>
      </c>
      <c r="EA136" s="94">
        <f t="shared" si="134"/>
        <v>17018060.232000001</v>
      </c>
      <c r="EB136" s="94">
        <f t="shared" si="135"/>
        <v>10285318.936628999</v>
      </c>
      <c r="EC136" s="94">
        <f t="shared" si="136"/>
        <v>6732741.2953709988</v>
      </c>
      <c r="ED136" s="94">
        <f t="shared" si="137"/>
        <v>10285318.936628999</v>
      </c>
      <c r="EN136" s="420" t="s">
        <v>619</v>
      </c>
      <c r="EO136" s="426">
        <v>8450000</v>
      </c>
      <c r="EP136" s="426">
        <v>8321146</v>
      </c>
      <c r="EQ136" s="426">
        <v>128854</v>
      </c>
      <c r="ER136" s="426">
        <v>8321146</v>
      </c>
      <c r="ES136" s="700">
        <f t="shared" si="138"/>
        <v>8982.35</v>
      </c>
      <c r="ET136" s="700">
        <f t="shared" si="139"/>
        <v>8845.3781980000003</v>
      </c>
      <c r="EU136" s="700">
        <f t="shared" si="140"/>
        <v>136.971802</v>
      </c>
      <c r="EV136" s="700">
        <f t="shared" si="141"/>
        <v>8845.3781980000003</v>
      </c>
      <c r="FG136" s="735" t="s">
        <v>553</v>
      </c>
      <c r="FH136" s="734" t="s">
        <v>904</v>
      </c>
      <c r="FI136" s="732">
        <v>40000000</v>
      </c>
      <c r="FJ136" s="733">
        <v>0</v>
      </c>
      <c r="FK136" s="733">
        <v>40000000</v>
      </c>
      <c r="FL136" s="733">
        <v>0</v>
      </c>
      <c r="FM136" s="426">
        <f t="shared" si="142"/>
        <v>40000</v>
      </c>
      <c r="FN136" s="426">
        <f t="shared" si="143"/>
        <v>0</v>
      </c>
      <c r="FO136" s="426">
        <f t="shared" si="144"/>
        <v>40000</v>
      </c>
      <c r="FP136" s="426">
        <f t="shared" si="145"/>
        <v>0</v>
      </c>
      <c r="GG136" s="762" t="s">
        <v>553</v>
      </c>
      <c r="GH136" s="763" t="s">
        <v>904</v>
      </c>
      <c r="GI136" s="764">
        <v>40000000</v>
      </c>
      <c r="GJ136" s="764">
        <v>40000000</v>
      </c>
      <c r="GK136" s="764">
        <v>0</v>
      </c>
      <c r="GL136" s="764">
        <v>40000000</v>
      </c>
      <c r="GM136" s="764">
        <v>0</v>
      </c>
      <c r="GN136" s="426">
        <f t="shared" si="146"/>
        <v>40000</v>
      </c>
      <c r="GO136" s="426">
        <f t="shared" si="147"/>
        <v>40000</v>
      </c>
      <c r="GP136" s="426">
        <f t="shared" si="148"/>
        <v>0</v>
      </c>
      <c r="GQ136" s="426">
        <f t="shared" si="149"/>
        <v>40000</v>
      </c>
      <c r="GR136" s="426">
        <f t="shared" si="150"/>
        <v>0</v>
      </c>
      <c r="GX136" s="432"/>
      <c r="HB136" s="782" t="s">
        <v>690</v>
      </c>
      <c r="HC136" s="764">
        <v>81155000</v>
      </c>
      <c r="HD136" s="764">
        <v>81155000</v>
      </c>
      <c r="HE136" s="764">
        <v>0</v>
      </c>
      <c r="HF136" s="764">
        <v>81155000</v>
      </c>
      <c r="HG136" s="426">
        <f t="shared" si="152"/>
        <v>81155</v>
      </c>
      <c r="HH136" s="426">
        <f t="shared" si="153"/>
        <v>0</v>
      </c>
      <c r="HI136" s="426">
        <f t="shared" si="154"/>
        <v>81155</v>
      </c>
      <c r="HJ136" s="426">
        <f t="shared" si="155"/>
        <v>0</v>
      </c>
      <c r="HK136" s="426">
        <f t="shared" si="156"/>
        <v>81155</v>
      </c>
    </row>
    <row r="137" spans="1:219" ht="16.5" x14ac:dyDescent="0.3">
      <c r="AU137" s="423" t="s">
        <v>355</v>
      </c>
      <c r="AV137" s="1275" t="s">
        <v>622</v>
      </c>
      <c r="AW137" s="1276">
        <v>217406000</v>
      </c>
      <c r="AX137" s="1276">
        <v>95146325</v>
      </c>
      <c r="AY137" s="1276">
        <v>122259675</v>
      </c>
      <c r="AZ137" s="1277">
        <f t="shared" si="119"/>
        <v>231102.57799999998</v>
      </c>
      <c r="BA137" s="1277">
        <f t="shared" si="120"/>
        <v>101140.543475</v>
      </c>
      <c r="BB137" s="1277">
        <f t="shared" si="121"/>
        <v>129962.034525</v>
      </c>
      <c r="BF137" s="423"/>
      <c r="BG137" s="424"/>
      <c r="BH137" s="425"/>
      <c r="BI137" s="426"/>
      <c r="BM137" s="423" t="s">
        <v>554</v>
      </c>
      <c r="BN137" s="424" t="s">
        <v>621</v>
      </c>
      <c r="BO137" s="425">
        <v>0</v>
      </c>
      <c r="BP137" s="425">
        <v>2263826000</v>
      </c>
      <c r="BQ137" s="425">
        <v>1420148907</v>
      </c>
      <c r="BR137" s="425">
        <v>843677093</v>
      </c>
      <c r="BS137" s="425">
        <v>1420148907</v>
      </c>
      <c r="BT137" s="426">
        <f t="shared" si="122"/>
        <v>2406447.0379999997</v>
      </c>
      <c r="BU137" s="426">
        <f t="shared" si="123"/>
        <v>1509618.2881409999</v>
      </c>
      <c r="BV137" s="426">
        <f t="shared" si="124"/>
        <v>896828.74985899997</v>
      </c>
      <c r="BW137" s="426">
        <f t="shared" si="125"/>
        <v>1509618.2881409999</v>
      </c>
      <c r="CG137" s="424" t="s">
        <v>419</v>
      </c>
      <c r="CH137" s="425">
        <v>2263826000</v>
      </c>
      <c r="CI137" s="425">
        <v>2263826000</v>
      </c>
      <c r="CJ137" s="425">
        <v>0</v>
      </c>
      <c r="CK137" s="425">
        <v>1443016375</v>
      </c>
      <c r="CL137" s="425">
        <v>820809625</v>
      </c>
      <c r="CM137" s="425">
        <v>1443016375</v>
      </c>
      <c r="CN137" s="425">
        <f t="shared" si="126"/>
        <v>2406447.0379999997</v>
      </c>
      <c r="CO137" s="425">
        <f t="shared" si="127"/>
        <v>1533926.4066249998</v>
      </c>
      <c r="CP137" s="425">
        <f t="shared" si="128"/>
        <v>872520.631375</v>
      </c>
      <c r="CQ137" s="425">
        <f t="shared" si="129"/>
        <v>1533926.4066249998</v>
      </c>
      <c r="CU137" s="424"/>
      <c r="CV137" s="425"/>
      <c r="CW137" s="425"/>
      <c r="CX137" s="426"/>
      <c r="CY137" s="426"/>
      <c r="DB137" s="568" t="s">
        <v>419</v>
      </c>
      <c r="DC137" s="569">
        <v>2263826000</v>
      </c>
      <c r="DD137" s="569">
        <v>1698604691</v>
      </c>
      <c r="DE137" s="569">
        <v>565221309</v>
      </c>
      <c r="DF137" s="569">
        <v>1698604691</v>
      </c>
      <c r="DG137" s="570">
        <f t="shared" si="130"/>
        <v>2406447.0379999997</v>
      </c>
      <c r="DH137" s="570">
        <f t="shared" si="131"/>
        <v>1805616.7865329999</v>
      </c>
      <c r="DI137" s="570">
        <f t="shared" si="132"/>
        <v>600830.25146699999</v>
      </c>
      <c r="DJ137" s="570">
        <f t="shared" si="133"/>
        <v>1805616.7865329999</v>
      </c>
      <c r="DV137" s="93" t="s">
        <v>417</v>
      </c>
      <c r="DW137" s="94">
        <v>13192408000</v>
      </c>
      <c r="DX137" s="94">
        <v>7541753210</v>
      </c>
      <c r="DY137" s="94">
        <v>5650654790</v>
      </c>
      <c r="DZ137" s="94">
        <v>7541753210</v>
      </c>
      <c r="EA137" s="94">
        <f t="shared" si="134"/>
        <v>14023529.704</v>
      </c>
      <c r="EB137" s="94">
        <f t="shared" si="135"/>
        <v>8016883.6622299999</v>
      </c>
      <c r="EC137" s="94">
        <f t="shared" si="136"/>
        <v>6006646.04177</v>
      </c>
      <c r="ED137" s="94">
        <f t="shared" si="137"/>
        <v>8016883.6622299999</v>
      </c>
      <c r="EN137" s="420" t="s">
        <v>415</v>
      </c>
      <c r="EO137" s="426">
        <v>159090000</v>
      </c>
      <c r="EP137" s="426">
        <v>103655380</v>
      </c>
      <c r="EQ137" s="426">
        <v>55434620</v>
      </c>
      <c r="ER137" s="426">
        <v>96505380</v>
      </c>
      <c r="ES137" s="700">
        <f t="shared" si="138"/>
        <v>169112.66999999998</v>
      </c>
      <c r="ET137" s="700">
        <f t="shared" si="139"/>
        <v>110185.66894</v>
      </c>
      <c r="EU137" s="700">
        <f t="shared" si="140"/>
        <v>58927.001060000002</v>
      </c>
      <c r="EV137" s="700">
        <f t="shared" si="141"/>
        <v>102585.21894000001</v>
      </c>
      <c r="FG137" s="735" t="s">
        <v>449</v>
      </c>
      <c r="FH137" s="734" t="s">
        <v>638</v>
      </c>
      <c r="FI137" s="732">
        <v>155587000</v>
      </c>
      <c r="FJ137" s="733">
        <v>592905708</v>
      </c>
      <c r="FK137" s="733">
        <v>-437318708</v>
      </c>
      <c r="FL137" s="733">
        <v>560103764</v>
      </c>
      <c r="FM137" s="426">
        <f t="shared" si="142"/>
        <v>155587</v>
      </c>
      <c r="FN137" s="426">
        <f t="shared" si="143"/>
        <v>592905.70799999998</v>
      </c>
      <c r="FO137" s="426">
        <f t="shared" si="144"/>
        <v>-437318.70799999998</v>
      </c>
      <c r="FP137" s="426">
        <f t="shared" si="145"/>
        <v>560103.76399999997</v>
      </c>
      <c r="GG137" s="762" t="s">
        <v>449</v>
      </c>
      <c r="GH137" s="763" t="s">
        <v>638</v>
      </c>
      <c r="GI137" s="764">
        <v>155587000</v>
      </c>
      <c r="GJ137" s="764">
        <v>594917708</v>
      </c>
      <c r="GK137" s="764">
        <v>-439330708</v>
      </c>
      <c r="GL137" s="764">
        <v>594917534</v>
      </c>
      <c r="GM137" s="764">
        <v>174</v>
      </c>
      <c r="GN137" s="426">
        <f t="shared" si="146"/>
        <v>155587</v>
      </c>
      <c r="GO137" s="426">
        <f t="shared" si="147"/>
        <v>594917.70799999998</v>
      </c>
      <c r="GP137" s="426">
        <f t="shared" si="148"/>
        <v>-439330.70799999998</v>
      </c>
      <c r="GQ137" s="426">
        <f t="shared" si="149"/>
        <v>594917.53399999999</v>
      </c>
      <c r="GR137" s="426">
        <f t="shared" si="150"/>
        <v>0.17399999999999999</v>
      </c>
      <c r="GX137" s="765"/>
      <c r="HB137" s="782" t="s">
        <v>413</v>
      </c>
      <c r="HC137" s="764">
        <v>382249000</v>
      </c>
      <c r="HD137" s="764">
        <v>337559611</v>
      </c>
      <c r="HE137" s="764">
        <v>44689389</v>
      </c>
      <c r="HF137" s="764">
        <v>330133647</v>
      </c>
      <c r="HG137" s="426">
        <f t="shared" si="152"/>
        <v>382249</v>
      </c>
      <c r="HH137" s="426">
        <f t="shared" si="153"/>
        <v>44689.389000000003</v>
      </c>
      <c r="HI137" s="426">
        <f t="shared" si="154"/>
        <v>337559.61099999998</v>
      </c>
      <c r="HJ137" s="426">
        <f t="shared" si="155"/>
        <v>44689.389000000003</v>
      </c>
      <c r="HK137" s="426">
        <f t="shared" si="156"/>
        <v>330133.647</v>
      </c>
    </row>
    <row r="138" spans="1:219" ht="16.5" x14ac:dyDescent="0.3">
      <c r="AU138" s="423" t="s">
        <v>553</v>
      </c>
      <c r="AV138" s="424" t="s">
        <v>421</v>
      </c>
      <c r="AW138" s="425">
        <v>217406000</v>
      </c>
      <c r="AX138" s="425">
        <v>95146325</v>
      </c>
      <c r="AY138" s="425">
        <v>122259675</v>
      </c>
      <c r="AZ138" s="426">
        <f t="shared" si="119"/>
        <v>231102.57799999998</v>
      </c>
      <c r="BA138" s="426">
        <f t="shared" si="120"/>
        <v>101140.543475</v>
      </c>
      <c r="BB138" s="426">
        <f t="shared" si="121"/>
        <v>129962.034525</v>
      </c>
      <c r="BF138" s="423"/>
      <c r="BG138" s="424"/>
      <c r="BH138" s="425"/>
      <c r="BI138" s="426"/>
      <c r="BM138" s="423" t="s">
        <v>355</v>
      </c>
      <c r="BN138" s="424" t="s">
        <v>622</v>
      </c>
      <c r="BO138" s="425">
        <v>217406000</v>
      </c>
      <c r="BP138" s="425">
        <v>217406000</v>
      </c>
      <c r="BQ138" s="425">
        <v>95146325</v>
      </c>
      <c r="BR138" s="425">
        <v>122259675</v>
      </c>
      <c r="BS138" s="425">
        <v>95146325</v>
      </c>
      <c r="BT138" s="426">
        <f t="shared" si="122"/>
        <v>231102.57799999998</v>
      </c>
      <c r="BU138" s="426">
        <f t="shared" si="123"/>
        <v>101140.543475</v>
      </c>
      <c r="BV138" s="426">
        <f t="shared" si="124"/>
        <v>129962.034525</v>
      </c>
      <c r="BW138" s="426">
        <f t="shared" si="125"/>
        <v>101140.543475</v>
      </c>
      <c r="CG138" s="424" t="s">
        <v>420</v>
      </c>
      <c r="CH138" s="425">
        <v>0</v>
      </c>
      <c r="CI138" s="425">
        <v>2263826000</v>
      </c>
      <c r="CJ138" s="425">
        <v>-2263826000</v>
      </c>
      <c r="CK138" s="425">
        <v>1443016375</v>
      </c>
      <c r="CL138" s="425">
        <v>820809625</v>
      </c>
      <c r="CM138" s="425">
        <v>1443016375</v>
      </c>
      <c r="CN138" s="425">
        <f t="shared" si="126"/>
        <v>2406447.0379999997</v>
      </c>
      <c r="CO138" s="425">
        <f t="shared" si="127"/>
        <v>1533926.4066249998</v>
      </c>
      <c r="CP138" s="425">
        <f t="shared" si="128"/>
        <v>872520.631375</v>
      </c>
      <c r="CQ138" s="425">
        <f t="shared" si="129"/>
        <v>1533926.4066249998</v>
      </c>
      <c r="CU138" s="424"/>
      <c r="CV138" s="425"/>
      <c r="CW138" s="425"/>
      <c r="CX138" s="426"/>
      <c r="CY138" s="426"/>
      <c r="DB138" s="568" t="s">
        <v>420</v>
      </c>
      <c r="DC138" s="569">
        <v>2263826000</v>
      </c>
      <c r="DD138" s="569">
        <v>1698604691</v>
      </c>
      <c r="DE138" s="569">
        <v>565221309</v>
      </c>
      <c r="DF138" s="569">
        <v>1698604691</v>
      </c>
      <c r="DG138" s="570">
        <f t="shared" si="130"/>
        <v>2406447.0379999997</v>
      </c>
      <c r="DH138" s="570">
        <f t="shared" si="131"/>
        <v>1805616.7865329999</v>
      </c>
      <c r="DI138" s="570">
        <f t="shared" si="132"/>
        <v>600830.25146699999</v>
      </c>
      <c r="DJ138" s="570">
        <f t="shared" si="133"/>
        <v>1805616.7865329999</v>
      </c>
      <c r="DV138" s="93" t="s">
        <v>418</v>
      </c>
      <c r="DW138" s="94">
        <v>13192408000</v>
      </c>
      <c r="DX138" s="94">
        <v>7541753210</v>
      </c>
      <c r="DY138" s="94">
        <v>5650654790</v>
      </c>
      <c r="DZ138" s="94">
        <v>7541753210</v>
      </c>
      <c r="EA138" s="94">
        <f t="shared" si="134"/>
        <v>14023529.704</v>
      </c>
      <c r="EB138" s="94">
        <f t="shared" si="135"/>
        <v>8016883.6622299999</v>
      </c>
      <c r="EC138" s="94">
        <f t="shared" si="136"/>
        <v>6006646.04177</v>
      </c>
      <c r="ED138" s="94"/>
      <c r="EN138" s="420" t="s">
        <v>620</v>
      </c>
      <c r="EO138" s="426">
        <v>159090000</v>
      </c>
      <c r="EP138" s="426">
        <v>103655380</v>
      </c>
      <c r="EQ138" s="426">
        <v>55434620</v>
      </c>
      <c r="ER138" s="426">
        <v>96505380</v>
      </c>
      <c r="ES138" s="700">
        <f t="shared" si="138"/>
        <v>169112.66999999998</v>
      </c>
      <c r="ET138" s="700">
        <f t="shared" si="139"/>
        <v>110185.66894</v>
      </c>
      <c r="EU138" s="700">
        <f t="shared" si="140"/>
        <v>58927.001060000002</v>
      </c>
      <c r="EV138" s="700">
        <f t="shared" si="141"/>
        <v>102585.21894000001</v>
      </c>
      <c r="FG138" s="735" t="s">
        <v>355</v>
      </c>
      <c r="FH138" s="734" t="s">
        <v>639</v>
      </c>
      <c r="FI138" s="732">
        <v>155587000</v>
      </c>
      <c r="FJ138" s="733">
        <v>592905708</v>
      </c>
      <c r="FK138" s="733">
        <v>-437318708</v>
      </c>
      <c r="FL138" s="733">
        <v>560103764</v>
      </c>
      <c r="FM138" s="426">
        <f t="shared" si="142"/>
        <v>155587</v>
      </c>
      <c r="FN138" s="426">
        <f t="shared" si="143"/>
        <v>592905.70799999998</v>
      </c>
      <c r="FO138" s="426">
        <f t="shared" si="144"/>
        <v>-437318.70799999998</v>
      </c>
      <c r="FP138" s="426">
        <f t="shared" si="145"/>
        <v>560103.76399999997</v>
      </c>
      <c r="GG138" s="762" t="s">
        <v>355</v>
      </c>
      <c r="GH138" s="763" t="s">
        <v>639</v>
      </c>
      <c r="GI138" s="764">
        <v>155587000</v>
      </c>
      <c r="GJ138" s="764">
        <v>594917708</v>
      </c>
      <c r="GK138" s="764">
        <v>-439330708</v>
      </c>
      <c r="GL138" s="764">
        <v>594917534</v>
      </c>
      <c r="GM138" s="764">
        <v>174</v>
      </c>
      <c r="GN138" s="426">
        <f t="shared" si="146"/>
        <v>155587</v>
      </c>
      <c r="GO138" s="426">
        <f t="shared" si="147"/>
        <v>594917.70799999998</v>
      </c>
      <c r="GP138" s="426">
        <f t="shared" si="148"/>
        <v>-439330.70799999998</v>
      </c>
      <c r="GQ138" s="426">
        <f t="shared" si="149"/>
        <v>594917.53399999999</v>
      </c>
      <c r="GR138" s="426">
        <f t="shared" si="150"/>
        <v>0.17399999999999999</v>
      </c>
      <c r="HB138" s="782" t="s">
        <v>614</v>
      </c>
      <c r="HC138" s="764">
        <v>55010000</v>
      </c>
      <c r="HD138" s="764">
        <v>55000000</v>
      </c>
      <c r="HE138" s="764">
        <v>10000</v>
      </c>
      <c r="HF138" s="764">
        <v>55000000</v>
      </c>
      <c r="HG138" s="426">
        <f t="shared" si="152"/>
        <v>55010</v>
      </c>
      <c r="HH138" s="426">
        <f t="shared" si="153"/>
        <v>10</v>
      </c>
      <c r="HI138" s="426">
        <f t="shared" si="154"/>
        <v>55000</v>
      </c>
      <c r="HJ138" s="426">
        <f t="shared" si="155"/>
        <v>10</v>
      </c>
      <c r="HK138" s="426">
        <f t="shared" si="156"/>
        <v>55000</v>
      </c>
    </row>
    <row r="139" spans="1:219" ht="16.5" x14ac:dyDescent="0.3">
      <c r="AU139" s="423" t="s">
        <v>355</v>
      </c>
      <c r="AV139" s="424" t="s">
        <v>422</v>
      </c>
      <c r="AW139" s="425">
        <v>10000</v>
      </c>
      <c r="AX139" s="425">
        <v>339935381</v>
      </c>
      <c r="AY139" s="425">
        <v>-339925381</v>
      </c>
      <c r="AZ139" s="426">
        <f t="shared" si="119"/>
        <v>10.629999999999999</v>
      </c>
      <c r="BA139" s="426">
        <f t="shared" si="120"/>
        <v>361351.31000299996</v>
      </c>
      <c r="BB139" s="426">
        <f t="shared" si="121"/>
        <v>-361340.68000299996</v>
      </c>
      <c r="BF139" s="423"/>
      <c r="BG139" s="424"/>
      <c r="BH139" s="425"/>
      <c r="BI139" s="426"/>
      <c r="BM139" s="423" t="s">
        <v>553</v>
      </c>
      <c r="BN139" s="424" t="s">
        <v>421</v>
      </c>
      <c r="BO139" s="425">
        <v>0</v>
      </c>
      <c r="BP139" s="425">
        <v>217406000</v>
      </c>
      <c r="BQ139" s="425">
        <v>95146325</v>
      </c>
      <c r="BR139" s="425">
        <v>122259675</v>
      </c>
      <c r="BS139" s="425">
        <v>95146325</v>
      </c>
      <c r="BT139" s="426">
        <f t="shared" si="122"/>
        <v>231102.57799999998</v>
      </c>
      <c r="BU139" s="426">
        <f t="shared" si="123"/>
        <v>101140.543475</v>
      </c>
      <c r="BV139" s="426">
        <f t="shared" si="124"/>
        <v>129962.034525</v>
      </c>
      <c r="BW139" s="426">
        <f t="shared" si="125"/>
        <v>101140.543475</v>
      </c>
      <c r="CG139" s="424" t="s">
        <v>621</v>
      </c>
      <c r="CH139" s="425">
        <v>0</v>
      </c>
      <c r="CI139" s="425">
        <v>2263826000</v>
      </c>
      <c r="CJ139" s="425">
        <v>-2263826000</v>
      </c>
      <c r="CK139" s="425">
        <v>1443016375</v>
      </c>
      <c r="CL139" s="425">
        <v>820809625</v>
      </c>
      <c r="CM139" s="425">
        <v>1443016375</v>
      </c>
      <c r="CN139" s="425">
        <f t="shared" si="126"/>
        <v>2406447.0379999997</v>
      </c>
      <c r="CO139" s="425">
        <f t="shared" si="127"/>
        <v>1533926.4066249998</v>
      </c>
      <c r="CP139" s="425">
        <f t="shared" si="128"/>
        <v>872520.631375</v>
      </c>
      <c r="CQ139" s="425">
        <f t="shared" si="129"/>
        <v>1533926.4066249998</v>
      </c>
      <c r="CU139" s="424"/>
      <c r="CV139" s="425"/>
      <c r="CW139" s="425"/>
      <c r="CX139" s="426"/>
      <c r="CY139" s="426"/>
      <c r="DB139" s="568" t="s">
        <v>621</v>
      </c>
      <c r="DC139" s="569">
        <v>2263826000</v>
      </c>
      <c r="DD139" s="569">
        <v>1698604691</v>
      </c>
      <c r="DE139" s="569">
        <v>565221309</v>
      </c>
      <c r="DF139" s="569">
        <v>1698604691</v>
      </c>
      <c r="DG139" s="570">
        <f t="shared" si="130"/>
        <v>2406447.0379999997</v>
      </c>
      <c r="DH139" s="570">
        <f t="shared" si="131"/>
        <v>1805616.7865329999</v>
      </c>
      <c r="DI139" s="570">
        <f t="shared" si="132"/>
        <v>600830.25146699999</v>
      </c>
      <c r="DJ139" s="570">
        <f t="shared" si="133"/>
        <v>1805616.7865329999</v>
      </c>
      <c r="DV139" s="93" t="s">
        <v>419</v>
      </c>
      <c r="DW139" s="94">
        <v>2263826000</v>
      </c>
      <c r="DX139" s="94">
        <v>1698604691</v>
      </c>
      <c r="DY139" s="94">
        <v>565221309</v>
      </c>
      <c r="DZ139" s="94">
        <v>1698604691</v>
      </c>
      <c r="EA139" s="94">
        <f t="shared" si="134"/>
        <v>2406447.0379999997</v>
      </c>
      <c r="EB139" s="94">
        <f t="shared" si="135"/>
        <v>1805616.7865329999</v>
      </c>
      <c r="EC139" s="94">
        <f t="shared" si="136"/>
        <v>600830.25146699999</v>
      </c>
      <c r="ED139" s="94">
        <f t="shared" si="137"/>
        <v>1805616.7865329999</v>
      </c>
      <c r="EN139" s="420" t="s">
        <v>416</v>
      </c>
      <c r="EO139" s="426">
        <v>16009464000</v>
      </c>
      <c r="EP139" s="426">
        <v>9675746883</v>
      </c>
      <c r="EQ139" s="426">
        <v>6333717117</v>
      </c>
      <c r="ER139" s="426">
        <v>9675746883</v>
      </c>
      <c r="ES139" s="700">
        <f t="shared" si="138"/>
        <v>17018060.232000001</v>
      </c>
      <c r="ET139" s="700">
        <f t="shared" si="139"/>
        <v>10285318.936628999</v>
      </c>
      <c r="EU139" s="700">
        <f t="shared" si="140"/>
        <v>6732741.2953709988</v>
      </c>
      <c r="EV139" s="700">
        <f t="shared" si="141"/>
        <v>10285318.936628999</v>
      </c>
      <c r="FG139" s="735" t="s">
        <v>449</v>
      </c>
      <c r="FH139" s="734" t="s">
        <v>618</v>
      </c>
      <c r="FI139" s="732">
        <v>167540000</v>
      </c>
      <c r="FJ139" s="733">
        <v>111976526</v>
      </c>
      <c r="FK139" s="733">
        <v>55563474</v>
      </c>
      <c r="FL139" s="733">
        <v>109239026</v>
      </c>
      <c r="FM139" s="426">
        <f t="shared" si="142"/>
        <v>167540</v>
      </c>
      <c r="FN139" s="426">
        <f t="shared" si="143"/>
        <v>111976.526</v>
      </c>
      <c r="FO139" s="426">
        <f t="shared" si="144"/>
        <v>55563.474000000002</v>
      </c>
      <c r="FP139" s="426">
        <f t="shared" si="145"/>
        <v>109239.026</v>
      </c>
      <c r="GG139" s="762" t="s">
        <v>449</v>
      </c>
      <c r="GH139" s="763" t="s">
        <v>618</v>
      </c>
      <c r="GI139" s="764">
        <v>167540000</v>
      </c>
      <c r="GJ139" s="764">
        <v>125516269</v>
      </c>
      <c r="GK139" s="764">
        <v>42023731</v>
      </c>
      <c r="GL139" s="764">
        <v>109343209</v>
      </c>
      <c r="GM139" s="764">
        <v>16173060</v>
      </c>
      <c r="GN139" s="426">
        <f t="shared" si="146"/>
        <v>167540</v>
      </c>
      <c r="GO139" s="426">
        <f t="shared" si="147"/>
        <v>125516.269</v>
      </c>
      <c r="GP139" s="426">
        <f t="shared" si="148"/>
        <v>42023.731</v>
      </c>
      <c r="GQ139" s="426">
        <f t="shared" si="149"/>
        <v>109343.209</v>
      </c>
      <c r="GR139" s="426">
        <f t="shared" si="150"/>
        <v>16173.06</v>
      </c>
      <c r="HB139" s="782" t="s">
        <v>928</v>
      </c>
      <c r="HC139" s="764">
        <v>70000000</v>
      </c>
      <c r="HD139" s="764">
        <v>70000000</v>
      </c>
      <c r="HE139" s="764">
        <v>0</v>
      </c>
      <c r="HF139" s="764">
        <v>70000000</v>
      </c>
      <c r="HG139" s="426">
        <f t="shared" si="152"/>
        <v>70000</v>
      </c>
      <c r="HH139" s="426">
        <f t="shared" si="153"/>
        <v>0</v>
      </c>
      <c r="HI139" s="426">
        <f t="shared" si="154"/>
        <v>70000</v>
      </c>
      <c r="HJ139" s="426">
        <f t="shared" si="155"/>
        <v>0</v>
      </c>
      <c r="HK139" s="426">
        <f t="shared" si="156"/>
        <v>70000</v>
      </c>
    </row>
    <row r="140" spans="1:219" ht="16.5" x14ac:dyDescent="0.3">
      <c r="AZ140" s="426">
        <f t="shared" si="119"/>
        <v>0</v>
      </c>
      <c r="BA140" s="426">
        <f t="shared" si="120"/>
        <v>0</v>
      </c>
      <c r="BB140" s="426">
        <f t="shared" si="121"/>
        <v>0</v>
      </c>
      <c r="BF140" s="423"/>
      <c r="BG140" s="424"/>
      <c r="BH140" s="425"/>
      <c r="BI140" s="426"/>
      <c r="BM140" s="423" t="s">
        <v>355</v>
      </c>
      <c r="BN140" s="424" t="s">
        <v>422</v>
      </c>
      <c r="BO140" s="425">
        <v>10000</v>
      </c>
      <c r="BP140" s="425">
        <v>10000</v>
      </c>
      <c r="BQ140" s="425">
        <v>339935381</v>
      </c>
      <c r="BR140" s="425">
        <v>-339925381</v>
      </c>
      <c r="BS140" s="425">
        <v>339935381</v>
      </c>
      <c r="BT140" s="426">
        <f t="shared" si="122"/>
        <v>10.629999999999999</v>
      </c>
      <c r="BU140" s="426">
        <f t="shared" si="123"/>
        <v>361351.31000299996</v>
      </c>
      <c r="BV140" s="426">
        <f t="shared" si="124"/>
        <v>-361340.68000299996</v>
      </c>
      <c r="BW140" s="426">
        <f t="shared" si="125"/>
        <v>361351.31000299996</v>
      </c>
      <c r="CG140" s="424" t="s">
        <v>622</v>
      </c>
      <c r="CH140" s="425">
        <v>217406000</v>
      </c>
      <c r="CI140" s="425">
        <v>217406000</v>
      </c>
      <c r="CJ140" s="425">
        <v>0</v>
      </c>
      <c r="CK140" s="425">
        <v>95146325</v>
      </c>
      <c r="CL140" s="425">
        <v>122259675</v>
      </c>
      <c r="CM140" s="425">
        <v>95146325</v>
      </c>
      <c r="CN140" s="425">
        <f t="shared" si="126"/>
        <v>231102.57799999998</v>
      </c>
      <c r="CO140" s="425">
        <f t="shared" si="127"/>
        <v>101140.543475</v>
      </c>
      <c r="CP140" s="425">
        <f t="shared" si="128"/>
        <v>129962.034525</v>
      </c>
      <c r="CQ140" s="425">
        <f t="shared" si="129"/>
        <v>101140.543475</v>
      </c>
      <c r="CU140" s="424"/>
      <c r="CV140" s="425"/>
      <c r="CW140" s="425"/>
      <c r="CX140" s="426"/>
      <c r="CY140" s="426"/>
      <c r="DB140" s="568" t="s">
        <v>622</v>
      </c>
      <c r="DC140" s="569">
        <v>217406000</v>
      </c>
      <c r="DD140" s="569">
        <v>95453601</v>
      </c>
      <c r="DE140" s="569">
        <v>121952399</v>
      </c>
      <c r="DF140" s="569">
        <v>95453601</v>
      </c>
      <c r="DG140" s="570">
        <f t="shared" si="130"/>
        <v>231102.57799999998</v>
      </c>
      <c r="DH140" s="570">
        <f t="shared" si="131"/>
        <v>101467.17786299999</v>
      </c>
      <c r="DI140" s="570">
        <f t="shared" si="132"/>
        <v>129635.400137</v>
      </c>
      <c r="DJ140" s="570">
        <f t="shared" si="133"/>
        <v>101467.17786299999</v>
      </c>
      <c r="DV140" s="93" t="s">
        <v>420</v>
      </c>
      <c r="DW140" s="94">
        <v>2263826000</v>
      </c>
      <c r="DX140" s="94">
        <v>1698604691</v>
      </c>
      <c r="DY140" s="94">
        <v>565221309</v>
      </c>
      <c r="DZ140" s="94">
        <v>1698604691</v>
      </c>
      <c r="EA140" s="94">
        <f t="shared" si="134"/>
        <v>2406447.0379999997</v>
      </c>
      <c r="EB140" s="94">
        <f t="shared" si="135"/>
        <v>1805616.7865329999</v>
      </c>
      <c r="EC140" s="94">
        <f t="shared" si="136"/>
        <v>600830.25146699999</v>
      </c>
      <c r="ED140" s="94"/>
      <c r="EN140" s="420" t="s">
        <v>417</v>
      </c>
      <c r="EO140" s="426">
        <v>13192408000</v>
      </c>
      <c r="EP140" s="426">
        <v>7541753210</v>
      </c>
      <c r="EQ140" s="426">
        <v>5650654790</v>
      </c>
      <c r="ER140" s="426">
        <v>7541753210</v>
      </c>
      <c r="ES140" s="700">
        <f t="shared" si="138"/>
        <v>14023529.704</v>
      </c>
      <c r="ET140" s="700">
        <f t="shared" si="139"/>
        <v>8016883.6622299999</v>
      </c>
      <c r="EU140" s="700">
        <f t="shared" si="140"/>
        <v>6006646.04177</v>
      </c>
      <c r="EV140" s="700">
        <f t="shared" si="141"/>
        <v>8016883.6622299999</v>
      </c>
      <c r="FG140" s="735" t="s">
        <v>355</v>
      </c>
      <c r="FH140" s="734" t="s">
        <v>414</v>
      </c>
      <c r="FI140" s="732">
        <v>8450000</v>
      </c>
      <c r="FJ140" s="733">
        <v>8321146</v>
      </c>
      <c r="FK140" s="733">
        <v>128854</v>
      </c>
      <c r="FL140" s="733">
        <v>8321146</v>
      </c>
      <c r="FM140" s="426">
        <f t="shared" si="142"/>
        <v>8450</v>
      </c>
      <c r="FN140" s="426">
        <f t="shared" si="143"/>
        <v>8321.1460000000006</v>
      </c>
      <c r="FO140" s="426">
        <f t="shared" si="144"/>
        <v>128.85400000000001</v>
      </c>
      <c r="FP140" s="426">
        <f t="shared" si="145"/>
        <v>8321.1460000000006</v>
      </c>
      <c r="GG140" s="762" t="s">
        <v>355</v>
      </c>
      <c r="GH140" s="763" t="s">
        <v>414</v>
      </c>
      <c r="GI140" s="764">
        <v>8450000</v>
      </c>
      <c r="GJ140" s="764">
        <v>8425329</v>
      </c>
      <c r="GK140" s="764">
        <v>24671</v>
      </c>
      <c r="GL140" s="764">
        <v>8425329</v>
      </c>
      <c r="GM140" s="764">
        <v>0</v>
      </c>
      <c r="GN140" s="426">
        <f t="shared" si="146"/>
        <v>8450</v>
      </c>
      <c r="GO140" s="426">
        <f t="shared" si="147"/>
        <v>8425.3289999999997</v>
      </c>
      <c r="GP140" s="426">
        <f t="shared" si="148"/>
        <v>24.670999999999999</v>
      </c>
      <c r="GQ140" s="426">
        <f t="shared" si="149"/>
        <v>8425.3289999999997</v>
      </c>
      <c r="GR140" s="426">
        <f t="shared" si="150"/>
        <v>0</v>
      </c>
      <c r="HB140" s="782" t="s">
        <v>532</v>
      </c>
      <c r="HC140" s="764">
        <v>211852000</v>
      </c>
      <c r="HD140" s="764">
        <v>170279611</v>
      </c>
      <c r="HE140" s="764">
        <v>41572389</v>
      </c>
      <c r="HF140" s="764">
        <v>162853647</v>
      </c>
      <c r="HG140" s="426">
        <f t="shared" si="152"/>
        <v>211852</v>
      </c>
      <c r="HH140" s="426">
        <f t="shared" si="153"/>
        <v>41572.389000000003</v>
      </c>
      <c r="HI140" s="426">
        <f t="shared" si="154"/>
        <v>170279.611</v>
      </c>
      <c r="HJ140" s="426">
        <f t="shared" si="155"/>
        <v>41572.389000000003</v>
      </c>
      <c r="HK140" s="426">
        <f t="shared" si="156"/>
        <v>162853.647</v>
      </c>
    </row>
    <row r="141" spans="1:219" ht="16.5" x14ac:dyDescent="0.3">
      <c r="BF141" s="423"/>
      <c r="BG141" s="424"/>
      <c r="BH141" s="425"/>
      <c r="BI141" s="426"/>
      <c r="BM141" s="430"/>
      <c r="BN141" s="430"/>
      <c r="BO141" s="430"/>
      <c r="BP141" s="430"/>
      <c r="BQ141" s="430"/>
      <c r="BR141" s="430"/>
      <c r="BS141" s="430"/>
      <c r="CG141" s="424" t="s">
        <v>421</v>
      </c>
      <c r="CH141" s="425">
        <v>0</v>
      </c>
      <c r="CI141" s="425">
        <v>217406000</v>
      </c>
      <c r="CJ141" s="425">
        <v>-217406000</v>
      </c>
      <c r="CK141" s="425">
        <v>95146325</v>
      </c>
      <c r="CL141" s="425">
        <v>122259675</v>
      </c>
      <c r="CM141" s="425">
        <v>95146325</v>
      </c>
      <c r="CN141" s="425">
        <f t="shared" si="126"/>
        <v>231102.57799999998</v>
      </c>
      <c r="CO141" s="425">
        <f t="shared" si="127"/>
        <v>101140.543475</v>
      </c>
      <c r="CP141" s="425">
        <f t="shared" si="128"/>
        <v>129962.034525</v>
      </c>
      <c r="CQ141" s="425">
        <f t="shared" si="129"/>
        <v>101140.543475</v>
      </c>
      <c r="CU141" s="424"/>
      <c r="CV141" s="425"/>
      <c r="CW141" s="425"/>
      <c r="CX141" s="426"/>
      <c r="CY141" s="426"/>
      <c r="DB141" s="568" t="s">
        <v>421</v>
      </c>
      <c r="DC141" s="569">
        <v>217406000</v>
      </c>
      <c r="DD141" s="569">
        <v>95453601</v>
      </c>
      <c r="DE141" s="569">
        <v>121952399</v>
      </c>
      <c r="DF141" s="569">
        <v>95453601</v>
      </c>
      <c r="DG141" s="570">
        <f t="shared" si="130"/>
        <v>231102.57799999998</v>
      </c>
      <c r="DH141" s="570">
        <f t="shared" si="131"/>
        <v>101467.17786299999</v>
      </c>
      <c r="DI141" s="570">
        <f t="shared" si="132"/>
        <v>129635.400137</v>
      </c>
      <c r="DJ141" s="570">
        <f t="shared" si="133"/>
        <v>101467.17786299999</v>
      </c>
      <c r="DV141" s="93" t="s">
        <v>621</v>
      </c>
      <c r="DW141" s="94">
        <v>2263826000</v>
      </c>
      <c r="DX141" s="94">
        <v>1698604691</v>
      </c>
      <c r="DY141" s="94">
        <v>565221309</v>
      </c>
      <c r="DZ141" s="94">
        <v>1698604691</v>
      </c>
      <c r="EA141" s="94">
        <f t="shared" si="134"/>
        <v>2406447.0379999997</v>
      </c>
      <c r="EB141" s="94">
        <f t="shared" si="135"/>
        <v>1805616.7865329999</v>
      </c>
      <c r="EC141" s="94">
        <f t="shared" si="136"/>
        <v>600830.25146699999</v>
      </c>
      <c r="ED141" s="94"/>
      <c r="EN141" s="420" t="s">
        <v>418</v>
      </c>
      <c r="EO141" s="426">
        <v>13192408000</v>
      </c>
      <c r="EP141" s="426">
        <v>7541753210</v>
      </c>
      <c r="EQ141" s="426">
        <v>5650654790</v>
      </c>
      <c r="ER141" s="426">
        <v>7541753210</v>
      </c>
      <c r="ES141" s="700">
        <f t="shared" si="138"/>
        <v>14023529.704</v>
      </c>
      <c r="ET141" s="700">
        <f t="shared" si="139"/>
        <v>8016883.6622299999</v>
      </c>
      <c r="EU141" s="700">
        <f t="shared" si="140"/>
        <v>6006646.04177</v>
      </c>
      <c r="EV141" s="700">
        <f t="shared" si="141"/>
        <v>8016883.6622299999</v>
      </c>
      <c r="FG141" s="735" t="s">
        <v>553</v>
      </c>
      <c r="FH141" s="734" t="s">
        <v>619</v>
      </c>
      <c r="FI141" s="732">
        <v>8450000</v>
      </c>
      <c r="FJ141" s="733">
        <v>8321146</v>
      </c>
      <c r="FK141" s="733">
        <v>128854</v>
      </c>
      <c r="FL141" s="733">
        <v>8321146</v>
      </c>
      <c r="FM141" s="426">
        <f t="shared" si="142"/>
        <v>8450</v>
      </c>
      <c r="FN141" s="426">
        <f t="shared" si="143"/>
        <v>8321.1460000000006</v>
      </c>
      <c r="FO141" s="426">
        <f t="shared" si="144"/>
        <v>128.85400000000001</v>
      </c>
      <c r="FP141" s="426">
        <f t="shared" si="145"/>
        <v>8321.1460000000006</v>
      </c>
      <c r="GG141" s="762" t="s">
        <v>553</v>
      </c>
      <c r="GH141" s="763" t="s">
        <v>619</v>
      </c>
      <c r="GI141" s="764">
        <v>8450000</v>
      </c>
      <c r="GJ141" s="764">
        <v>8425329</v>
      </c>
      <c r="GK141" s="764">
        <v>24671</v>
      </c>
      <c r="GL141" s="764">
        <v>8425329</v>
      </c>
      <c r="GM141" s="764">
        <v>0</v>
      </c>
      <c r="GN141" s="426">
        <f t="shared" si="146"/>
        <v>8450</v>
      </c>
      <c r="GO141" s="426">
        <f t="shared" si="147"/>
        <v>8425.3289999999997</v>
      </c>
      <c r="GP141" s="426">
        <f t="shared" si="148"/>
        <v>24.670999999999999</v>
      </c>
      <c r="GQ141" s="426">
        <f t="shared" si="149"/>
        <v>8425.3289999999997</v>
      </c>
      <c r="GR141" s="426">
        <f t="shared" si="150"/>
        <v>0</v>
      </c>
      <c r="HB141" s="782" t="s">
        <v>531</v>
      </c>
      <c r="HC141" s="764">
        <v>45387000</v>
      </c>
      <c r="HD141" s="764">
        <v>42280000</v>
      </c>
      <c r="HE141" s="764">
        <v>3107000</v>
      </c>
      <c r="HF141" s="764">
        <v>42280000</v>
      </c>
      <c r="HG141" s="426">
        <f t="shared" si="152"/>
        <v>45387</v>
      </c>
      <c r="HH141" s="426">
        <f t="shared" si="153"/>
        <v>3107</v>
      </c>
      <c r="HI141" s="426">
        <f t="shared" si="154"/>
        <v>42280</v>
      </c>
      <c r="HJ141" s="426">
        <f t="shared" si="155"/>
        <v>3107</v>
      </c>
      <c r="HK141" s="426">
        <f t="shared" si="156"/>
        <v>42280</v>
      </c>
    </row>
    <row r="142" spans="1:219" ht="30" x14ac:dyDescent="0.3">
      <c r="BF142" s="423"/>
      <c r="BG142" s="424"/>
      <c r="BH142" s="425"/>
      <c r="BI142" s="426"/>
      <c r="CG142" s="424" t="s">
        <v>422</v>
      </c>
      <c r="CH142" s="425">
        <v>335824000</v>
      </c>
      <c r="CI142" s="425">
        <v>335824000</v>
      </c>
      <c r="CJ142" s="425">
        <v>0</v>
      </c>
      <c r="CK142" s="425">
        <v>339935381</v>
      </c>
      <c r="CL142" s="425">
        <v>-4111381</v>
      </c>
      <c r="CM142" s="425">
        <v>339935381</v>
      </c>
      <c r="CN142" s="425">
        <f t="shared" si="126"/>
        <v>356980.91199999995</v>
      </c>
      <c r="CO142" s="425">
        <f t="shared" si="127"/>
        <v>361351.31000299996</v>
      </c>
      <c r="CP142" s="425">
        <f t="shared" si="128"/>
        <v>-4370.3980030000002</v>
      </c>
      <c r="CQ142" s="425">
        <f t="shared" si="129"/>
        <v>361351.31000299996</v>
      </c>
      <c r="CU142" s="424"/>
      <c r="CV142" s="425"/>
      <c r="CW142" s="425"/>
      <c r="CX142" s="426"/>
      <c r="CY142" s="426"/>
      <c r="DB142" s="568" t="s">
        <v>422</v>
      </c>
      <c r="DC142" s="569">
        <v>335824000</v>
      </c>
      <c r="DD142" s="569">
        <v>339935381</v>
      </c>
      <c r="DE142" s="569">
        <v>-4111381</v>
      </c>
      <c r="DF142" s="569">
        <v>339935381</v>
      </c>
      <c r="DG142" s="570">
        <f t="shared" si="130"/>
        <v>356980.91199999995</v>
      </c>
      <c r="DH142" s="570">
        <f t="shared" si="131"/>
        <v>361351.31000299996</v>
      </c>
      <c r="DI142" s="570">
        <f t="shared" si="132"/>
        <v>-4370.3980030000002</v>
      </c>
      <c r="DJ142" s="570">
        <f t="shared" si="133"/>
        <v>361351.31000299996</v>
      </c>
      <c r="DV142" s="93" t="s">
        <v>622</v>
      </c>
      <c r="DW142" s="94">
        <v>217406000</v>
      </c>
      <c r="DX142" s="94">
        <v>95453601</v>
      </c>
      <c r="DY142" s="94">
        <v>121952399</v>
      </c>
      <c r="DZ142" s="94">
        <v>95453601</v>
      </c>
      <c r="EA142" s="94">
        <f t="shared" si="134"/>
        <v>231102.57799999998</v>
      </c>
      <c r="EB142" s="94">
        <f t="shared" si="135"/>
        <v>101467.17786299999</v>
      </c>
      <c r="EC142" s="94">
        <f t="shared" si="136"/>
        <v>129635.400137</v>
      </c>
      <c r="ED142" s="94">
        <f t="shared" si="137"/>
        <v>101467.17786299999</v>
      </c>
      <c r="EN142" s="420" t="s">
        <v>419</v>
      </c>
      <c r="EO142" s="426">
        <v>2263826000</v>
      </c>
      <c r="EP142" s="426">
        <v>1698604691</v>
      </c>
      <c r="EQ142" s="426">
        <v>565221309</v>
      </c>
      <c r="ER142" s="426">
        <v>1698604691</v>
      </c>
      <c r="ES142" s="700">
        <f t="shared" si="138"/>
        <v>2406447.0379999997</v>
      </c>
      <c r="ET142" s="700">
        <f t="shared" si="139"/>
        <v>1805616.7865329999</v>
      </c>
      <c r="EU142" s="700">
        <f t="shared" si="140"/>
        <v>600830.25146699999</v>
      </c>
      <c r="EV142" s="700">
        <f t="shared" si="141"/>
        <v>1805616.7865329999</v>
      </c>
      <c r="FG142" s="735" t="s">
        <v>355</v>
      </c>
      <c r="FH142" s="734" t="s">
        <v>415</v>
      </c>
      <c r="FI142" s="732">
        <v>159090000</v>
      </c>
      <c r="FJ142" s="733">
        <v>103655380</v>
      </c>
      <c r="FK142" s="733">
        <v>55434620</v>
      </c>
      <c r="FL142" s="733">
        <v>100917880</v>
      </c>
      <c r="FM142" s="426">
        <f t="shared" si="142"/>
        <v>159090</v>
      </c>
      <c r="FN142" s="426">
        <f t="shared" si="143"/>
        <v>103655.38</v>
      </c>
      <c r="FO142" s="426">
        <f t="shared" si="144"/>
        <v>55434.62</v>
      </c>
      <c r="FP142" s="426">
        <f t="shared" si="145"/>
        <v>100917.88</v>
      </c>
      <c r="GG142" s="762" t="s">
        <v>355</v>
      </c>
      <c r="GH142" s="763" t="s">
        <v>415</v>
      </c>
      <c r="GI142" s="764">
        <v>159090000</v>
      </c>
      <c r="GJ142" s="764">
        <v>117090940</v>
      </c>
      <c r="GK142" s="764">
        <v>41999060</v>
      </c>
      <c r="GL142" s="764">
        <v>100917880</v>
      </c>
      <c r="GM142" s="764">
        <v>16173060</v>
      </c>
      <c r="GN142" s="426">
        <f t="shared" si="146"/>
        <v>159090</v>
      </c>
      <c r="GO142" s="426">
        <f t="shared" si="147"/>
        <v>117090.94</v>
      </c>
      <c r="GP142" s="426">
        <f t="shared" si="148"/>
        <v>41999.06</v>
      </c>
      <c r="GQ142" s="426">
        <f t="shared" si="149"/>
        <v>100917.88</v>
      </c>
      <c r="GR142" s="426">
        <f t="shared" si="150"/>
        <v>16173.06</v>
      </c>
      <c r="HB142" s="782" t="s">
        <v>495</v>
      </c>
      <c r="HC142" s="764">
        <v>174500000</v>
      </c>
      <c r="HD142" s="764">
        <v>164790280</v>
      </c>
      <c r="HE142" s="764">
        <v>9709720</v>
      </c>
      <c r="HF142" s="764">
        <v>164790280</v>
      </c>
      <c r="HG142" s="426">
        <f t="shared" si="152"/>
        <v>174500</v>
      </c>
      <c r="HH142" s="426">
        <f t="shared" si="153"/>
        <v>9709.7199999999993</v>
      </c>
      <c r="HI142" s="426">
        <f t="shared" si="154"/>
        <v>164790.28</v>
      </c>
      <c r="HJ142" s="426">
        <f t="shared" si="155"/>
        <v>9709.7199999999993</v>
      </c>
      <c r="HK142" s="426">
        <f t="shared" si="156"/>
        <v>164790.28</v>
      </c>
    </row>
    <row r="143" spans="1:219" ht="16.5" x14ac:dyDescent="0.3">
      <c r="BF143" s="430"/>
      <c r="BG143" s="430"/>
      <c r="BH143" s="430"/>
      <c r="CU143" s="424"/>
      <c r="CV143" s="425"/>
      <c r="CW143" s="425"/>
      <c r="CX143" s="426"/>
      <c r="CY143" s="426"/>
      <c r="DB143" s="568"/>
      <c r="DC143" s="569"/>
      <c r="DD143" s="569"/>
      <c r="DE143" s="569"/>
      <c r="DF143" s="569"/>
      <c r="DG143" s="570">
        <f t="shared" si="130"/>
        <v>0</v>
      </c>
      <c r="DH143" s="570">
        <f t="shared" si="131"/>
        <v>0</v>
      </c>
      <c r="DI143" s="570">
        <f t="shared" si="132"/>
        <v>0</v>
      </c>
      <c r="DJ143" s="570">
        <f t="shared" si="133"/>
        <v>0</v>
      </c>
      <c r="DV143" s="93" t="s">
        <v>421</v>
      </c>
      <c r="DW143" s="94">
        <v>217406000</v>
      </c>
      <c r="DX143" s="94">
        <v>95453601</v>
      </c>
      <c r="DY143" s="94">
        <v>121952399</v>
      </c>
      <c r="DZ143" s="94">
        <v>95453601</v>
      </c>
      <c r="EA143" s="94">
        <f t="shared" si="134"/>
        <v>231102.57799999998</v>
      </c>
      <c r="EB143" s="94">
        <f t="shared" si="135"/>
        <v>101467.17786299999</v>
      </c>
      <c r="EC143" s="94">
        <f t="shared" si="136"/>
        <v>129635.400137</v>
      </c>
      <c r="ED143" s="94"/>
      <c r="EN143" s="420" t="s">
        <v>420</v>
      </c>
      <c r="EO143" s="426">
        <v>2263826000</v>
      </c>
      <c r="EP143" s="426">
        <v>1698604691</v>
      </c>
      <c r="EQ143" s="426">
        <v>565221309</v>
      </c>
      <c r="ER143" s="426">
        <v>1698604691</v>
      </c>
      <c r="ES143" s="700">
        <f t="shared" si="138"/>
        <v>2406447.0379999997</v>
      </c>
      <c r="ET143" s="700">
        <f t="shared" si="139"/>
        <v>1805616.7865329999</v>
      </c>
      <c r="EU143" s="700">
        <f t="shared" si="140"/>
        <v>600830.25146699999</v>
      </c>
      <c r="EV143" s="700">
        <f t="shared" si="141"/>
        <v>1805616.7865329999</v>
      </c>
      <c r="FG143" s="735" t="s">
        <v>553</v>
      </c>
      <c r="FH143" s="734" t="s">
        <v>620</v>
      </c>
      <c r="FI143" s="732">
        <v>159090000</v>
      </c>
      <c r="FJ143" s="733">
        <v>103655380</v>
      </c>
      <c r="FK143" s="733">
        <v>55434620</v>
      </c>
      <c r="FL143" s="733">
        <v>100917880</v>
      </c>
      <c r="FM143" s="426">
        <f t="shared" si="142"/>
        <v>159090</v>
      </c>
      <c r="FN143" s="426">
        <f t="shared" si="143"/>
        <v>103655.38</v>
      </c>
      <c r="FO143" s="426">
        <f t="shared" si="144"/>
        <v>55434.62</v>
      </c>
      <c r="FP143" s="426">
        <f t="shared" si="145"/>
        <v>100917.88</v>
      </c>
      <c r="GG143" s="762" t="s">
        <v>553</v>
      </c>
      <c r="GH143" s="763" t="s">
        <v>620</v>
      </c>
      <c r="GI143" s="764">
        <v>140590000</v>
      </c>
      <c r="GJ143" s="764">
        <v>117090940</v>
      </c>
      <c r="GK143" s="764">
        <v>23499060</v>
      </c>
      <c r="GL143" s="764">
        <v>100917880</v>
      </c>
      <c r="GM143" s="764">
        <v>16173060</v>
      </c>
      <c r="GN143" s="426">
        <f t="shared" si="146"/>
        <v>140590</v>
      </c>
      <c r="GO143" s="426">
        <f t="shared" si="147"/>
        <v>117090.94</v>
      </c>
      <c r="GP143" s="426">
        <f t="shared" si="148"/>
        <v>23499.06</v>
      </c>
      <c r="GQ143" s="426">
        <f t="shared" si="149"/>
        <v>100917.88</v>
      </c>
      <c r="GR143" s="426">
        <f t="shared" si="150"/>
        <v>16173.06</v>
      </c>
      <c r="HB143" s="782" t="s">
        <v>615</v>
      </c>
      <c r="HC143" s="764">
        <v>6000000</v>
      </c>
      <c r="HD143" s="764">
        <v>4762680</v>
      </c>
      <c r="HE143" s="764">
        <v>1237320</v>
      </c>
      <c r="HF143" s="764">
        <v>4762680</v>
      </c>
      <c r="HG143" s="426">
        <f t="shared" si="152"/>
        <v>6000</v>
      </c>
      <c r="HH143" s="426">
        <f t="shared" si="153"/>
        <v>1237.32</v>
      </c>
      <c r="HI143" s="426">
        <f t="shared" si="154"/>
        <v>4762.68</v>
      </c>
      <c r="HJ143" s="426">
        <f t="shared" si="155"/>
        <v>1237.32</v>
      </c>
      <c r="HK143" s="426">
        <f t="shared" si="156"/>
        <v>4762.68</v>
      </c>
    </row>
    <row r="144" spans="1:219" ht="16.5" x14ac:dyDescent="0.3">
      <c r="BF144" s="430"/>
      <c r="BG144" s="430"/>
      <c r="BH144" s="430"/>
      <c r="CU144" s="424"/>
      <c r="CV144" s="425"/>
      <c r="CW144" s="425"/>
      <c r="CX144" s="426"/>
      <c r="CY144" s="426"/>
      <c r="DB144" s="568"/>
      <c r="DC144" s="569"/>
      <c r="DD144" s="569"/>
      <c r="DE144" s="569"/>
      <c r="DF144" s="569"/>
      <c r="DG144" s="570">
        <f t="shared" si="130"/>
        <v>0</v>
      </c>
      <c r="DH144" s="570">
        <f t="shared" si="131"/>
        <v>0</v>
      </c>
      <c r="DI144" s="570">
        <f t="shared" si="132"/>
        <v>0</v>
      </c>
      <c r="DJ144" s="570">
        <f t="shared" si="133"/>
        <v>0</v>
      </c>
      <c r="DV144" s="93" t="s">
        <v>422</v>
      </c>
      <c r="DW144" s="94">
        <v>335824000</v>
      </c>
      <c r="DX144" s="94">
        <v>339935381</v>
      </c>
      <c r="DY144" s="94">
        <v>-4111381</v>
      </c>
      <c r="DZ144" s="94">
        <v>339935381</v>
      </c>
      <c r="EA144" s="94">
        <f t="shared" si="134"/>
        <v>356980.91199999995</v>
      </c>
      <c r="EB144" s="94">
        <f t="shared" si="135"/>
        <v>361351.31000299996</v>
      </c>
      <c r="EC144" s="94">
        <f t="shared" si="136"/>
        <v>-4370.3980030000002</v>
      </c>
      <c r="ED144" s="94">
        <f t="shared" si="137"/>
        <v>361351.31000299996</v>
      </c>
      <c r="EN144" s="420" t="s">
        <v>621</v>
      </c>
      <c r="EO144" s="426">
        <v>2263826000</v>
      </c>
      <c r="EP144" s="426">
        <v>1698604691</v>
      </c>
      <c r="EQ144" s="426">
        <v>565221309</v>
      </c>
      <c r="ER144" s="426">
        <v>1698604691</v>
      </c>
      <c r="ES144" s="700">
        <f t="shared" si="138"/>
        <v>2406447.0379999997</v>
      </c>
      <c r="ET144" s="700">
        <f t="shared" si="139"/>
        <v>1805616.7865329999</v>
      </c>
      <c r="EU144" s="700">
        <f t="shared" si="140"/>
        <v>600830.25146699999</v>
      </c>
      <c r="EV144" s="700">
        <f t="shared" si="141"/>
        <v>1805616.7865329999</v>
      </c>
      <c r="FG144" s="735" t="s">
        <v>449</v>
      </c>
      <c r="FH144" s="734" t="s">
        <v>416</v>
      </c>
      <c r="FI144" s="732">
        <v>16009464000</v>
      </c>
      <c r="FJ144" s="733">
        <v>11188753619</v>
      </c>
      <c r="FK144" s="733">
        <v>4820710381</v>
      </c>
      <c r="FL144" s="733">
        <v>11188753619</v>
      </c>
      <c r="FM144" s="426">
        <f t="shared" si="142"/>
        <v>16009464</v>
      </c>
      <c r="FN144" s="426">
        <f t="shared" si="143"/>
        <v>11188753.619000001</v>
      </c>
      <c r="FO144" s="426">
        <f t="shared" si="144"/>
        <v>4820710.3810000001</v>
      </c>
      <c r="FP144" s="426">
        <f t="shared" si="145"/>
        <v>11188753.619000001</v>
      </c>
      <c r="GG144" s="762" t="s">
        <v>553</v>
      </c>
      <c r="GH144" s="763" t="s">
        <v>914</v>
      </c>
      <c r="GI144" s="764">
        <v>18500000</v>
      </c>
      <c r="GJ144" s="764">
        <v>0</v>
      </c>
      <c r="GK144" s="764">
        <v>18500000</v>
      </c>
      <c r="GL144" s="764">
        <v>0</v>
      </c>
      <c r="GM144" s="764">
        <v>0</v>
      </c>
      <c r="GN144" s="426">
        <f t="shared" si="146"/>
        <v>18500</v>
      </c>
      <c r="GO144" s="426">
        <f t="shared" si="147"/>
        <v>0</v>
      </c>
      <c r="GP144" s="426">
        <f t="shared" si="148"/>
        <v>18500</v>
      </c>
      <c r="GQ144" s="426">
        <f t="shared" si="149"/>
        <v>0</v>
      </c>
      <c r="GR144" s="426">
        <f t="shared" si="150"/>
        <v>0</v>
      </c>
      <c r="HB144" s="782" t="s">
        <v>616</v>
      </c>
      <c r="HC144" s="764">
        <v>125000000</v>
      </c>
      <c r="HD144" s="764">
        <v>120027600</v>
      </c>
      <c r="HE144" s="764">
        <v>4972400</v>
      </c>
      <c r="HF144" s="764">
        <v>120027600</v>
      </c>
      <c r="HG144" s="426">
        <f t="shared" si="152"/>
        <v>125000</v>
      </c>
      <c r="HH144" s="426">
        <f t="shared" si="153"/>
        <v>4972.3999999999996</v>
      </c>
      <c r="HI144" s="426">
        <f t="shared" si="154"/>
        <v>120027.6</v>
      </c>
      <c r="HJ144" s="426">
        <f t="shared" si="155"/>
        <v>4972.3999999999996</v>
      </c>
      <c r="HK144" s="426">
        <f t="shared" si="156"/>
        <v>120027.6</v>
      </c>
    </row>
    <row r="145" spans="99:219" ht="16.5" x14ac:dyDescent="0.3">
      <c r="CU145" s="424"/>
      <c r="CV145" s="425"/>
      <c r="CW145" s="425"/>
      <c r="CX145" s="426"/>
      <c r="CY145" s="426"/>
      <c r="DB145" s="568"/>
      <c r="DC145" s="569"/>
      <c r="DD145" s="569"/>
      <c r="DE145" s="569"/>
      <c r="DF145" s="569"/>
      <c r="DG145" s="570">
        <f t="shared" si="130"/>
        <v>0</v>
      </c>
      <c r="DH145" s="570">
        <f t="shared" si="131"/>
        <v>0</v>
      </c>
      <c r="DI145" s="570">
        <f t="shared" si="132"/>
        <v>0</v>
      </c>
      <c r="DJ145" s="570">
        <f t="shared" si="133"/>
        <v>0</v>
      </c>
      <c r="ED145" s="1603">
        <f>SUM(ED3:ED144)</f>
        <v>69072475.773036957</v>
      </c>
      <c r="EN145" s="420" t="s">
        <v>622</v>
      </c>
      <c r="EO145" s="426">
        <v>217406000</v>
      </c>
      <c r="EP145" s="426">
        <v>95453601</v>
      </c>
      <c r="EQ145" s="426">
        <v>121952399</v>
      </c>
      <c r="ER145" s="426">
        <v>95453601</v>
      </c>
      <c r="ES145" s="700">
        <f t="shared" si="138"/>
        <v>231102.57799999998</v>
      </c>
      <c r="ET145" s="700">
        <f t="shared" si="139"/>
        <v>101467.17786299999</v>
      </c>
      <c r="EU145" s="700">
        <f t="shared" si="140"/>
        <v>129635.400137</v>
      </c>
      <c r="EV145" s="700">
        <f t="shared" si="141"/>
        <v>101467.17786299999</v>
      </c>
      <c r="FG145" s="735" t="s">
        <v>355</v>
      </c>
      <c r="FH145" s="734" t="s">
        <v>417</v>
      </c>
      <c r="FI145" s="732">
        <v>13192408000</v>
      </c>
      <c r="FJ145" s="733">
        <v>8987172299</v>
      </c>
      <c r="FK145" s="733">
        <v>4205235701</v>
      </c>
      <c r="FL145" s="733">
        <v>8987172299</v>
      </c>
      <c r="FM145" s="426">
        <f t="shared" si="142"/>
        <v>13192408</v>
      </c>
      <c r="FN145" s="426">
        <f t="shared" si="143"/>
        <v>8987172.2990000006</v>
      </c>
      <c r="FO145" s="426">
        <f t="shared" si="144"/>
        <v>4205235.7010000004</v>
      </c>
      <c r="FP145" s="426">
        <f t="shared" si="145"/>
        <v>8987172.2990000006</v>
      </c>
      <c r="GG145" s="762" t="s">
        <v>449</v>
      </c>
      <c r="GH145" s="763" t="s">
        <v>416</v>
      </c>
      <c r="GI145" s="764">
        <v>16009464000</v>
      </c>
      <c r="GJ145" s="764">
        <v>11188753619</v>
      </c>
      <c r="GK145" s="764">
        <v>4820710381</v>
      </c>
      <c r="GL145" s="764">
        <v>11188753619</v>
      </c>
      <c r="GM145" s="764">
        <v>0</v>
      </c>
      <c r="GN145" s="426">
        <f t="shared" si="146"/>
        <v>16009464</v>
      </c>
      <c r="GO145" s="426">
        <f t="shared" si="147"/>
        <v>11188753.619000001</v>
      </c>
      <c r="GP145" s="426">
        <f t="shared" si="148"/>
        <v>4820710.3810000001</v>
      </c>
      <c r="GQ145" s="426">
        <f t="shared" si="149"/>
        <v>11188753.619000001</v>
      </c>
      <c r="GR145" s="426">
        <f t="shared" si="150"/>
        <v>0</v>
      </c>
      <c r="HB145" s="782" t="s">
        <v>617</v>
      </c>
      <c r="HC145" s="764">
        <v>3500000</v>
      </c>
      <c r="HD145" s="764">
        <v>0</v>
      </c>
      <c r="HE145" s="764">
        <v>3500000</v>
      </c>
      <c r="HF145" s="764">
        <v>0</v>
      </c>
      <c r="HG145" s="426">
        <f t="shared" si="152"/>
        <v>3500</v>
      </c>
      <c r="HH145" s="426">
        <f t="shared" si="153"/>
        <v>3500</v>
      </c>
      <c r="HI145" s="426">
        <f t="shared" si="154"/>
        <v>0</v>
      </c>
      <c r="HJ145" s="426">
        <f t="shared" si="155"/>
        <v>3500</v>
      </c>
      <c r="HK145" s="426">
        <f t="shared" si="156"/>
        <v>0</v>
      </c>
    </row>
    <row r="146" spans="99:219" ht="16.5" x14ac:dyDescent="0.3">
      <c r="CU146" s="424"/>
      <c r="CV146" s="425"/>
      <c r="CW146" s="425"/>
      <c r="CX146" s="426"/>
      <c r="CY146" s="426"/>
      <c r="DB146" s="568"/>
      <c r="DC146" s="569"/>
      <c r="DD146" s="569"/>
      <c r="DE146" s="569"/>
      <c r="DF146" s="569"/>
      <c r="DG146" s="570">
        <f t="shared" si="130"/>
        <v>0</v>
      </c>
      <c r="DH146" s="570">
        <f t="shared" si="131"/>
        <v>0</v>
      </c>
      <c r="DI146" s="570">
        <f t="shared" si="132"/>
        <v>0</v>
      </c>
      <c r="DJ146" s="570">
        <f t="shared" si="133"/>
        <v>0</v>
      </c>
      <c r="ED146" s="1604"/>
      <c r="EN146" s="420" t="s">
        <v>421</v>
      </c>
      <c r="EO146" s="426">
        <v>217406000</v>
      </c>
      <c r="EP146" s="426">
        <v>95453601</v>
      </c>
      <c r="EQ146" s="426">
        <v>121952399</v>
      </c>
      <c r="ER146" s="426">
        <v>95453601</v>
      </c>
      <c r="ES146" s="700">
        <f t="shared" si="138"/>
        <v>231102.57799999998</v>
      </c>
      <c r="ET146" s="700">
        <f t="shared" si="139"/>
        <v>101467.17786299999</v>
      </c>
      <c r="EU146" s="700">
        <f t="shared" si="140"/>
        <v>129635.400137</v>
      </c>
      <c r="EV146" s="700">
        <f t="shared" si="141"/>
        <v>101467.17786299999</v>
      </c>
      <c r="FG146" s="735" t="s">
        <v>553</v>
      </c>
      <c r="FH146" s="734" t="s">
        <v>418</v>
      </c>
      <c r="FI146" s="732">
        <v>13192408000</v>
      </c>
      <c r="FJ146" s="733">
        <v>8987172299</v>
      </c>
      <c r="FK146" s="733">
        <v>4205235701</v>
      </c>
      <c r="FL146" s="733">
        <v>8987172299</v>
      </c>
      <c r="FM146" s="426">
        <f t="shared" si="142"/>
        <v>13192408</v>
      </c>
      <c r="FN146" s="426">
        <f t="shared" si="143"/>
        <v>8987172.2990000006</v>
      </c>
      <c r="FO146" s="426">
        <f t="shared" si="144"/>
        <v>4205235.7010000004</v>
      </c>
      <c r="FP146" s="426">
        <f t="shared" si="145"/>
        <v>8987172.2990000006</v>
      </c>
      <c r="GG146" s="762" t="s">
        <v>355</v>
      </c>
      <c r="GH146" s="763" t="s">
        <v>417</v>
      </c>
      <c r="GI146" s="764">
        <v>13192408000</v>
      </c>
      <c r="GJ146" s="764">
        <v>8987172299</v>
      </c>
      <c r="GK146" s="764">
        <v>4205235701</v>
      </c>
      <c r="GL146" s="764">
        <v>8987172299</v>
      </c>
      <c r="GM146" s="764">
        <v>0</v>
      </c>
      <c r="GN146" s="426">
        <f t="shared" si="146"/>
        <v>13192408</v>
      </c>
      <c r="GO146" s="426">
        <f t="shared" si="147"/>
        <v>8987172.2990000006</v>
      </c>
      <c r="GP146" s="426">
        <f t="shared" si="148"/>
        <v>4205235.7010000004</v>
      </c>
      <c r="GQ146" s="426">
        <f t="shared" si="149"/>
        <v>8987172.2990000006</v>
      </c>
      <c r="GR146" s="426">
        <f t="shared" si="150"/>
        <v>0</v>
      </c>
      <c r="HB146" s="782" t="s">
        <v>904</v>
      </c>
      <c r="HC146" s="764">
        <v>40000000</v>
      </c>
      <c r="HD146" s="764">
        <v>40000000</v>
      </c>
      <c r="HE146" s="764">
        <v>0</v>
      </c>
      <c r="HF146" s="764">
        <v>40000000</v>
      </c>
      <c r="HG146" s="426">
        <f t="shared" si="152"/>
        <v>40000</v>
      </c>
      <c r="HH146" s="426">
        <f t="shared" si="153"/>
        <v>0</v>
      </c>
      <c r="HI146" s="426">
        <f t="shared" si="154"/>
        <v>40000</v>
      </c>
      <c r="HJ146" s="426">
        <f t="shared" si="155"/>
        <v>0</v>
      </c>
      <c r="HK146" s="426">
        <f t="shared" si="156"/>
        <v>40000</v>
      </c>
    </row>
    <row r="147" spans="99:219" ht="16.5" x14ac:dyDescent="0.3">
      <c r="CU147" s="424"/>
      <c r="CV147" s="425"/>
      <c r="CW147" s="425"/>
      <c r="CX147" s="426"/>
      <c r="CY147" s="426"/>
      <c r="DB147" s="568"/>
      <c r="DC147" s="569"/>
      <c r="DD147" s="569"/>
      <c r="DE147" s="569"/>
      <c r="DF147" s="569"/>
      <c r="DG147" s="570">
        <f t="shared" si="130"/>
        <v>0</v>
      </c>
      <c r="DH147" s="570">
        <f t="shared" si="131"/>
        <v>0</v>
      </c>
      <c r="DI147" s="570">
        <f t="shared" si="132"/>
        <v>0</v>
      </c>
      <c r="DJ147" s="570">
        <f t="shared" si="133"/>
        <v>0</v>
      </c>
      <c r="EN147" s="420" t="s">
        <v>422</v>
      </c>
      <c r="EO147" s="426">
        <v>335824000</v>
      </c>
      <c r="EP147" s="426">
        <v>339935381</v>
      </c>
      <c r="EQ147" s="426">
        <v>-4111381</v>
      </c>
      <c r="ER147" s="426">
        <v>339935381</v>
      </c>
      <c r="ES147" s="700">
        <f t="shared" si="138"/>
        <v>356980.91199999995</v>
      </c>
      <c r="ET147" s="700">
        <f t="shared" si="139"/>
        <v>361351.31000299996</v>
      </c>
      <c r="EU147" s="700">
        <f t="shared" si="140"/>
        <v>-4370.3980030000002</v>
      </c>
      <c r="EV147" s="700">
        <f t="shared" si="141"/>
        <v>361351.31000299996</v>
      </c>
      <c r="FG147" s="735" t="s">
        <v>355</v>
      </c>
      <c r="FH147" s="734" t="s">
        <v>419</v>
      </c>
      <c r="FI147" s="732">
        <v>2263826000</v>
      </c>
      <c r="FJ147" s="733">
        <v>1766192338</v>
      </c>
      <c r="FK147" s="733">
        <v>497633662</v>
      </c>
      <c r="FL147" s="733">
        <v>1766192338</v>
      </c>
      <c r="FM147" s="426">
        <f t="shared" si="142"/>
        <v>2263826</v>
      </c>
      <c r="FN147" s="426">
        <f t="shared" si="143"/>
        <v>1766192.338</v>
      </c>
      <c r="FO147" s="426">
        <f t="shared" si="144"/>
        <v>497633.66200000001</v>
      </c>
      <c r="FP147" s="426">
        <f t="shared" si="145"/>
        <v>1766192.338</v>
      </c>
      <c r="GG147" s="762" t="s">
        <v>553</v>
      </c>
      <c r="GH147" s="763" t="s">
        <v>418</v>
      </c>
      <c r="GI147" s="764">
        <v>13192408000</v>
      </c>
      <c r="GJ147" s="764">
        <v>8987172299</v>
      </c>
      <c r="GK147" s="764">
        <v>4205235701</v>
      </c>
      <c r="GL147" s="764">
        <v>8987172299</v>
      </c>
      <c r="GM147" s="764">
        <v>0</v>
      </c>
      <c r="GN147" s="426">
        <f t="shared" si="146"/>
        <v>13192408</v>
      </c>
      <c r="GO147" s="426">
        <f t="shared" si="147"/>
        <v>8987172.2990000006</v>
      </c>
      <c r="GP147" s="426">
        <f t="shared" si="148"/>
        <v>4205235.7010000004</v>
      </c>
      <c r="GQ147" s="426">
        <f t="shared" si="149"/>
        <v>8987172.2990000006</v>
      </c>
      <c r="GR147" s="426">
        <f t="shared" si="150"/>
        <v>0</v>
      </c>
      <c r="HB147" s="782" t="s">
        <v>638</v>
      </c>
      <c r="HC147" s="764">
        <v>590576000</v>
      </c>
      <c r="HD147" s="764">
        <v>629996530</v>
      </c>
      <c r="HE147" s="764">
        <v>-39420530</v>
      </c>
      <c r="HF147" s="764">
        <v>629996530</v>
      </c>
      <c r="HG147" s="426">
        <f t="shared" si="152"/>
        <v>590576</v>
      </c>
      <c r="HH147" s="426">
        <f t="shared" si="153"/>
        <v>-39420.53</v>
      </c>
      <c r="HI147" s="426">
        <f t="shared" si="154"/>
        <v>629996.53</v>
      </c>
      <c r="HJ147" s="426">
        <f t="shared" si="155"/>
        <v>-39420.53</v>
      </c>
      <c r="HK147" s="426">
        <f t="shared" si="156"/>
        <v>629996.53</v>
      </c>
    </row>
    <row r="148" spans="99:219" ht="16.5" x14ac:dyDescent="0.3">
      <c r="CU148" s="424"/>
      <c r="CV148" s="425"/>
      <c r="CW148" s="425"/>
      <c r="CX148" s="426"/>
      <c r="CY148" s="426"/>
      <c r="DB148" s="568"/>
      <c r="DC148" s="569"/>
      <c r="DD148" s="569"/>
      <c r="DE148" s="569"/>
      <c r="DF148" s="569"/>
      <c r="DG148" s="570">
        <f t="shared" si="130"/>
        <v>0</v>
      </c>
      <c r="DH148" s="570">
        <f t="shared" si="131"/>
        <v>0</v>
      </c>
      <c r="DI148" s="570">
        <f t="shared" si="132"/>
        <v>0</v>
      </c>
      <c r="DJ148" s="570">
        <f t="shared" si="133"/>
        <v>0</v>
      </c>
      <c r="FG148" s="735" t="s">
        <v>553</v>
      </c>
      <c r="FH148" s="734" t="s">
        <v>420</v>
      </c>
      <c r="FI148" s="732">
        <v>2263826000</v>
      </c>
      <c r="FJ148" s="733">
        <v>1766192338</v>
      </c>
      <c r="FK148" s="733">
        <v>497633662</v>
      </c>
      <c r="FL148" s="733">
        <v>1766192338</v>
      </c>
      <c r="FM148" s="426">
        <f t="shared" si="142"/>
        <v>2263826</v>
      </c>
      <c r="FN148" s="426">
        <f t="shared" si="143"/>
        <v>1766192.338</v>
      </c>
      <c r="FO148" s="426">
        <f t="shared" si="144"/>
        <v>497633.66200000001</v>
      </c>
      <c r="FP148" s="426">
        <f t="shared" si="145"/>
        <v>1766192.338</v>
      </c>
      <c r="GG148" s="762" t="s">
        <v>355</v>
      </c>
      <c r="GH148" s="763" t="s">
        <v>419</v>
      </c>
      <c r="GI148" s="764">
        <v>2263826000</v>
      </c>
      <c r="GJ148" s="764">
        <v>1766192338</v>
      </c>
      <c r="GK148" s="764">
        <v>497633662</v>
      </c>
      <c r="GL148" s="764">
        <v>1766192338</v>
      </c>
      <c r="GM148" s="764">
        <v>0</v>
      </c>
      <c r="GN148" s="426">
        <f t="shared" si="146"/>
        <v>2263826</v>
      </c>
      <c r="GO148" s="426">
        <f t="shared" si="147"/>
        <v>1766192.338</v>
      </c>
      <c r="GP148" s="426">
        <f t="shared" si="148"/>
        <v>497633.66200000001</v>
      </c>
      <c r="GQ148" s="426">
        <f t="shared" si="149"/>
        <v>1766192.338</v>
      </c>
      <c r="GR148" s="426">
        <f t="shared" si="150"/>
        <v>0</v>
      </c>
      <c r="HB148" s="782" t="s">
        <v>639</v>
      </c>
      <c r="HC148" s="764">
        <v>590576000</v>
      </c>
      <c r="HD148" s="764">
        <v>629996530</v>
      </c>
      <c r="HE148" s="764">
        <v>-39420530</v>
      </c>
      <c r="HF148" s="764">
        <v>629996530</v>
      </c>
      <c r="HG148" s="426">
        <f t="shared" si="152"/>
        <v>590576</v>
      </c>
      <c r="HH148" s="426">
        <f t="shared" si="153"/>
        <v>-39420.53</v>
      </c>
      <c r="HI148" s="426">
        <f t="shared" si="154"/>
        <v>629996.53</v>
      </c>
      <c r="HJ148" s="426">
        <f t="shared" si="155"/>
        <v>-39420.53</v>
      </c>
      <c r="HK148" s="426">
        <f t="shared" si="156"/>
        <v>629996.53</v>
      </c>
    </row>
    <row r="149" spans="99:219" ht="16.5" x14ac:dyDescent="0.3">
      <c r="CU149" s="424"/>
      <c r="CV149" s="425"/>
      <c r="CW149" s="425"/>
      <c r="CX149" s="426"/>
      <c r="CY149" s="426"/>
      <c r="DB149" s="568"/>
      <c r="DC149" s="569"/>
      <c r="DD149" s="569"/>
      <c r="DE149" s="569"/>
      <c r="DF149" s="569"/>
      <c r="DG149" s="570">
        <f t="shared" si="130"/>
        <v>0</v>
      </c>
      <c r="DH149" s="570">
        <f t="shared" si="131"/>
        <v>0</v>
      </c>
      <c r="DI149" s="570">
        <f t="shared" si="132"/>
        <v>0</v>
      </c>
      <c r="DJ149" s="570">
        <f t="shared" si="133"/>
        <v>0</v>
      </c>
      <c r="FG149" s="735" t="s">
        <v>554</v>
      </c>
      <c r="FH149" s="734" t="s">
        <v>621</v>
      </c>
      <c r="FI149" s="732">
        <v>2263826000</v>
      </c>
      <c r="FJ149" s="733">
        <v>1766192338</v>
      </c>
      <c r="FK149" s="733">
        <v>497633662</v>
      </c>
      <c r="FL149" s="733">
        <v>1766192338</v>
      </c>
      <c r="FM149" s="426">
        <f t="shared" si="142"/>
        <v>2263826</v>
      </c>
      <c r="FN149" s="426">
        <f t="shared" si="143"/>
        <v>1766192.338</v>
      </c>
      <c r="FO149" s="426">
        <f t="shared" si="144"/>
        <v>497633.66200000001</v>
      </c>
      <c r="FP149" s="426">
        <f t="shared" si="145"/>
        <v>1766192.338</v>
      </c>
      <c r="GG149" s="762" t="s">
        <v>553</v>
      </c>
      <c r="GH149" s="763" t="s">
        <v>420</v>
      </c>
      <c r="GI149" s="764">
        <v>2263826000</v>
      </c>
      <c r="GJ149" s="764">
        <v>1766192338</v>
      </c>
      <c r="GK149" s="764">
        <v>497633662</v>
      </c>
      <c r="GL149" s="764">
        <v>1766192338</v>
      </c>
      <c r="GM149" s="764">
        <v>0</v>
      </c>
      <c r="GN149" s="426">
        <f t="shared" si="146"/>
        <v>2263826</v>
      </c>
      <c r="GO149" s="426">
        <f t="shared" si="147"/>
        <v>1766192.338</v>
      </c>
      <c r="GP149" s="426">
        <f t="shared" si="148"/>
        <v>497633.66200000001</v>
      </c>
      <c r="GQ149" s="426">
        <f t="shared" si="149"/>
        <v>1766192.338</v>
      </c>
      <c r="GR149" s="426">
        <f t="shared" si="150"/>
        <v>0</v>
      </c>
      <c r="HB149" s="782" t="s">
        <v>618</v>
      </c>
      <c r="HC149" s="764">
        <v>194540000</v>
      </c>
      <c r="HD149" s="764">
        <v>187606620</v>
      </c>
      <c r="HE149" s="764">
        <v>6933380</v>
      </c>
      <c r="HF149" s="764">
        <v>185614680</v>
      </c>
      <c r="HG149" s="426">
        <f t="shared" si="152"/>
        <v>194540</v>
      </c>
      <c r="HH149" s="426">
        <f t="shared" si="153"/>
        <v>6933.38</v>
      </c>
      <c r="HI149" s="426">
        <f t="shared" si="154"/>
        <v>187606.62</v>
      </c>
      <c r="HJ149" s="426">
        <f t="shared" si="155"/>
        <v>6933.38</v>
      </c>
      <c r="HK149" s="426">
        <f t="shared" si="156"/>
        <v>185614.68</v>
      </c>
    </row>
    <row r="150" spans="99:219" ht="16.5" x14ac:dyDescent="0.3">
      <c r="CU150" s="424"/>
      <c r="CV150" s="425"/>
      <c r="CW150" s="425"/>
      <c r="CX150" s="426"/>
      <c r="CY150" s="426"/>
      <c r="DB150" s="568"/>
      <c r="DC150" s="569"/>
      <c r="DD150" s="569"/>
      <c r="DE150" s="569"/>
      <c r="DF150" s="569"/>
      <c r="DG150" s="570">
        <f t="shared" si="130"/>
        <v>0</v>
      </c>
      <c r="DH150" s="570">
        <f t="shared" si="131"/>
        <v>0</v>
      </c>
      <c r="DI150" s="570">
        <f t="shared" si="132"/>
        <v>0</v>
      </c>
      <c r="DJ150" s="570">
        <f t="shared" si="133"/>
        <v>0</v>
      </c>
      <c r="FG150" s="735" t="s">
        <v>355</v>
      </c>
      <c r="FH150" s="734" t="s">
        <v>622</v>
      </c>
      <c r="FI150" s="732">
        <v>217406000</v>
      </c>
      <c r="FJ150" s="733">
        <v>95453601</v>
      </c>
      <c r="FK150" s="733">
        <v>121952399</v>
      </c>
      <c r="FL150" s="733">
        <v>95453601</v>
      </c>
      <c r="FM150" s="426">
        <f t="shared" si="142"/>
        <v>217406</v>
      </c>
      <c r="FN150" s="426">
        <f t="shared" si="143"/>
        <v>95453.600999999995</v>
      </c>
      <c r="FO150" s="426">
        <f t="shared" si="144"/>
        <v>121952.399</v>
      </c>
      <c r="FP150" s="426">
        <f t="shared" si="145"/>
        <v>95453.600999999995</v>
      </c>
      <c r="GG150" s="762" t="s">
        <v>554</v>
      </c>
      <c r="GH150" s="763" t="s">
        <v>621</v>
      </c>
      <c r="GI150" s="764">
        <v>2263826000</v>
      </c>
      <c r="GJ150" s="764">
        <v>1766192338</v>
      </c>
      <c r="GK150" s="764">
        <v>497633662</v>
      </c>
      <c r="GL150" s="764">
        <v>1766192338</v>
      </c>
      <c r="GM150" s="764">
        <v>0</v>
      </c>
      <c r="GN150" s="426">
        <f t="shared" si="146"/>
        <v>2263826</v>
      </c>
      <c r="GO150" s="426">
        <f t="shared" si="147"/>
        <v>1766192.338</v>
      </c>
      <c r="GP150" s="426">
        <f t="shared" si="148"/>
        <v>497633.66200000001</v>
      </c>
      <c r="GQ150" s="426">
        <f t="shared" si="149"/>
        <v>1766192.338</v>
      </c>
      <c r="GR150" s="426">
        <f t="shared" si="150"/>
        <v>0</v>
      </c>
      <c r="HB150" s="782" t="s">
        <v>929</v>
      </c>
      <c r="HC150" s="764">
        <v>27000000</v>
      </c>
      <c r="HD150" s="764">
        <v>26956634</v>
      </c>
      <c r="HE150" s="764">
        <v>43366</v>
      </c>
      <c r="HF150" s="764">
        <v>26956634</v>
      </c>
      <c r="HG150" s="426">
        <f t="shared" si="152"/>
        <v>27000</v>
      </c>
      <c r="HH150" s="426">
        <f t="shared" si="153"/>
        <v>43.366</v>
      </c>
      <c r="HI150" s="426">
        <f t="shared" si="154"/>
        <v>26956.633999999998</v>
      </c>
      <c r="HJ150" s="426">
        <f t="shared" si="155"/>
        <v>43.366</v>
      </c>
      <c r="HK150" s="426">
        <f t="shared" si="156"/>
        <v>26956.633999999998</v>
      </c>
    </row>
    <row r="151" spans="99:219" ht="16.5" x14ac:dyDescent="0.3">
      <c r="CU151" s="424"/>
      <c r="CV151" s="425"/>
      <c r="CW151" s="425"/>
      <c r="CX151" s="426"/>
      <c r="CY151" s="426"/>
      <c r="DB151" s="568"/>
      <c r="DC151" s="569"/>
      <c r="DD151" s="569"/>
      <c r="DE151" s="569"/>
      <c r="DF151" s="569"/>
      <c r="DG151" s="570">
        <f t="shared" si="130"/>
        <v>0</v>
      </c>
      <c r="DH151" s="570">
        <f t="shared" si="131"/>
        <v>0</v>
      </c>
      <c r="DI151" s="570">
        <f t="shared" si="132"/>
        <v>0</v>
      </c>
      <c r="DJ151" s="570">
        <f t="shared" si="133"/>
        <v>0</v>
      </c>
      <c r="FG151" s="735" t="s">
        <v>553</v>
      </c>
      <c r="FH151" s="734" t="s">
        <v>421</v>
      </c>
      <c r="FI151" s="732">
        <v>217406000</v>
      </c>
      <c r="FJ151" s="733">
        <v>95453601</v>
      </c>
      <c r="FK151" s="733">
        <v>121952399</v>
      </c>
      <c r="FL151" s="733">
        <v>95453601</v>
      </c>
      <c r="FM151" s="426">
        <f t="shared" si="142"/>
        <v>217406</v>
      </c>
      <c r="FN151" s="426">
        <f t="shared" si="143"/>
        <v>95453.600999999995</v>
      </c>
      <c r="FO151" s="426">
        <f t="shared" si="144"/>
        <v>121952.399</v>
      </c>
      <c r="FP151" s="426">
        <f t="shared" si="145"/>
        <v>95453.600999999995</v>
      </c>
      <c r="GG151" s="762" t="s">
        <v>355</v>
      </c>
      <c r="GH151" s="763" t="s">
        <v>622</v>
      </c>
      <c r="GI151" s="764">
        <v>217406000</v>
      </c>
      <c r="GJ151" s="764">
        <v>95453601</v>
      </c>
      <c r="GK151" s="764">
        <v>121952399</v>
      </c>
      <c r="GL151" s="764">
        <v>95453601</v>
      </c>
      <c r="GM151" s="764">
        <v>0</v>
      </c>
      <c r="GN151" s="426">
        <f t="shared" si="146"/>
        <v>217406</v>
      </c>
      <c r="GO151" s="426">
        <f t="shared" si="147"/>
        <v>95453.600999999995</v>
      </c>
      <c r="GP151" s="426">
        <f t="shared" si="148"/>
        <v>121952.399</v>
      </c>
      <c r="GQ151" s="426">
        <f t="shared" si="149"/>
        <v>95453.600999999995</v>
      </c>
      <c r="GR151" s="426">
        <f t="shared" si="150"/>
        <v>0</v>
      </c>
      <c r="HB151" s="782" t="s">
        <v>414</v>
      </c>
      <c r="HC151" s="764">
        <v>8450000</v>
      </c>
      <c r="HD151" s="764">
        <v>8425329</v>
      </c>
      <c r="HE151" s="764">
        <v>24671</v>
      </c>
      <c r="HF151" s="764">
        <v>8425329</v>
      </c>
      <c r="HG151" s="426">
        <f t="shared" si="152"/>
        <v>8450</v>
      </c>
      <c r="HH151" s="426">
        <f t="shared" si="153"/>
        <v>24.670999999999999</v>
      </c>
      <c r="HI151" s="426">
        <f t="shared" si="154"/>
        <v>8425.3289999999997</v>
      </c>
      <c r="HJ151" s="426">
        <f t="shared" si="155"/>
        <v>24.670999999999999</v>
      </c>
      <c r="HK151" s="426">
        <f t="shared" si="156"/>
        <v>8425.3289999999997</v>
      </c>
    </row>
    <row r="152" spans="99:219" ht="16.5" x14ac:dyDescent="0.3">
      <c r="CU152" s="424"/>
      <c r="CV152" s="425"/>
      <c r="CW152" s="425"/>
      <c r="CX152" s="426"/>
      <c r="CY152" s="426"/>
      <c r="DB152" s="568"/>
      <c r="DC152" s="569"/>
      <c r="DD152" s="569"/>
      <c r="DE152" s="569"/>
      <c r="DF152" s="569"/>
      <c r="DG152" s="570">
        <f t="shared" si="130"/>
        <v>0</v>
      </c>
      <c r="DH152" s="570">
        <f t="shared" si="131"/>
        <v>0</v>
      </c>
      <c r="DI152" s="570">
        <f t="shared" si="132"/>
        <v>0</v>
      </c>
      <c r="DJ152" s="570">
        <f t="shared" si="133"/>
        <v>0</v>
      </c>
      <c r="FG152" s="735" t="s">
        <v>355</v>
      </c>
      <c r="FH152" s="734" t="s">
        <v>422</v>
      </c>
      <c r="FI152" s="732">
        <v>335824000</v>
      </c>
      <c r="FJ152" s="733">
        <v>339935381</v>
      </c>
      <c r="FK152" s="733">
        <v>-4111381</v>
      </c>
      <c r="FL152" s="733">
        <v>339935381</v>
      </c>
      <c r="FM152" s="426">
        <f t="shared" si="142"/>
        <v>335824</v>
      </c>
      <c r="FN152" s="426">
        <f t="shared" si="143"/>
        <v>339935.38099999999</v>
      </c>
      <c r="FO152" s="426">
        <f t="shared" si="144"/>
        <v>-4111.3810000000003</v>
      </c>
      <c r="FP152" s="426">
        <f t="shared" si="145"/>
        <v>339935.38099999999</v>
      </c>
      <c r="GG152" s="762" t="s">
        <v>553</v>
      </c>
      <c r="GH152" s="763" t="s">
        <v>421</v>
      </c>
      <c r="GI152" s="764">
        <v>217406000</v>
      </c>
      <c r="GJ152" s="764">
        <v>95453601</v>
      </c>
      <c r="GK152" s="764">
        <v>121952399</v>
      </c>
      <c r="GL152" s="764">
        <v>95453601</v>
      </c>
      <c r="GM152" s="764">
        <v>0</v>
      </c>
      <c r="GN152" s="426">
        <f t="shared" si="146"/>
        <v>217406</v>
      </c>
      <c r="GO152" s="426">
        <f t="shared" si="147"/>
        <v>95453.600999999995</v>
      </c>
      <c r="GP152" s="426">
        <f t="shared" si="148"/>
        <v>121952.399</v>
      </c>
      <c r="GQ152" s="426">
        <f t="shared" si="149"/>
        <v>95453.600999999995</v>
      </c>
      <c r="GR152" s="426">
        <f t="shared" si="150"/>
        <v>0</v>
      </c>
      <c r="HB152" s="782" t="s">
        <v>619</v>
      </c>
      <c r="HC152" s="764">
        <v>8450000</v>
      </c>
      <c r="HD152" s="764">
        <v>8425329</v>
      </c>
      <c r="HE152" s="764">
        <v>24671</v>
      </c>
      <c r="HF152" s="764">
        <v>8425329</v>
      </c>
      <c r="HG152" s="426">
        <f t="shared" si="152"/>
        <v>8450</v>
      </c>
      <c r="HH152" s="426">
        <f t="shared" si="153"/>
        <v>24.670999999999999</v>
      </c>
      <c r="HI152" s="426">
        <f t="shared" si="154"/>
        <v>8425.3289999999997</v>
      </c>
      <c r="HJ152" s="426">
        <f t="shared" si="155"/>
        <v>24.670999999999999</v>
      </c>
      <c r="HK152" s="426">
        <f t="shared" si="156"/>
        <v>8425.3289999999997</v>
      </c>
    </row>
    <row r="153" spans="99:219" x14ac:dyDescent="0.35">
      <c r="CU153" s="424"/>
      <c r="CV153" s="425"/>
      <c r="CW153" s="425"/>
      <c r="CX153" s="426"/>
      <c r="CY153" s="426"/>
      <c r="DB153" s="568"/>
      <c r="DC153" s="569"/>
      <c r="DD153" s="569"/>
      <c r="DE153" s="569"/>
      <c r="DF153" s="569"/>
      <c r="DG153" s="570">
        <f t="shared" si="130"/>
        <v>0</v>
      </c>
      <c r="DH153" s="570">
        <f t="shared" si="131"/>
        <v>0</v>
      </c>
      <c r="DI153" s="570">
        <f t="shared" si="132"/>
        <v>0</v>
      </c>
      <c r="DJ153" s="570">
        <f t="shared" si="133"/>
        <v>0</v>
      </c>
      <c r="GG153" s="762" t="s">
        <v>355</v>
      </c>
      <c r="GH153" s="763" t="s">
        <v>422</v>
      </c>
      <c r="GI153" s="764">
        <v>335824000</v>
      </c>
      <c r="GJ153" s="764">
        <v>339935381</v>
      </c>
      <c r="GK153" s="764">
        <v>-4111381</v>
      </c>
      <c r="GL153" s="764">
        <v>339935381</v>
      </c>
      <c r="GM153" s="764">
        <v>0</v>
      </c>
      <c r="GN153" s="426">
        <f t="shared" si="146"/>
        <v>335824</v>
      </c>
      <c r="GO153" s="426">
        <f t="shared" si="147"/>
        <v>339935.38099999999</v>
      </c>
      <c r="GP153" s="426">
        <f t="shared" si="148"/>
        <v>-4111.3810000000003</v>
      </c>
      <c r="GQ153" s="426">
        <f t="shared" si="149"/>
        <v>339935.38099999999</v>
      </c>
      <c r="GR153" s="426">
        <f t="shared" si="150"/>
        <v>0</v>
      </c>
      <c r="HB153" s="782" t="s">
        <v>415</v>
      </c>
      <c r="HC153" s="764">
        <v>159090000</v>
      </c>
      <c r="HD153" s="764">
        <v>152224657</v>
      </c>
      <c r="HE153" s="764">
        <v>6865343</v>
      </c>
      <c r="HF153" s="764">
        <v>150232717</v>
      </c>
      <c r="HG153" s="426">
        <f t="shared" si="152"/>
        <v>159090</v>
      </c>
      <c r="HH153" s="426">
        <f t="shared" si="153"/>
        <v>6865.3429999999998</v>
      </c>
      <c r="HI153" s="426">
        <f t="shared" si="154"/>
        <v>152224.65700000001</v>
      </c>
      <c r="HJ153" s="426">
        <f t="shared" si="155"/>
        <v>6865.3429999999998</v>
      </c>
      <c r="HK153" s="426">
        <f t="shared" si="156"/>
        <v>150232.717</v>
      </c>
    </row>
    <row r="154" spans="99:219" x14ac:dyDescent="0.35">
      <c r="CU154" s="424"/>
      <c r="CV154" s="425"/>
      <c r="CW154" s="425"/>
      <c r="CX154" s="426"/>
      <c r="CY154" s="426"/>
      <c r="DB154" s="568"/>
      <c r="DC154" s="569"/>
      <c r="DD154" s="569"/>
      <c r="DE154" s="569"/>
      <c r="DF154" s="569"/>
      <c r="DG154" s="570">
        <f t="shared" si="130"/>
        <v>0</v>
      </c>
      <c r="DH154" s="570">
        <f t="shared" si="131"/>
        <v>0</v>
      </c>
      <c r="DI154" s="570">
        <f t="shared" si="132"/>
        <v>0</v>
      </c>
      <c r="DJ154" s="570">
        <f t="shared" si="133"/>
        <v>0</v>
      </c>
      <c r="GN154" s="426"/>
      <c r="GO154" s="426"/>
      <c r="GP154" s="426"/>
      <c r="GQ154" s="426"/>
      <c r="GR154" s="426"/>
      <c r="HB154" s="782" t="s">
        <v>620</v>
      </c>
      <c r="HC154" s="764">
        <v>137149279</v>
      </c>
      <c r="HD154" s="764">
        <v>130283936</v>
      </c>
      <c r="HE154" s="764">
        <v>6865343</v>
      </c>
      <c r="HF154" s="764">
        <v>130283936</v>
      </c>
      <c r="HG154" s="426">
        <f t="shared" si="152"/>
        <v>137149.27900000001</v>
      </c>
      <c r="HH154" s="426">
        <f t="shared" si="153"/>
        <v>6865.3429999999998</v>
      </c>
      <c r="HI154" s="426">
        <f t="shared" si="154"/>
        <v>130283.936</v>
      </c>
      <c r="HJ154" s="426">
        <f t="shared" si="155"/>
        <v>6865.3429999999998</v>
      </c>
      <c r="HK154" s="426">
        <f t="shared" si="156"/>
        <v>130283.936</v>
      </c>
    </row>
    <row r="155" spans="99:219" x14ac:dyDescent="0.35">
      <c r="CU155" s="424"/>
      <c r="CV155" s="425"/>
      <c r="CW155" s="425"/>
      <c r="CX155" s="426"/>
      <c r="CY155" s="426"/>
      <c r="DB155" s="568"/>
      <c r="DC155" s="569"/>
      <c r="DD155" s="569"/>
      <c r="DE155" s="569"/>
      <c r="DF155" s="569"/>
      <c r="DG155" s="570">
        <f t="shared" si="130"/>
        <v>0</v>
      </c>
      <c r="DH155" s="570">
        <f t="shared" si="131"/>
        <v>0</v>
      </c>
      <c r="DI155" s="570">
        <f t="shared" si="132"/>
        <v>0</v>
      </c>
      <c r="DJ155" s="570">
        <f t="shared" si="133"/>
        <v>0</v>
      </c>
      <c r="GN155" s="426"/>
      <c r="GO155" s="426"/>
      <c r="GP155" s="426"/>
      <c r="GQ155" s="426"/>
      <c r="GR155" s="426"/>
      <c r="HB155" s="782" t="s">
        <v>914</v>
      </c>
      <c r="HC155" s="764">
        <v>21940721</v>
      </c>
      <c r="HD155" s="764">
        <v>21940721</v>
      </c>
      <c r="HE155" s="764">
        <v>0</v>
      </c>
      <c r="HF155" s="764">
        <v>19948781</v>
      </c>
      <c r="HG155" s="426">
        <f t="shared" si="152"/>
        <v>21940.721000000001</v>
      </c>
      <c r="HH155" s="426">
        <f t="shared" si="153"/>
        <v>0</v>
      </c>
      <c r="HI155" s="426">
        <f t="shared" si="154"/>
        <v>21940.721000000001</v>
      </c>
      <c r="HJ155" s="426">
        <f t="shared" si="155"/>
        <v>0</v>
      </c>
      <c r="HK155" s="426">
        <f t="shared" si="156"/>
        <v>19948.780999999999</v>
      </c>
    </row>
    <row r="156" spans="99:219" x14ac:dyDescent="0.35">
      <c r="CU156" s="424"/>
      <c r="CV156" s="425"/>
      <c r="CW156" s="425"/>
      <c r="CX156" s="426"/>
      <c r="CY156" s="426"/>
      <c r="DB156" s="568"/>
      <c r="DC156" s="569"/>
      <c r="DD156" s="569"/>
      <c r="DE156" s="569"/>
      <c r="DF156" s="569"/>
      <c r="DG156" s="570">
        <f t="shared" si="130"/>
        <v>0</v>
      </c>
      <c r="DH156" s="570">
        <f t="shared" si="131"/>
        <v>0</v>
      </c>
      <c r="DI156" s="570">
        <f t="shared" si="132"/>
        <v>0</v>
      </c>
      <c r="DJ156" s="570">
        <f t="shared" si="133"/>
        <v>0</v>
      </c>
      <c r="HB156" s="782" t="s">
        <v>416</v>
      </c>
      <c r="HC156" s="764">
        <v>19616464000</v>
      </c>
      <c r="HD156" s="764">
        <v>19606004116</v>
      </c>
      <c r="HE156" s="764">
        <v>10459884</v>
      </c>
      <c r="HF156" s="764">
        <v>19606004116</v>
      </c>
      <c r="HG156" s="426">
        <f t="shared" si="152"/>
        <v>19616464</v>
      </c>
      <c r="HH156" s="426">
        <f t="shared" si="153"/>
        <v>10459.884</v>
      </c>
      <c r="HI156" s="426">
        <f t="shared" si="154"/>
        <v>19606004.116</v>
      </c>
      <c r="HJ156" s="426">
        <f t="shared" si="155"/>
        <v>10459.884</v>
      </c>
      <c r="HK156" s="426">
        <f t="shared" si="156"/>
        <v>19606004.116</v>
      </c>
    </row>
    <row r="157" spans="99:219" x14ac:dyDescent="0.35">
      <c r="CU157" s="424"/>
      <c r="CV157" s="425"/>
      <c r="CW157" s="425"/>
      <c r="CX157" s="426"/>
      <c r="CY157" s="426"/>
      <c r="DB157" s="568"/>
      <c r="DC157" s="569"/>
      <c r="DD157" s="569"/>
      <c r="DE157" s="569"/>
      <c r="DF157" s="569"/>
      <c r="DG157" s="570">
        <f t="shared" si="130"/>
        <v>0</v>
      </c>
      <c r="DH157" s="570">
        <f t="shared" si="131"/>
        <v>0</v>
      </c>
      <c r="DI157" s="570">
        <f t="shared" si="132"/>
        <v>0</v>
      </c>
      <c r="DJ157" s="570">
        <f t="shared" si="133"/>
        <v>0</v>
      </c>
      <c r="HB157" s="782" t="s">
        <v>417</v>
      </c>
      <c r="HC157" s="764">
        <v>16100408000</v>
      </c>
      <c r="HD157" s="764">
        <v>16089356764</v>
      </c>
      <c r="HE157" s="764">
        <v>11051236</v>
      </c>
      <c r="HF157" s="764">
        <v>16089356764</v>
      </c>
      <c r="HG157" s="426">
        <f t="shared" si="152"/>
        <v>16100408</v>
      </c>
      <c r="HH157" s="426">
        <f t="shared" si="153"/>
        <v>11051.236000000001</v>
      </c>
      <c r="HI157" s="426">
        <f t="shared" si="154"/>
        <v>16089356.764</v>
      </c>
      <c r="HJ157" s="426">
        <f t="shared" si="155"/>
        <v>11051.236000000001</v>
      </c>
      <c r="HK157" s="426">
        <f t="shared" si="156"/>
        <v>16089356.764</v>
      </c>
    </row>
    <row r="158" spans="99:219" x14ac:dyDescent="0.35">
      <c r="CU158" s="424"/>
      <c r="CV158" s="425"/>
      <c r="CW158" s="425"/>
      <c r="CX158" s="426"/>
      <c r="CY158" s="426"/>
      <c r="DB158" s="568"/>
      <c r="DC158" s="569"/>
      <c r="DD158" s="569"/>
      <c r="DE158" s="569"/>
      <c r="DF158" s="569"/>
      <c r="DG158" s="570">
        <f t="shared" si="130"/>
        <v>0</v>
      </c>
      <c r="DH158" s="570">
        <f t="shared" si="131"/>
        <v>0</v>
      </c>
      <c r="DI158" s="570">
        <f t="shared" si="132"/>
        <v>0</v>
      </c>
      <c r="DJ158" s="570">
        <f t="shared" si="133"/>
        <v>0</v>
      </c>
      <c r="HB158" s="782" t="s">
        <v>418</v>
      </c>
      <c r="HC158" s="764">
        <v>16100408000</v>
      </c>
      <c r="HD158" s="764">
        <v>16089356764</v>
      </c>
      <c r="HE158" s="764">
        <v>11051236</v>
      </c>
      <c r="HF158" s="764">
        <v>16089356764</v>
      </c>
      <c r="HG158" s="426">
        <f t="shared" si="152"/>
        <v>16100408</v>
      </c>
      <c r="HH158" s="426">
        <f t="shared" si="153"/>
        <v>11051.236000000001</v>
      </c>
      <c r="HI158" s="426">
        <f t="shared" si="154"/>
        <v>16089356.764</v>
      </c>
      <c r="HJ158" s="426">
        <f t="shared" si="155"/>
        <v>11051.236000000001</v>
      </c>
      <c r="HK158" s="426">
        <f t="shared" si="156"/>
        <v>16089356.764</v>
      </c>
    </row>
    <row r="159" spans="99:219" x14ac:dyDescent="0.35">
      <c r="CU159" s="424"/>
      <c r="CV159" s="425"/>
      <c r="CW159" s="425"/>
      <c r="CX159" s="426"/>
      <c r="CY159" s="426"/>
      <c r="DB159" s="568"/>
      <c r="DC159" s="569"/>
      <c r="DD159" s="569"/>
      <c r="DE159" s="569"/>
      <c r="DF159" s="569"/>
      <c r="DG159" s="570">
        <f t="shared" si="130"/>
        <v>0</v>
      </c>
      <c r="DH159" s="570">
        <f t="shared" si="131"/>
        <v>0</v>
      </c>
      <c r="DI159" s="570">
        <f t="shared" si="132"/>
        <v>0</v>
      </c>
      <c r="DJ159" s="570">
        <f t="shared" si="133"/>
        <v>0</v>
      </c>
      <c r="HB159" s="782" t="s">
        <v>419</v>
      </c>
      <c r="HC159" s="764">
        <v>3083826000</v>
      </c>
      <c r="HD159" s="764">
        <v>3081258370</v>
      </c>
      <c r="HE159" s="764">
        <v>2567630</v>
      </c>
      <c r="HF159" s="764">
        <v>3081258370</v>
      </c>
      <c r="HG159" s="426">
        <f t="shared" si="152"/>
        <v>3083826</v>
      </c>
      <c r="HH159" s="426">
        <f t="shared" si="153"/>
        <v>2567.63</v>
      </c>
      <c r="HI159" s="426">
        <f t="shared" si="154"/>
        <v>3081258.37</v>
      </c>
      <c r="HJ159" s="426">
        <f t="shared" si="155"/>
        <v>2567.63</v>
      </c>
      <c r="HK159" s="426">
        <f t="shared" si="156"/>
        <v>3081258.37</v>
      </c>
    </row>
    <row r="160" spans="99:219" x14ac:dyDescent="0.35">
      <c r="CU160" s="424"/>
      <c r="CV160" s="425"/>
      <c r="CW160" s="425"/>
      <c r="CX160" s="426"/>
      <c r="CY160" s="426"/>
      <c r="DB160" s="568"/>
      <c r="DC160" s="569"/>
      <c r="DD160" s="569"/>
      <c r="DE160" s="569"/>
      <c r="DF160" s="569"/>
      <c r="DG160" s="570">
        <f t="shared" si="130"/>
        <v>0</v>
      </c>
      <c r="DH160" s="570">
        <f t="shared" si="131"/>
        <v>0</v>
      </c>
      <c r="DI160" s="570">
        <f t="shared" si="132"/>
        <v>0</v>
      </c>
      <c r="DJ160" s="570">
        <f t="shared" si="133"/>
        <v>0</v>
      </c>
      <c r="HB160" s="782" t="s">
        <v>420</v>
      </c>
      <c r="HC160" s="764">
        <v>3083826000</v>
      </c>
      <c r="HD160" s="764">
        <v>3081258370</v>
      </c>
      <c r="HE160" s="764">
        <v>2567630</v>
      </c>
      <c r="HF160" s="764">
        <v>3081258370</v>
      </c>
      <c r="HG160" s="426">
        <f t="shared" si="152"/>
        <v>3083826</v>
      </c>
      <c r="HH160" s="426">
        <f t="shared" si="153"/>
        <v>2567.63</v>
      </c>
      <c r="HI160" s="426">
        <f t="shared" si="154"/>
        <v>3081258.37</v>
      </c>
      <c r="HJ160" s="426">
        <f t="shared" si="155"/>
        <v>2567.63</v>
      </c>
      <c r="HK160" s="426">
        <f t="shared" si="156"/>
        <v>3081258.37</v>
      </c>
    </row>
    <row r="161" spans="99:219" x14ac:dyDescent="0.35">
      <c r="CU161" s="424"/>
      <c r="CV161" s="425"/>
      <c r="CW161" s="425"/>
      <c r="CX161" s="426"/>
      <c r="CY161" s="426"/>
      <c r="DB161" s="568"/>
      <c r="DC161" s="569"/>
      <c r="DD161" s="569"/>
      <c r="DE161" s="569"/>
      <c r="DF161" s="569"/>
      <c r="DG161" s="570">
        <f t="shared" si="130"/>
        <v>0</v>
      </c>
      <c r="DH161" s="570">
        <f t="shared" si="131"/>
        <v>0</v>
      </c>
      <c r="DI161" s="570">
        <f t="shared" si="132"/>
        <v>0</v>
      </c>
      <c r="DJ161" s="570">
        <f t="shared" si="133"/>
        <v>0</v>
      </c>
      <c r="HB161" s="782" t="s">
        <v>621</v>
      </c>
      <c r="HC161" s="764">
        <v>3083826000</v>
      </c>
      <c r="HD161" s="764">
        <v>3081258370</v>
      </c>
      <c r="HE161" s="764">
        <v>2567630</v>
      </c>
      <c r="HF161" s="764">
        <v>3081258370</v>
      </c>
      <c r="HG161" s="426">
        <f t="shared" si="152"/>
        <v>3083826</v>
      </c>
      <c r="HH161" s="426">
        <f t="shared" si="153"/>
        <v>2567.63</v>
      </c>
      <c r="HI161" s="426">
        <f t="shared" si="154"/>
        <v>3081258.37</v>
      </c>
      <c r="HJ161" s="426">
        <f t="shared" si="155"/>
        <v>2567.63</v>
      </c>
      <c r="HK161" s="426">
        <f t="shared" si="156"/>
        <v>3081258.37</v>
      </c>
    </row>
    <row r="162" spans="99:219" x14ac:dyDescent="0.35">
      <c r="CU162" s="424"/>
      <c r="CV162" s="425"/>
      <c r="CW162" s="425"/>
      <c r="CX162" s="426"/>
      <c r="CY162" s="426"/>
      <c r="DB162" s="568"/>
      <c r="DC162" s="569"/>
      <c r="DD162" s="569"/>
      <c r="DE162" s="569"/>
      <c r="DF162" s="569"/>
      <c r="DG162" s="570">
        <f t="shared" si="130"/>
        <v>0</v>
      </c>
      <c r="DH162" s="570">
        <f t="shared" si="131"/>
        <v>0</v>
      </c>
      <c r="DI162" s="570">
        <f t="shared" si="132"/>
        <v>0</v>
      </c>
      <c r="DJ162" s="570">
        <f t="shared" si="133"/>
        <v>0</v>
      </c>
      <c r="HB162" s="782" t="s">
        <v>622</v>
      </c>
      <c r="HC162" s="764">
        <v>96406000</v>
      </c>
      <c r="HD162" s="764">
        <v>95453601</v>
      </c>
      <c r="HE162" s="764">
        <v>952399</v>
      </c>
      <c r="HF162" s="764">
        <v>95453601</v>
      </c>
      <c r="HG162" s="426">
        <f t="shared" si="152"/>
        <v>96406</v>
      </c>
      <c r="HH162" s="426">
        <f t="shared" si="153"/>
        <v>952.399</v>
      </c>
      <c r="HI162" s="426">
        <f t="shared" si="154"/>
        <v>95453.600999999995</v>
      </c>
      <c r="HJ162" s="426">
        <f t="shared" si="155"/>
        <v>952.399</v>
      </c>
      <c r="HK162" s="426">
        <f t="shared" si="156"/>
        <v>95453.600999999995</v>
      </c>
    </row>
    <row r="163" spans="99:219" x14ac:dyDescent="0.35">
      <c r="CU163" s="424"/>
      <c r="CV163" s="425"/>
      <c r="CW163" s="425"/>
      <c r="CX163" s="426"/>
      <c r="CY163" s="426"/>
      <c r="DB163" s="568"/>
      <c r="DC163" s="569"/>
      <c r="DD163" s="569"/>
      <c r="DE163" s="569"/>
      <c r="DF163" s="569"/>
      <c r="DG163" s="570">
        <f t="shared" si="130"/>
        <v>0</v>
      </c>
      <c r="DH163" s="570">
        <f t="shared" si="131"/>
        <v>0</v>
      </c>
      <c r="DI163" s="570">
        <f t="shared" si="132"/>
        <v>0</v>
      </c>
      <c r="DJ163" s="570">
        <f t="shared" si="133"/>
        <v>0</v>
      </c>
      <c r="HB163" s="782" t="s">
        <v>421</v>
      </c>
      <c r="HC163" s="764">
        <v>96406000</v>
      </c>
      <c r="HD163" s="764">
        <v>95453601</v>
      </c>
      <c r="HE163" s="764">
        <v>952399</v>
      </c>
      <c r="HF163" s="764">
        <v>95453601</v>
      </c>
      <c r="HG163" s="426">
        <f t="shared" si="152"/>
        <v>96406</v>
      </c>
      <c r="HH163" s="426">
        <f t="shared" si="153"/>
        <v>952.399</v>
      </c>
      <c r="HI163" s="426">
        <f t="shared" si="154"/>
        <v>95453.600999999995</v>
      </c>
      <c r="HJ163" s="426">
        <f t="shared" si="155"/>
        <v>952.399</v>
      </c>
      <c r="HK163" s="426">
        <f t="shared" si="156"/>
        <v>95453.600999999995</v>
      </c>
    </row>
    <row r="164" spans="99:219" x14ac:dyDescent="0.35">
      <c r="CU164" s="424"/>
      <c r="CV164" s="425"/>
      <c r="CW164" s="425"/>
      <c r="CX164" s="426"/>
      <c r="CY164" s="426"/>
      <c r="DB164" s="568"/>
      <c r="DC164" s="569"/>
      <c r="DD164" s="569"/>
      <c r="DE164" s="569"/>
      <c r="DF164" s="569"/>
      <c r="DG164" s="570">
        <f t="shared" si="130"/>
        <v>0</v>
      </c>
      <c r="DH164" s="570">
        <f t="shared" si="131"/>
        <v>0</v>
      </c>
      <c r="DI164" s="570">
        <f t="shared" si="132"/>
        <v>0</v>
      </c>
      <c r="DJ164" s="570">
        <f t="shared" si="133"/>
        <v>0</v>
      </c>
      <c r="HB164" s="782" t="s">
        <v>422</v>
      </c>
      <c r="HC164" s="764">
        <v>335824000</v>
      </c>
      <c r="HD164" s="764">
        <v>339935381</v>
      </c>
      <c r="HE164" s="764">
        <v>-4111381</v>
      </c>
      <c r="HF164" s="764">
        <v>339935381</v>
      </c>
      <c r="HG164" s="426">
        <f t="shared" si="152"/>
        <v>335824</v>
      </c>
      <c r="HH164" s="426">
        <f t="shared" si="153"/>
        <v>-4111.3810000000003</v>
      </c>
      <c r="HI164" s="426">
        <f t="shared" si="154"/>
        <v>339935.38099999999</v>
      </c>
      <c r="HJ164" s="426">
        <f t="shared" si="155"/>
        <v>-4111.3810000000003</v>
      </c>
      <c r="HK164" s="426">
        <f t="shared" si="156"/>
        <v>339935.38099999999</v>
      </c>
    </row>
    <row r="165" spans="99:219" x14ac:dyDescent="0.35">
      <c r="CU165" s="424"/>
      <c r="CV165" s="425"/>
      <c r="CW165" s="425"/>
      <c r="CX165" s="426"/>
      <c r="CY165" s="426"/>
      <c r="DB165" s="568"/>
      <c r="DC165" s="569"/>
      <c r="DD165" s="569"/>
      <c r="DE165" s="569"/>
      <c r="DF165" s="569"/>
      <c r="DG165" s="570">
        <f t="shared" si="130"/>
        <v>0</v>
      </c>
      <c r="DH165" s="570">
        <f t="shared" si="131"/>
        <v>0</v>
      </c>
      <c r="DI165" s="570">
        <f t="shared" si="132"/>
        <v>0</v>
      </c>
      <c r="DJ165" s="570">
        <f t="shared" si="133"/>
        <v>0</v>
      </c>
      <c r="HB165" s="782" t="s">
        <v>496</v>
      </c>
      <c r="HC165" s="764">
        <v>322100000</v>
      </c>
      <c r="HD165" s="764">
        <v>0</v>
      </c>
      <c r="HE165" s="764">
        <v>322100000</v>
      </c>
      <c r="HF165" s="764">
        <v>0</v>
      </c>
      <c r="HG165" s="426">
        <f t="shared" si="152"/>
        <v>322100</v>
      </c>
      <c r="HH165" s="426">
        <f t="shared" si="153"/>
        <v>322100</v>
      </c>
      <c r="HI165" s="426">
        <f t="shared" si="154"/>
        <v>0</v>
      </c>
      <c r="HJ165" s="426">
        <f t="shared" si="155"/>
        <v>322100</v>
      </c>
      <c r="HK165" s="426">
        <f t="shared" si="156"/>
        <v>0</v>
      </c>
    </row>
    <row r="166" spans="99:219" x14ac:dyDescent="0.35">
      <c r="CU166" s="424"/>
      <c r="CV166" s="425"/>
      <c r="CW166" s="425"/>
      <c r="CX166" s="426"/>
      <c r="CY166" s="426"/>
      <c r="DB166" s="568"/>
      <c r="DC166" s="569"/>
      <c r="DD166" s="569"/>
      <c r="DE166" s="569"/>
      <c r="DF166" s="569"/>
      <c r="DG166" s="570">
        <f t="shared" si="130"/>
        <v>0</v>
      </c>
      <c r="DH166" s="570">
        <f t="shared" si="131"/>
        <v>0</v>
      </c>
      <c r="DI166" s="570">
        <f t="shared" si="132"/>
        <v>0</v>
      </c>
      <c r="DJ166" s="570">
        <f t="shared" si="133"/>
        <v>0</v>
      </c>
    </row>
    <row r="167" spans="99:219" x14ac:dyDescent="0.35">
      <c r="CU167" s="424"/>
      <c r="CV167" s="425"/>
      <c r="CW167" s="425"/>
      <c r="CX167" s="426"/>
      <c r="CY167" s="426"/>
      <c r="DB167" s="568"/>
      <c r="DC167" s="569"/>
      <c r="DD167" s="569"/>
      <c r="DE167" s="569"/>
      <c r="DF167" s="569"/>
      <c r="DG167" s="570">
        <f t="shared" si="130"/>
        <v>0</v>
      </c>
      <c r="DH167" s="570">
        <f t="shared" si="131"/>
        <v>0</v>
      </c>
      <c r="DI167" s="570">
        <f t="shared" si="132"/>
        <v>0</v>
      </c>
      <c r="DJ167" s="570">
        <f t="shared" si="133"/>
        <v>0</v>
      </c>
    </row>
    <row r="168" spans="99:219" x14ac:dyDescent="0.35">
      <c r="CU168" s="424"/>
      <c r="CV168" s="425"/>
      <c r="CW168" s="425"/>
      <c r="CX168" s="426"/>
      <c r="CY168" s="426"/>
      <c r="DB168" s="568"/>
      <c r="DC168" s="569"/>
      <c r="DD168" s="569"/>
      <c r="DE168" s="569"/>
      <c r="DF168" s="569"/>
      <c r="DG168" s="570">
        <f t="shared" si="130"/>
        <v>0</v>
      </c>
      <c r="DH168" s="570">
        <f t="shared" si="131"/>
        <v>0</v>
      </c>
      <c r="DI168" s="570">
        <f t="shared" si="132"/>
        <v>0</v>
      </c>
      <c r="DJ168" s="570">
        <f t="shared" si="133"/>
        <v>0</v>
      </c>
    </row>
    <row r="169" spans="99:219" x14ac:dyDescent="0.35">
      <c r="CU169" s="424"/>
      <c r="CV169" s="425"/>
      <c r="CW169" s="425"/>
      <c r="CX169" s="426"/>
      <c r="CY169" s="426"/>
      <c r="DB169" s="568"/>
      <c r="DC169" s="569"/>
      <c r="DD169" s="569"/>
      <c r="DE169" s="569"/>
      <c r="DF169" s="569"/>
      <c r="DG169" s="570">
        <f t="shared" si="130"/>
        <v>0</v>
      </c>
      <c r="DH169" s="570">
        <f t="shared" si="131"/>
        <v>0</v>
      </c>
      <c r="DI169" s="570">
        <f t="shared" si="132"/>
        <v>0</v>
      </c>
      <c r="DJ169" s="570">
        <f t="shared" si="133"/>
        <v>0</v>
      </c>
    </row>
    <row r="170" spans="99:219" x14ac:dyDescent="0.35">
      <c r="CU170" s="424"/>
      <c r="CV170" s="425"/>
      <c r="CW170" s="425"/>
      <c r="CX170" s="426"/>
      <c r="CY170" s="426"/>
      <c r="DB170" s="568"/>
      <c r="DC170" s="569"/>
      <c r="DD170" s="569"/>
      <c r="DE170" s="569"/>
      <c r="DF170" s="569"/>
      <c r="DG170" s="570">
        <f t="shared" si="130"/>
        <v>0</v>
      </c>
      <c r="DH170" s="570">
        <f t="shared" si="131"/>
        <v>0</v>
      </c>
      <c r="DI170" s="570">
        <f t="shared" si="132"/>
        <v>0</v>
      </c>
      <c r="DJ170" s="570">
        <f t="shared" si="133"/>
        <v>0</v>
      </c>
    </row>
    <row r="171" spans="99:219" x14ac:dyDescent="0.35">
      <c r="CU171" s="424"/>
      <c r="CV171" s="425"/>
      <c r="CW171" s="425"/>
      <c r="CX171" s="426"/>
      <c r="CY171" s="426"/>
      <c r="DB171" s="568"/>
      <c r="DC171" s="569"/>
      <c r="DD171" s="569"/>
      <c r="DE171" s="569"/>
      <c r="DF171" s="569"/>
      <c r="DG171" s="570">
        <f t="shared" si="130"/>
        <v>0</v>
      </c>
      <c r="DH171" s="570">
        <f t="shared" si="131"/>
        <v>0</v>
      </c>
      <c r="DI171" s="570">
        <f t="shared" si="132"/>
        <v>0</v>
      </c>
      <c r="DJ171" s="570">
        <f t="shared" si="133"/>
        <v>0</v>
      </c>
    </row>
    <row r="172" spans="99:219" x14ac:dyDescent="0.35">
      <c r="CU172" s="424"/>
      <c r="CV172" s="425"/>
      <c r="CW172" s="425"/>
      <c r="CX172" s="426"/>
      <c r="CY172" s="426"/>
      <c r="DB172" s="568"/>
      <c r="DC172" s="569"/>
      <c r="DD172" s="569"/>
      <c r="DE172" s="569"/>
      <c r="DF172" s="569"/>
      <c r="DG172" s="570">
        <f t="shared" si="130"/>
        <v>0</v>
      </c>
      <c r="DH172" s="570">
        <f t="shared" si="131"/>
        <v>0</v>
      </c>
      <c r="DI172" s="570">
        <f t="shared" si="132"/>
        <v>0</v>
      </c>
      <c r="DJ172" s="570">
        <f t="shared" si="133"/>
        <v>0</v>
      </c>
    </row>
    <row r="173" spans="99:219" x14ac:dyDescent="0.35">
      <c r="CU173" s="424"/>
      <c r="CV173" s="425"/>
      <c r="CW173" s="425"/>
      <c r="CX173" s="426"/>
      <c r="CY173" s="426"/>
      <c r="DB173" s="568"/>
      <c r="DC173" s="569"/>
      <c r="DD173" s="569"/>
      <c r="DE173" s="569"/>
      <c r="DF173" s="569"/>
      <c r="DG173" s="570">
        <f t="shared" si="130"/>
        <v>0</v>
      </c>
      <c r="DH173" s="570">
        <f t="shared" si="131"/>
        <v>0</v>
      </c>
      <c r="DI173" s="570">
        <f t="shared" si="132"/>
        <v>0</v>
      </c>
      <c r="DJ173" s="570">
        <f t="shared" si="133"/>
        <v>0</v>
      </c>
    </row>
    <row r="174" spans="99:219" x14ac:dyDescent="0.35">
      <c r="CU174" s="567"/>
      <c r="CV174" s="571"/>
      <c r="CW174" s="571"/>
      <c r="DB174" s="568"/>
      <c r="DC174" s="569"/>
      <c r="DD174" s="569"/>
      <c r="DE174" s="569"/>
      <c r="DF174" s="569"/>
      <c r="DG174" s="570">
        <f t="shared" si="130"/>
        <v>0</v>
      </c>
      <c r="DH174" s="570">
        <f t="shared" si="131"/>
        <v>0</v>
      </c>
      <c r="DI174" s="570">
        <f t="shared" si="132"/>
        <v>0</v>
      </c>
      <c r="DJ174" s="570">
        <f t="shared" si="133"/>
        <v>0</v>
      </c>
    </row>
    <row r="175" spans="99:219" x14ac:dyDescent="0.35">
      <c r="DB175" s="568"/>
      <c r="DC175" s="569"/>
      <c r="DD175" s="569"/>
      <c r="DE175" s="569"/>
      <c r="DF175" s="569"/>
      <c r="DG175" s="570">
        <f t="shared" si="130"/>
        <v>0</v>
      </c>
      <c r="DH175" s="570">
        <f t="shared" si="131"/>
        <v>0</v>
      </c>
      <c r="DI175" s="570">
        <f t="shared" si="132"/>
        <v>0</v>
      </c>
      <c r="DJ175" s="570">
        <f t="shared" si="133"/>
        <v>0</v>
      </c>
    </row>
    <row r="176" spans="99:219" x14ac:dyDescent="0.35">
      <c r="DB176" s="568"/>
      <c r="DC176" s="569"/>
      <c r="DD176" s="569"/>
      <c r="DE176" s="569"/>
      <c r="DF176" s="569"/>
      <c r="DG176" s="570">
        <f t="shared" si="130"/>
        <v>0</v>
      </c>
      <c r="DH176" s="570">
        <f t="shared" si="131"/>
        <v>0</v>
      </c>
      <c r="DI176" s="570">
        <f t="shared" si="132"/>
        <v>0</v>
      </c>
      <c r="DJ176" s="570">
        <f t="shared" si="133"/>
        <v>0</v>
      </c>
    </row>
    <row r="177" spans="106:114" x14ac:dyDescent="0.35">
      <c r="DB177" s="568"/>
      <c r="DC177" s="569"/>
      <c r="DD177" s="569"/>
      <c r="DE177" s="569"/>
      <c r="DF177" s="569"/>
      <c r="DG177" s="570">
        <f t="shared" si="130"/>
        <v>0</v>
      </c>
      <c r="DH177" s="570">
        <f t="shared" si="131"/>
        <v>0</v>
      </c>
      <c r="DI177" s="570">
        <f t="shared" si="132"/>
        <v>0</v>
      </c>
      <c r="DJ177" s="570">
        <f t="shared" si="133"/>
        <v>0</v>
      </c>
    </row>
    <row r="178" spans="106:114" x14ac:dyDescent="0.35">
      <c r="DB178" s="568"/>
      <c r="DC178" s="569"/>
      <c r="DD178" s="569"/>
      <c r="DE178" s="569"/>
      <c r="DF178" s="569"/>
      <c r="DG178" s="570">
        <f t="shared" si="130"/>
        <v>0</v>
      </c>
      <c r="DH178" s="570">
        <f t="shared" si="131"/>
        <v>0</v>
      </c>
      <c r="DI178" s="570">
        <f t="shared" si="132"/>
        <v>0</v>
      </c>
      <c r="DJ178" s="570">
        <f t="shared" si="133"/>
        <v>0</v>
      </c>
    </row>
    <row r="179" spans="106:114" x14ac:dyDescent="0.35">
      <c r="DB179" s="568"/>
      <c r="DC179" s="569"/>
      <c r="DD179" s="569"/>
      <c r="DE179" s="569"/>
      <c r="DF179" s="569"/>
      <c r="DG179" s="570">
        <f t="shared" si="130"/>
        <v>0</v>
      </c>
      <c r="DH179" s="570">
        <f t="shared" si="131"/>
        <v>0</v>
      </c>
      <c r="DI179" s="570">
        <f t="shared" si="132"/>
        <v>0</v>
      </c>
      <c r="DJ179" s="570">
        <f t="shared" si="133"/>
        <v>0</v>
      </c>
    </row>
    <row r="180" spans="106:114" x14ac:dyDescent="0.35">
      <c r="DB180" s="568"/>
      <c r="DC180" s="569"/>
      <c r="DD180" s="569"/>
      <c r="DE180" s="569"/>
      <c r="DF180" s="569"/>
      <c r="DG180" s="570">
        <f t="shared" si="130"/>
        <v>0</v>
      </c>
      <c r="DH180" s="570">
        <f t="shared" si="131"/>
        <v>0</v>
      </c>
      <c r="DI180" s="570">
        <f t="shared" si="132"/>
        <v>0</v>
      </c>
      <c r="DJ180" s="570">
        <f t="shared" si="133"/>
        <v>0</v>
      </c>
    </row>
    <row r="181" spans="106:114" x14ac:dyDescent="0.35">
      <c r="DB181" s="568"/>
      <c r="DC181" s="569"/>
      <c r="DD181" s="569"/>
      <c r="DE181" s="569"/>
      <c r="DF181" s="569"/>
      <c r="DG181" s="570">
        <f t="shared" si="130"/>
        <v>0</v>
      </c>
      <c r="DH181" s="570">
        <f t="shared" si="131"/>
        <v>0</v>
      </c>
      <c r="DI181" s="570">
        <f t="shared" si="132"/>
        <v>0</v>
      </c>
      <c r="DJ181" s="570">
        <f t="shared" si="133"/>
        <v>0</v>
      </c>
    </row>
    <row r="182" spans="106:114" x14ac:dyDescent="0.35">
      <c r="DB182" s="568"/>
      <c r="DC182" s="569"/>
      <c r="DD182" s="569"/>
      <c r="DE182" s="569"/>
      <c r="DF182" s="569"/>
      <c r="DG182" s="570">
        <f t="shared" si="130"/>
        <v>0</v>
      </c>
      <c r="DH182" s="570">
        <f t="shared" si="131"/>
        <v>0</v>
      </c>
      <c r="DI182" s="570">
        <f t="shared" si="132"/>
        <v>0</v>
      </c>
      <c r="DJ182" s="570">
        <f t="shared" si="133"/>
        <v>0</v>
      </c>
    </row>
    <row r="183" spans="106:114" x14ac:dyDescent="0.35">
      <c r="DB183" s="568"/>
      <c r="DC183" s="569"/>
      <c r="DD183" s="569"/>
      <c r="DE183" s="569"/>
      <c r="DF183" s="569"/>
      <c r="DG183" s="570">
        <f t="shared" si="130"/>
        <v>0</v>
      </c>
      <c r="DH183" s="570">
        <f t="shared" si="131"/>
        <v>0</v>
      </c>
      <c r="DI183" s="570">
        <f t="shared" si="132"/>
        <v>0</v>
      </c>
      <c r="DJ183" s="570">
        <f t="shared" si="133"/>
        <v>0</v>
      </c>
    </row>
    <row r="184" spans="106:114" x14ac:dyDescent="0.35">
      <c r="DB184" s="568"/>
      <c r="DC184" s="569"/>
      <c r="DD184" s="569"/>
      <c r="DE184" s="569"/>
      <c r="DF184" s="569"/>
      <c r="DG184" s="570">
        <f t="shared" si="130"/>
        <v>0</v>
      </c>
      <c r="DH184" s="570">
        <f t="shared" si="131"/>
        <v>0</v>
      </c>
      <c r="DI184" s="570">
        <f t="shared" si="132"/>
        <v>0</v>
      </c>
      <c r="DJ184" s="570">
        <f t="shared" si="133"/>
        <v>0</v>
      </c>
    </row>
    <row r="185" spans="106:114" x14ac:dyDescent="0.35">
      <c r="DB185" s="568"/>
      <c r="DC185" s="569"/>
      <c r="DD185" s="569"/>
      <c r="DE185" s="569"/>
      <c r="DF185" s="569"/>
      <c r="DG185" s="570">
        <f t="shared" si="130"/>
        <v>0</v>
      </c>
      <c r="DH185" s="570">
        <f t="shared" si="131"/>
        <v>0</v>
      </c>
      <c r="DI185" s="570">
        <f t="shared" si="132"/>
        <v>0</v>
      </c>
      <c r="DJ185" s="570">
        <f t="shared" si="133"/>
        <v>0</v>
      </c>
    </row>
    <row r="186" spans="106:114" x14ac:dyDescent="0.35">
      <c r="DB186" s="568"/>
      <c r="DC186" s="569"/>
      <c r="DD186" s="569"/>
      <c r="DE186" s="569"/>
      <c r="DF186" s="569"/>
      <c r="DG186" s="570">
        <f t="shared" si="130"/>
        <v>0</v>
      </c>
      <c r="DH186" s="570">
        <f t="shared" si="131"/>
        <v>0</v>
      </c>
      <c r="DI186" s="570">
        <f t="shared" si="132"/>
        <v>0</v>
      </c>
      <c r="DJ186" s="570">
        <f t="shared" si="133"/>
        <v>0</v>
      </c>
    </row>
    <row r="187" spans="106:114" x14ac:dyDescent="0.35">
      <c r="DB187" s="568"/>
      <c r="DC187" s="569"/>
      <c r="DD187" s="569"/>
      <c r="DE187" s="569"/>
      <c r="DF187" s="569"/>
      <c r="DG187" s="570">
        <f t="shared" si="130"/>
        <v>0</v>
      </c>
      <c r="DH187" s="570">
        <f t="shared" si="131"/>
        <v>0</v>
      </c>
      <c r="DI187" s="570">
        <f t="shared" si="132"/>
        <v>0</v>
      </c>
      <c r="DJ187" s="570">
        <f t="shared" si="133"/>
        <v>0</v>
      </c>
    </row>
    <row r="188" spans="106:114" x14ac:dyDescent="0.35">
      <c r="DB188" s="568"/>
      <c r="DC188" s="569"/>
      <c r="DD188" s="569"/>
      <c r="DE188" s="569"/>
      <c r="DF188" s="569"/>
      <c r="DG188" s="570">
        <f t="shared" si="130"/>
        <v>0</v>
      </c>
      <c r="DH188" s="570">
        <f t="shared" si="131"/>
        <v>0</v>
      </c>
      <c r="DI188" s="570">
        <f t="shared" si="132"/>
        <v>0</v>
      </c>
      <c r="DJ188" s="570">
        <f t="shared" si="133"/>
        <v>0</v>
      </c>
    </row>
    <row r="189" spans="106:114" x14ac:dyDescent="0.35">
      <c r="DB189" s="568"/>
      <c r="DC189" s="569"/>
      <c r="DD189" s="569"/>
      <c r="DE189" s="569"/>
      <c r="DF189" s="569"/>
      <c r="DG189" s="570">
        <f t="shared" si="130"/>
        <v>0</v>
      </c>
      <c r="DH189" s="570">
        <f t="shared" si="131"/>
        <v>0</v>
      </c>
      <c r="DI189" s="570">
        <f t="shared" si="132"/>
        <v>0</v>
      </c>
      <c r="DJ189" s="570">
        <f t="shared" si="133"/>
        <v>0</v>
      </c>
    </row>
    <row r="190" spans="106:114" x14ac:dyDescent="0.35">
      <c r="DB190" s="568"/>
      <c r="DC190" s="569"/>
      <c r="DD190" s="569"/>
      <c r="DE190" s="569"/>
      <c r="DF190" s="569"/>
      <c r="DG190" s="570">
        <f t="shared" si="130"/>
        <v>0</v>
      </c>
      <c r="DH190" s="570">
        <f t="shared" si="131"/>
        <v>0</v>
      </c>
      <c r="DI190" s="570">
        <f t="shared" si="132"/>
        <v>0</v>
      </c>
      <c r="DJ190" s="570">
        <f t="shared" si="133"/>
        <v>0</v>
      </c>
    </row>
    <row r="191" spans="106:114" x14ac:dyDescent="0.35">
      <c r="DB191" s="568"/>
      <c r="DC191" s="569"/>
      <c r="DD191" s="569"/>
      <c r="DE191" s="569"/>
      <c r="DF191" s="569"/>
      <c r="DG191" s="570">
        <f t="shared" si="130"/>
        <v>0</v>
      </c>
      <c r="DH191" s="570">
        <f t="shared" si="131"/>
        <v>0</v>
      </c>
      <c r="DI191" s="570">
        <f t="shared" si="132"/>
        <v>0</v>
      </c>
      <c r="DJ191" s="570">
        <f t="shared" si="133"/>
        <v>0</v>
      </c>
    </row>
    <row r="192" spans="106:114" x14ac:dyDescent="0.35">
      <c r="DB192" s="568"/>
      <c r="DC192" s="569"/>
      <c r="DD192" s="569"/>
      <c r="DE192" s="569"/>
      <c r="DF192" s="569"/>
      <c r="DG192" s="570">
        <f t="shared" si="130"/>
        <v>0</v>
      </c>
      <c r="DH192" s="570">
        <f t="shared" si="131"/>
        <v>0</v>
      </c>
      <c r="DI192" s="570">
        <f t="shared" si="132"/>
        <v>0</v>
      </c>
      <c r="DJ192" s="570">
        <f t="shared" si="133"/>
        <v>0</v>
      </c>
    </row>
    <row r="193" spans="106:114" x14ac:dyDescent="0.35">
      <c r="DB193" s="568"/>
      <c r="DC193" s="569"/>
      <c r="DD193" s="569"/>
      <c r="DE193" s="569"/>
      <c r="DF193" s="569"/>
      <c r="DG193" s="570">
        <f t="shared" si="130"/>
        <v>0</v>
      </c>
      <c r="DH193" s="570">
        <f t="shared" si="131"/>
        <v>0</v>
      </c>
      <c r="DI193" s="570">
        <f t="shared" si="132"/>
        <v>0</v>
      </c>
      <c r="DJ193" s="570">
        <f t="shared" si="133"/>
        <v>0</v>
      </c>
    </row>
    <row r="194" spans="106:114" x14ac:dyDescent="0.35">
      <c r="DB194" s="568"/>
      <c r="DC194" s="569"/>
      <c r="DD194" s="569"/>
      <c r="DE194" s="569"/>
      <c r="DF194" s="569"/>
      <c r="DG194" s="570">
        <f t="shared" si="130"/>
        <v>0</v>
      </c>
      <c r="DH194" s="570">
        <f t="shared" si="131"/>
        <v>0</v>
      </c>
      <c r="DI194" s="570">
        <f t="shared" si="132"/>
        <v>0</v>
      </c>
      <c r="DJ194" s="570">
        <f t="shared" si="133"/>
        <v>0</v>
      </c>
    </row>
    <row r="195" spans="106:114" x14ac:dyDescent="0.35">
      <c r="DB195" s="568"/>
      <c r="DC195" s="569"/>
      <c r="DD195" s="569"/>
      <c r="DE195" s="569"/>
      <c r="DF195" s="569"/>
      <c r="DG195" s="570">
        <f t="shared" si="130"/>
        <v>0</v>
      </c>
      <c r="DH195" s="570">
        <f t="shared" si="131"/>
        <v>0</v>
      </c>
      <c r="DI195" s="570">
        <f t="shared" si="132"/>
        <v>0</v>
      </c>
      <c r="DJ195" s="570">
        <f t="shared" si="133"/>
        <v>0</v>
      </c>
    </row>
    <row r="196" spans="106:114" x14ac:dyDescent="0.35">
      <c r="DB196" s="568"/>
      <c r="DC196" s="569"/>
      <c r="DD196" s="569"/>
      <c r="DE196" s="569"/>
      <c r="DF196" s="569"/>
      <c r="DG196" s="570">
        <f t="shared" ref="DG196:DG233" si="157">+DC196/$DK$2*$DL$2</f>
        <v>0</v>
      </c>
      <c r="DH196" s="570">
        <f t="shared" ref="DH196:DH233" si="158">+DD196/$DK$2*$DL$2</f>
        <v>0</v>
      </c>
      <c r="DI196" s="570">
        <f t="shared" ref="DI196:DI233" si="159">+DE196/$DK$2*$DL$2</f>
        <v>0</v>
      </c>
      <c r="DJ196" s="570">
        <f t="shared" ref="DJ196:DJ233" si="160">+DF196/$DK$2*$DL$2</f>
        <v>0</v>
      </c>
    </row>
    <row r="197" spans="106:114" x14ac:dyDescent="0.35">
      <c r="DB197" s="568"/>
      <c r="DC197" s="569"/>
      <c r="DD197" s="569"/>
      <c r="DE197" s="569"/>
      <c r="DF197" s="569"/>
      <c r="DG197" s="570">
        <f t="shared" si="157"/>
        <v>0</v>
      </c>
      <c r="DH197" s="570">
        <f t="shared" si="158"/>
        <v>0</v>
      </c>
      <c r="DI197" s="570">
        <f t="shared" si="159"/>
        <v>0</v>
      </c>
      <c r="DJ197" s="570">
        <f t="shared" si="160"/>
        <v>0</v>
      </c>
    </row>
    <row r="198" spans="106:114" x14ac:dyDescent="0.35">
      <c r="DB198" s="568"/>
      <c r="DC198" s="569"/>
      <c r="DD198" s="569"/>
      <c r="DE198" s="569"/>
      <c r="DF198" s="569"/>
      <c r="DG198" s="570">
        <f t="shared" si="157"/>
        <v>0</v>
      </c>
      <c r="DH198" s="570">
        <f t="shared" si="158"/>
        <v>0</v>
      </c>
      <c r="DI198" s="570">
        <f t="shared" si="159"/>
        <v>0</v>
      </c>
      <c r="DJ198" s="570">
        <f t="shared" si="160"/>
        <v>0</v>
      </c>
    </row>
    <row r="199" spans="106:114" x14ac:dyDescent="0.35">
      <c r="DB199" s="568"/>
      <c r="DC199" s="569"/>
      <c r="DD199" s="569"/>
      <c r="DE199" s="569"/>
      <c r="DF199" s="569"/>
      <c r="DG199" s="570">
        <f t="shared" si="157"/>
        <v>0</v>
      </c>
      <c r="DH199" s="570">
        <f t="shared" si="158"/>
        <v>0</v>
      </c>
      <c r="DI199" s="570">
        <f t="shared" si="159"/>
        <v>0</v>
      </c>
      <c r="DJ199" s="570">
        <f t="shared" si="160"/>
        <v>0</v>
      </c>
    </row>
    <row r="200" spans="106:114" x14ac:dyDescent="0.35">
      <c r="DB200" s="568"/>
      <c r="DC200" s="569"/>
      <c r="DD200" s="569"/>
      <c r="DE200" s="569"/>
      <c r="DF200" s="569"/>
      <c r="DG200" s="570">
        <f t="shared" si="157"/>
        <v>0</v>
      </c>
      <c r="DH200" s="570">
        <f t="shared" si="158"/>
        <v>0</v>
      </c>
      <c r="DI200" s="570">
        <f t="shared" si="159"/>
        <v>0</v>
      </c>
      <c r="DJ200" s="570">
        <f t="shared" si="160"/>
        <v>0</v>
      </c>
    </row>
    <row r="201" spans="106:114" x14ac:dyDescent="0.35">
      <c r="DB201" s="568"/>
      <c r="DC201" s="569"/>
      <c r="DD201" s="569"/>
      <c r="DE201" s="569"/>
      <c r="DF201" s="569"/>
      <c r="DG201" s="570">
        <f t="shared" si="157"/>
        <v>0</v>
      </c>
      <c r="DH201" s="570">
        <f t="shared" si="158"/>
        <v>0</v>
      </c>
      <c r="DI201" s="570">
        <f t="shared" si="159"/>
        <v>0</v>
      </c>
      <c r="DJ201" s="570">
        <f t="shared" si="160"/>
        <v>0</v>
      </c>
    </row>
    <row r="202" spans="106:114" x14ac:dyDescent="0.35">
      <c r="DB202" s="568"/>
      <c r="DC202" s="569"/>
      <c r="DD202" s="569"/>
      <c r="DE202" s="569"/>
      <c r="DF202" s="569"/>
      <c r="DG202" s="570">
        <f t="shared" si="157"/>
        <v>0</v>
      </c>
      <c r="DH202" s="570">
        <f t="shared" si="158"/>
        <v>0</v>
      </c>
      <c r="DI202" s="570">
        <f t="shared" si="159"/>
        <v>0</v>
      </c>
      <c r="DJ202" s="570">
        <f t="shared" si="160"/>
        <v>0</v>
      </c>
    </row>
    <row r="203" spans="106:114" x14ac:dyDescent="0.35">
      <c r="DB203" s="568"/>
      <c r="DC203" s="569"/>
      <c r="DD203" s="569"/>
      <c r="DE203" s="569"/>
      <c r="DF203" s="569"/>
      <c r="DG203" s="570">
        <f t="shared" si="157"/>
        <v>0</v>
      </c>
      <c r="DH203" s="570">
        <f t="shared" si="158"/>
        <v>0</v>
      </c>
      <c r="DI203" s="570">
        <f t="shared" si="159"/>
        <v>0</v>
      </c>
      <c r="DJ203" s="570">
        <f t="shared" si="160"/>
        <v>0</v>
      </c>
    </row>
    <row r="204" spans="106:114" x14ac:dyDescent="0.35">
      <c r="DB204" s="568"/>
      <c r="DC204" s="569"/>
      <c r="DD204" s="569"/>
      <c r="DE204" s="569"/>
      <c r="DF204" s="569"/>
      <c r="DG204" s="570">
        <f t="shared" si="157"/>
        <v>0</v>
      </c>
      <c r="DH204" s="570">
        <f t="shared" si="158"/>
        <v>0</v>
      </c>
      <c r="DI204" s="570">
        <f t="shared" si="159"/>
        <v>0</v>
      </c>
      <c r="DJ204" s="570">
        <f t="shared" si="160"/>
        <v>0</v>
      </c>
    </row>
    <row r="205" spans="106:114" x14ac:dyDescent="0.35">
      <c r="DB205" s="568"/>
      <c r="DC205" s="569"/>
      <c r="DD205" s="569"/>
      <c r="DE205" s="569"/>
      <c r="DF205" s="569"/>
      <c r="DG205" s="570">
        <f t="shared" si="157"/>
        <v>0</v>
      </c>
      <c r="DH205" s="570">
        <f t="shared" si="158"/>
        <v>0</v>
      </c>
      <c r="DI205" s="570">
        <f t="shared" si="159"/>
        <v>0</v>
      </c>
      <c r="DJ205" s="570">
        <f t="shared" si="160"/>
        <v>0</v>
      </c>
    </row>
    <row r="206" spans="106:114" x14ac:dyDescent="0.35">
      <c r="DB206" s="568"/>
      <c r="DC206" s="569"/>
      <c r="DD206" s="569"/>
      <c r="DE206" s="569"/>
      <c r="DF206" s="569"/>
      <c r="DG206" s="570">
        <f t="shared" si="157"/>
        <v>0</v>
      </c>
      <c r="DH206" s="570">
        <f t="shared" si="158"/>
        <v>0</v>
      </c>
      <c r="DI206" s="570">
        <f t="shared" si="159"/>
        <v>0</v>
      </c>
      <c r="DJ206" s="570">
        <f t="shared" si="160"/>
        <v>0</v>
      </c>
    </row>
    <row r="207" spans="106:114" x14ac:dyDescent="0.35">
      <c r="DB207" s="568"/>
      <c r="DC207" s="569"/>
      <c r="DD207" s="569"/>
      <c r="DE207" s="569"/>
      <c r="DF207" s="569"/>
      <c r="DG207" s="570">
        <f t="shared" si="157"/>
        <v>0</v>
      </c>
      <c r="DH207" s="570">
        <f t="shared" si="158"/>
        <v>0</v>
      </c>
      <c r="DI207" s="570">
        <f t="shared" si="159"/>
        <v>0</v>
      </c>
      <c r="DJ207" s="570">
        <f t="shared" si="160"/>
        <v>0</v>
      </c>
    </row>
    <row r="208" spans="106:114" x14ac:dyDescent="0.35">
      <c r="DB208" s="568"/>
      <c r="DC208" s="569"/>
      <c r="DD208" s="569"/>
      <c r="DE208" s="569"/>
      <c r="DF208" s="569"/>
      <c r="DG208" s="570">
        <f t="shared" si="157"/>
        <v>0</v>
      </c>
      <c r="DH208" s="570">
        <f t="shared" si="158"/>
        <v>0</v>
      </c>
      <c r="DI208" s="570">
        <f t="shared" si="159"/>
        <v>0</v>
      </c>
      <c r="DJ208" s="570">
        <f t="shared" si="160"/>
        <v>0</v>
      </c>
    </row>
    <row r="209" spans="106:114" x14ac:dyDescent="0.35">
      <c r="DB209" s="568"/>
      <c r="DC209" s="569"/>
      <c r="DD209" s="569"/>
      <c r="DE209" s="569"/>
      <c r="DF209" s="569"/>
      <c r="DG209" s="570">
        <f t="shared" si="157"/>
        <v>0</v>
      </c>
      <c r="DH209" s="570">
        <f t="shared" si="158"/>
        <v>0</v>
      </c>
      <c r="DI209" s="570">
        <f t="shared" si="159"/>
        <v>0</v>
      </c>
      <c r="DJ209" s="570">
        <f t="shared" si="160"/>
        <v>0</v>
      </c>
    </row>
    <row r="210" spans="106:114" x14ac:dyDescent="0.35">
      <c r="DB210" s="568"/>
      <c r="DC210" s="569"/>
      <c r="DD210" s="569"/>
      <c r="DE210" s="569"/>
      <c r="DF210" s="569"/>
      <c r="DG210" s="570">
        <f t="shared" si="157"/>
        <v>0</v>
      </c>
      <c r="DH210" s="570">
        <f t="shared" si="158"/>
        <v>0</v>
      </c>
      <c r="DI210" s="570">
        <f t="shared" si="159"/>
        <v>0</v>
      </c>
      <c r="DJ210" s="570">
        <f t="shared" si="160"/>
        <v>0</v>
      </c>
    </row>
    <row r="211" spans="106:114" x14ac:dyDescent="0.35">
      <c r="DB211" s="568"/>
      <c r="DC211" s="569"/>
      <c r="DD211" s="569"/>
      <c r="DE211" s="569"/>
      <c r="DF211" s="569"/>
      <c r="DG211" s="570">
        <f t="shared" si="157"/>
        <v>0</v>
      </c>
      <c r="DH211" s="570">
        <f t="shared" si="158"/>
        <v>0</v>
      </c>
      <c r="DI211" s="570">
        <f t="shared" si="159"/>
        <v>0</v>
      </c>
      <c r="DJ211" s="570">
        <f t="shared" si="160"/>
        <v>0</v>
      </c>
    </row>
    <row r="212" spans="106:114" x14ac:dyDescent="0.35">
      <c r="DB212" s="568"/>
      <c r="DC212" s="569"/>
      <c r="DD212" s="569"/>
      <c r="DE212" s="569"/>
      <c r="DF212" s="569"/>
      <c r="DG212" s="570">
        <f t="shared" si="157"/>
        <v>0</v>
      </c>
      <c r="DH212" s="570">
        <f t="shared" si="158"/>
        <v>0</v>
      </c>
      <c r="DI212" s="570">
        <f t="shared" si="159"/>
        <v>0</v>
      </c>
      <c r="DJ212" s="570">
        <f t="shared" si="160"/>
        <v>0</v>
      </c>
    </row>
    <row r="213" spans="106:114" x14ac:dyDescent="0.35">
      <c r="DB213" s="568"/>
      <c r="DC213" s="569"/>
      <c r="DD213" s="569"/>
      <c r="DE213" s="569"/>
      <c r="DF213" s="569"/>
      <c r="DG213" s="570">
        <f t="shared" si="157"/>
        <v>0</v>
      </c>
      <c r="DH213" s="570">
        <f t="shared" si="158"/>
        <v>0</v>
      </c>
      <c r="DI213" s="570">
        <f t="shared" si="159"/>
        <v>0</v>
      </c>
      <c r="DJ213" s="570">
        <f t="shared" si="160"/>
        <v>0</v>
      </c>
    </row>
    <row r="214" spans="106:114" x14ac:dyDescent="0.35">
      <c r="DB214" s="568"/>
      <c r="DC214" s="569"/>
      <c r="DD214" s="569"/>
      <c r="DE214" s="569"/>
      <c r="DF214" s="569"/>
      <c r="DG214" s="570">
        <f t="shared" si="157"/>
        <v>0</v>
      </c>
      <c r="DH214" s="570">
        <f t="shared" si="158"/>
        <v>0</v>
      </c>
      <c r="DI214" s="570">
        <f t="shared" si="159"/>
        <v>0</v>
      </c>
      <c r="DJ214" s="570">
        <f t="shared" si="160"/>
        <v>0</v>
      </c>
    </row>
    <row r="215" spans="106:114" x14ac:dyDescent="0.35">
      <c r="DB215" s="568"/>
      <c r="DC215" s="569"/>
      <c r="DD215" s="569"/>
      <c r="DE215" s="569"/>
      <c r="DF215" s="569"/>
      <c r="DG215" s="570">
        <f t="shared" si="157"/>
        <v>0</v>
      </c>
      <c r="DH215" s="570">
        <f t="shared" si="158"/>
        <v>0</v>
      </c>
      <c r="DI215" s="570">
        <f t="shared" si="159"/>
        <v>0</v>
      </c>
      <c r="DJ215" s="570">
        <f t="shared" si="160"/>
        <v>0</v>
      </c>
    </row>
    <row r="216" spans="106:114" x14ac:dyDescent="0.35">
      <c r="DB216" s="568"/>
      <c r="DC216" s="569"/>
      <c r="DD216" s="569"/>
      <c r="DE216" s="569"/>
      <c r="DF216" s="569"/>
      <c r="DG216" s="570">
        <f t="shared" si="157"/>
        <v>0</v>
      </c>
      <c r="DH216" s="570">
        <f t="shared" si="158"/>
        <v>0</v>
      </c>
      <c r="DI216" s="570">
        <f t="shared" si="159"/>
        <v>0</v>
      </c>
      <c r="DJ216" s="570">
        <f t="shared" si="160"/>
        <v>0</v>
      </c>
    </row>
    <row r="217" spans="106:114" x14ac:dyDescent="0.35">
      <c r="DB217" s="568"/>
      <c r="DC217" s="569"/>
      <c r="DD217" s="569"/>
      <c r="DE217" s="569"/>
      <c r="DF217" s="569"/>
      <c r="DG217" s="570">
        <f t="shared" si="157"/>
        <v>0</v>
      </c>
      <c r="DH217" s="570">
        <f t="shared" si="158"/>
        <v>0</v>
      </c>
      <c r="DI217" s="570">
        <f t="shared" si="159"/>
        <v>0</v>
      </c>
      <c r="DJ217" s="570">
        <f t="shared" si="160"/>
        <v>0</v>
      </c>
    </row>
    <row r="218" spans="106:114" x14ac:dyDescent="0.35">
      <c r="DB218" s="568"/>
      <c r="DC218" s="569"/>
      <c r="DD218" s="569"/>
      <c r="DE218" s="569"/>
      <c r="DF218" s="569"/>
      <c r="DG218" s="570">
        <f t="shared" si="157"/>
        <v>0</v>
      </c>
      <c r="DH218" s="570">
        <f t="shared" si="158"/>
        <v>0</v>
      </c>
      <c r="DI218" s="570">
        <f t="shared" si="159"/>
        <v>0</v>
      </c>
      <c r="DJ218" s="570">
        <f t="shared" si="160"/>
        <v>0</v>
      </c>
    </row>
    <row r="219" spans="106:114" x14ac:dyDescent="0.35">
      <c r="DB219" s="568"/>
      <c r="DC219" s="569"/>
      <c r="DD219" s="569"/>
      <c r="DE219" s="569"/>
      <c r="DF219" s="569"/>
      <c r="DG219" s="570">
        <f t="shared" si="157"/>
        <v>0</v>
      </c>
      <c r="DH219" s="570">
        <f t="shared" si="158"/>
        <v>0</v>
      </c>
      <c r="DI219" s="570">
        <f t="shared" si="159"/>
        <v>0</v>
      </c>
      <c r="DJ219" s="570">
        <f t="shared" si="160"/>
        <v>0</v>
      </c>
    </row>
    <row r="220" spans="106:114" x14ac:dyDescent="0.35">
      <c r="DB220" s="568"/>
      <c r="DC220" s="569"/>
      <c r="DD220" s="569"/>
      <c r="DE220" s="569"/>
      <c r="DF220" s="569"/>
      <c r="DG220" s="570">
        <f t="shared" si="157"/>
        <v>0</v>
      </c>
      <c r="DH220" s="570">
        <f t="shared" si="158"/>
        <v>0</v>
      </c>
      <c r="DI220" s="570">
        <f t="shared" si="159"/>
        <v>0</v>
      </c>
      <c r="DJ220" s="570">
        <f t="shared" si="160"/>
        <v>0</v>
      </c>
    </row>
    <row r="221" spans="106:114" x14ac:dyDescent="0.35">
      <c r="DB221" s="568"/>
      <c r="DC221" s="569"/>
      <c r="DD221" s="569"/>
      <c r="DE221" s="569"/>
      <c r="DF221" s="569"/>
      <c r="DG221" s="570">
        <f t="shared" si="157"/>
        <v>0</v>
      </c>
      <c r="DH221" s="570">
        <f t="shared" si="158"/>
        <v>0</v>
      </c>
      <c r="DI221" s="570">
        <f t="shared" si="159"/>
        <v>0</v>
      </c>
      <c r="DJ221" s="570">
        <f t="shared" si="160"/>
        <v>0</v>
      </c>
    </row>
    <row r="222" spans="106:114" x14ac:dyDescent="0.35">
      <c r="DB222" s="568"/>
      <c r="DC222" s="569"/>
      <c r="DD222" s="569"/>
      <c r="DE222" s="569"/>
      <c r="DF222" s="569"/>
      <c r="DG222" s="570">
        <f t="shared" si="157"/>
        <v>0</v>
      </c>
      <c r="DH222" s="570">
        <f t="shared" si="158"/>
        <v>0</v>
      </c>
      <c r="DI222" s="570">
        <f t="shared" si="159"/>
        <v>0</v>
      </c>
      <c r="DJ222" s="570">
        <f t="shared" si="160"/>
        <v>0</v>
      </c>
    </row>
    <row r="223" spans="106:114" x14ac:dyDescent="0.35">
      <c r="DB223" s="568"/>
      <c r="DC223" s="569"/>
      <c r="DD223" s="569"/>
      <c r="DE223" s="569"/>
      <c r="DF223" s="569"/>
      <c r="DG223" s="570">
        <f t="shared" si="157"/>
        <v>0</v>
      </c>
      <c r="DH223" s="570">
        <f t="shared" si="158"/>
        <v>0</v>
      </c>
      <c r="DI223" s="570">
        <f t="shared" si="159"/>
        <v>0</v>
      </c>
      <c r="DJ223" s="570">
        <f t="shared" si="160"/>
        <v>0</v>
      </c>
    </row>
    <row r="224" spans="106:114" x14ac:dyDescent="0.35">
      <c r="DB224" s="568"/>
      <c r="DC224" s="569"/>
      <c r="DD224" s="569"/>
      <c r="DE224" s="569"/>
      <c r="DF224" s="569"/>
      <c r="DG224" s="570">
        <f t="shared" si="157"/>
        <v>0</v>
      </c>
      <c r="DH224" s="570">
        <f t="shared" si="158"/>
        <v>0</v>
      </c>
      <c r="DI224" s="570">
        <f t="shared" si="159"/>
        <v>0</v>
      </c>
      <c r="DJ224" s="570">
        <f t="shared" si="160"/>
        <v>0</v>
      </c>
    </row>
    <row r="225" spans="106:114" x14ac:dyDescent="0.35">
      <c r="DB225" s="568"/>
      <c r="DC225" s="569"/>
      <c r="DD225" s="569"/>
      <c r="DE225" s="569"/>
      <c r="DF225" s="569"/>
      <c r="DG225" s="570">
        <f t="shared" si="157"/>
        <v>0</v>
      </c>
      <c r="DH225" s="570">
        <f t="shared" si="158"/>
        <v>0</v>
      </c>
      <c r="DI225" s="570">
        <f t="shared" si="159"/>
        <v>0</v>
      </c>
      <c r="DJ225" s="570">
        <f t="shared" si="160"/>
        <v>0</v>
      </c>
    </row>
    <row r="226" spans="106:114" x14ac:dyDescent="0.35">
      <c r="DB226" s="568"/>
      <c r="DC226" s="569"/>
      <c r="DD226" s="569"/>
      <c r="DE226" s="569"/>
      <c r="DF226" s="569"/>
      <c r="DG226" s="570">
        <f t="shared" si="157"/>
        <v>0</v>
      </c>
      <c r="DH226" s="570">
        <f t="shared" si="158"/>
        <v>0</v>
      </c>
      <c r="DI226" s="570">
        <f t="shared" si="159"/>
        <v>0</v>
      </c>
      <c r="DJ226" s="570">
        <f t="shared" si="160"/>
        <v>0</v>
      </c>
    </row>
    <row r="227" spans="106:114" x14ac:dyDescent="0.35">
      <c r="DB227" s="568"/>
      <c r="DC227" s="569"/>
      <c r="DD227" s="569"/>
      <c r="DE227" s="569"/>
      <c r="DF227" s="569"/>
      <c r="DG227" s="570">
        <f t="shared" si="157"/>
        <v>0</v>
      </c>
      <c r="DH227" s="570">
        <f t="shared" si="158"/>
        <v>0</v>
      </c>
      <c r="DI227" s="570">
        <f t="shared" si="159"/>
        <v>0</v>
      </c>
      <c r="DJ227" s="570">
        <f t="shared" si="160"/>
        <v>0</v>
      </c>
    </row>
    <row r="228" spans="106:114" x14ac:dyDescent="0.35">
      <c r="DB228" s="568"/>
      <c r="DC228" s="569"/>
      <c r="DD228" s="569"/>
      <c r="DE228" s="569"/>
      <c r="DF228" s="569"/>
      <c r="DG228" s="570">
        <f t="shared" si="157"/>
        <v>0</v>
      </c>
      <c r="DH228" s="570">
        <f t="shared" si="158"/>
        <v>0</v>
      </c>
      <c r="DI228" s="570">
        <f t="shared" si="159"/>
        <v>0</v>
      </c>
      <c r="DJ228" s="570">
        <f t="shared" si="160"/>
        <v>0</v>
      </c>
    </row>
    <row r="229" spans="106:114" x14ac:dyDescent="0.35">
      <c r="DB229" s="568"/>
      <c r="DC229" s="569"/>
      <c r="DD229" s="569"/>
      <c r="DE229" s="569"/>
      <c r="DF229" s="569"/>
      <c r="DG229" s="570">
        <f t="shared" si="157"/>
        <v>0</v>
      </c>
      <c r="DH229" s="570">
        <f t="shared" si="158"/>
        <v>0</v>
      </c>
      <c r="DI229" s="570">
        <f t="shared" si="159"/>
        <v>0</v>
      </c>
      <c r="DJ229" s="570">
        <f t="shared" si="160"/>
        <v>0</v>
      </c>
    </row>
    <row r="230" spans="106:114" x14ac:dyDescent="0.35">
      <c r="DB230" s="568"/>
      <c r="DC230" s="569"/>
      <c r="DD230" s="569"/>
      <c r="DE230" s="569"/>
      <c r="DF230" s="569"/>
      <c r="DG230" s="570">
        <f t="shared" si="157"/>
        <v>0</v>
      </c>
      <c r="DH230" s="570">
        <f t="shared" si="158"/>
        <v>0</v>
      </c>
      <c r="DI230" s="570">
        <f t="shared" si="159"/>
        <v>0</v>
      </c>
      <c r="DJ230" s="570">
        <f t="shared" si="160"/>
        <v>0</v>
      </c>
    </row>
    <row r="231" spans="106:114" x14ac:dyDescent="0.35">
      <c r="DB231" s="568"/>
      <c r="DC231" s="569"/>
      <c r="DD231" s="569"/>
      <c r="DE231" s="569"/>
      <c r="DF231" s="569"/>
      <c r="DG231" s="570">
        <f t="shared" si="157"/>
        <v>0</v>
      </c>
      <c r="DH231" s="570">
        <f t="shared" si="158"/>
        <v>0</v>
      </c>
      <c r="DI231" s="570">
        <f t="shared" si="159"/>
        <v>0</v>
      </c>
      <c r="DJ231" s="570">
        <f t="shared" si="160"/>
        <v>0</v>
      </c>
    </row>
    <row r="232" spans="106:114" x14ac:dyDescent="0.35">
      <c r="DB232" s="568"/>
      <c r="DC232" s="569"/>
      <c r="DD232" s="569"/>
      <c r="DE232" s="569"/>
      <c r="DF232" s="569"/>
      <c r="DG232" s="570">
        <f t="shared" si="157"/>
        <v>0</v>
      </c>
      <c r="DH232" s="570">
        <f t="shared" si="158"/>
        <v>0</v>
      </c>
      <c r="DI232" s="570">
        <f t="shared" si="159"/>
        <v>0</v>
      </c>
      <c r="DJ232" s="570">
        <f t="shared" si="160"/>
        <v>0</v>
      </c>
    </row>
    <row r="233" spans="106:114" x14ac:dyDescent="0.35">
      <c r="DB233" s="568"/>
      <c r="DC233" s="569"/>
      <c r="DD233" s="569"/>
      <c r="DE233" s="569"/>
      <c r="DF233" s="569"/>
      <c r="DG233" s="570">
        <f t="shared" si="157"/>
        <v>0</v>
      </c>
      <c r="DH233" s="570">
        <f t="shared" si="158"/>
        <v>0</v>
      </c>
      <c r="DI233" s="570">
        <f t="shared" si="159"/>
        <v>0</v>
      </c>
      <c r="DJ233" s="570">
        <f t="shared" si="160"/>
        <v>0</v>
      </c>
    </row>
  </sheetData>
  <mergeCells count="24">
    <mergeCell ref="GV1:GZ1"/>
    <mergeCell ref="HB1:HK1"/>
    <mergeCell ref="GF1:GR1"/>
    <mergeCell ref="FT1:GC1"/>
    <mergeCell ref="A1:F1"/>
    <mergeCell ref="Q1:U1"/>
    <mergeCell ref="Z1:AB1"/>
    <mergeCell ref="AF1:AH1"/>
    <mergeCell ref="BM1:BW1"/>
    <mergeCell ref="BF1:BK1"/>
    <mergeCell ref="AN1:AQ1"/>
    <mergeCell ref="AU1:BB1"/>
    <mergeCell ref="J1:M1"/>
    <mergeCell ref="EZ1:FE1"/>
    <mergeCell ref="FG1:FP1"/>
    <mergeCell ref="CA1:CE1"/>
    <mergeCell ref="CN1:CQ1"/>
    <mergeCell ref="CG1:CM1"/>
    <mergeCell ref="EH1:EJ1"/>
    <mergeCell ref="EO1:EV1"/>
    <mergeCell ref="DN1:DR1"/>
    <mergeCell ref="DV1:ED1"/>
    <mergeCell ref="CU1:DA1"/>
    <mergeCell ref="DB1:DJ1"/>
  </mergeCells>
  <pageMargins left="0.7" right="0.7" top="0.75" bottom="0.75" header="0.3" footer="0.3"/>
  <pageSetup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EI163"/>
  <sheetViews>
    <sheetView topLeftCell="DP139" zoomScale="90" zoomScaleNormal="90" workbookViewId="0">
      <selection activeCell="EA143" sqref="EA143:EI147"/>
    </sheetView>
  </sheetViews>
  <sheetFormatPr baseColWidth="10" defaultRowHeight="16.5" x14ac:dyDescent="0.3"/>
  <cols>
    <col min="1" max="1" width="52.7109375" style="1624" customWidth="1"/>
    <col min="2" max="5" width="0" style="1624" hidden="1" customWidth="1"/>
    <col min="6" max="8" width="16.140625" style="1624" hidden="1" customWidth="1"/>
    <col min="9" max="9" width="16.140625" style="1624" customWidth="1"/>
    <col min="10" max="11" width="11.42578125" style="1624"/>
    <col min="12" max="12" width="36.140625" style="1624" customWidth="1"/>
    <col min="13" max="13" width="0" style="1624" hidden="1" customWidth="1"/>
    <col min="14" max="14" width="15.140625" style="1624" customWidth="1"/>
    <col min="15" max="15" width="11.5703125" style="1624" bestFit="1" customWidth="1"/>
    <col min="16" max="16" width="0" style="1624" hidden="1" customWidth="1"/>
    <col min="17" max="17" width="23.85546875" style="1624" hidden="1" customWidth="1"/>
    <col min="18" max="21" width="11.42578125" style="1624" hidden="1" customWidth="1"/>
    <col min="22" max="22" width="13.28515625" style="1624" hidden="1" customWidth="1"/>
    <col min="23" max="23" width="12.140625" style="1624" hidden="1" customWidth="1"/>
    <col min="24" max="24" width="13.28515625" style="1624" hidden="1" customWidth="1"/>
    <col min="25" max="25" width="12.140625" style="1624" hidden="1" customWidth="1"/>
    <col min="26" max="26" width="0" style="1624" hidden="1" customWidth="1"/>
    <col min="27" max="27" width="11.42578125" style="1624"/>
    <col min="28" max="28" width="26.85546875" style="1624" customWidth="1"/>
    <col min="29" max="29" width="15.140625" style="1624" hidden="1" customWidth="1"/>
    <col min="30" max="30" width="12.140625" style="1624" bestFit="1" customWidth="1"/>
    <col min="31" max="31" width="11.5703125" style="1624" bestFit="1" customWidth="1"/>
    <col min="32" max="32" width="0" style="1624" hidden="1" customWidth="1"/>
    <col min="33" max="33" width="15.42578125" style="1624" hidden="1" customWidth="1"/>
    <col min="34" max="35" width="14.85546875" style="1624" hidden="1" customWidth="1"/>
    <col min="36" max="36" width="14.140625" style="1624" hidden="1" customWidth="1"/>
    <col min="37" max="37" width="8.5703125" style="1624" hidden="1" customWidth="1"/>
    <col min="38" max="38" width="13.42578125" style="1624" hidden="1" customWidth="1"/>
    <col min="39" max="40" width="12.28515625" style="1624" hidden="1" customWidth="1"/>
    <col min="41" max="41" width="13.42578125" style="1624" hidden="1" customWidth="1"/>
    <col min="42" max="42" width="0" style="1624" hidden="1" customWidth="1"/>
    <col min="43" max="43" width="11.42578125" style="1624"/>
    <col min="44" max="44" width="35.5703125" style="1624" customWidth="1"/>
    <col min="45" max="45" width="15.7109375" style="1624" hidden="1" customWidth="1"/>
    <col min="46" max="46" width="12.140625" style="1624" bestFit="1" customWidth="1"/>
    <col min="47" max="47" width="11.42578125" style="1624"/>
    <col min="48" max="48" width="0" style="1624" hidden="1" customWidth="1"/>
    <col min="49" max="49" width="24.85546875" style="1624" hidden="1" customWidth="1"/>
    <col min="50" max="53" width="0" style="1624" hidden="1" customWidth="1"/>
    <col min="54" max="54" width="13.140625" style="1624" hidden="1" customWidth="1"/>
    <col min="55" max="56" width="12.140625" style="1624" hidden="1" customWidth="1"/>
    <col min="57" max="57" width="13.28515625" style="1624" hidden="1" customWidth="1"/>
    <col min="58" max="58" width="0" style="1624" hidden="1" customWidth="1"/>
    <col min="59" max="59" width="11.42578125" style="1624"/>
    <col min="60" max="60" width="17" style="1624" customWidth="1"/>
    <col min="61" max="61" width="16.140625" style="1624" hidden="1" customWidth="1"/>
    <col min="62" max="62" width="12.140625" style="1624" bestFit="1" customWidth="1"/>
    <col min="63" max="63" width="11.42578125" style="1624"/>
    <col min="64" max="64" width="0" style="1624" hidden="1" customWidth="1"/>
    <col min="65" max="65" width="22.28515625" style="1629" hidden="1" customWidth="1"/>
    <col min="66" max="69" width="15.5703125" style="1629" hidden="1" customWidth="1"/>
    <col min="70" max="70" width="13.28515625" style="1624" hidden="1" customWidth="1"/>
    <col min="71" max="72" width="12.140625" style="1624" hidden="1" customWidth="1"/>
    <col min="73" max="73" width="13.28515625" style="1624" hidden="1" customWidth="1"/>
    <col min="74" max="74" width="0" style="1624" hidden="1" customWidth="1"/>
    <col min="75" max="75" width="11.42578125" style="1624"/>
    <col min="76" max="76" width="28.7109375" style="1624" customWidth="1"/>
    <col min="77" max="77" width="13.5703125" style="1622" hidden="1" customWidth="1"/>
    <col min="78" max="78" width="12.140625" style="1624" bestFit="1" customWidth="1"/>
    <col min="79" max="79" width="11.5703125" style="1624" bestFit="1" customWidth="1"/>
    <col min="80" max="80" width="0" style="1624" hidden="1" customWidth="1"/>
    <col min="81" max="81" width="27.5703125" style="1624" hidden="1" customWidth="1"/>
    <col min="82" max="82" width="14.5703125" style="1624" hidden="1" customWidth="1"/>
    <col min="83" max="85" width="13.5703125" style="1624" hidden="1" customWidth="1"/>
    <col min="86" max="86" width="13.28515625" style="1624" hidden="1" customWidth="1"/>
    <col min="87" max="89" width="12.140625" style="1624" hidden="1" customWidth="1"/>
    <col min="90" max="90" width="0" style="1624" hidden="1" customWidth="1"/>
    <col min="91" max="91" width="11.42578125" style="1624"/>
    <col min="92" max="92" width="42.7109375" style="1624" customWidth="1"/>
    <col min="93" max="93" width="7.28515625" style="1622" hidden="1" customWidth="1"/>
    <col min="94" max="94" width="12.140625" style="1624" bestFit="1" customWidth="1"/>
    <col min="95" max="95" width="11.5703125" style="1624" bestFit="1" customWidth="1"/>
    <col min="96" max="96" width="13.28515625" style="1624" hidden="1" customWidth="1"/>
    <col min="97" max="97" width="67" style="1624" hidden="1" customWidth="1"/>
    <col min="98" max="101" width="0" style="1624" hidden="1" customWidth="1"/>
    <col min="102" max="102" width="12.7109375" style="1624" hidden="1" customWidth="1"/>
    <col min="103" max="104" width="13.28515625" style="1624" hidden="1" customWidth="1"/>
    <col min="105" max="105" width="12.140625" style="1624" hidden="1" customWidth="1"/>
    <col min="106" max="106" width="0" style="1624" hidden="1" customWidth="1"/>
    <col min="107" max="107" width="11.42578125" style="1624"/>
    <col min="108" max="108" width="29.42578125" style="1624" customWidth="1"/>
    <col min="109" max="109" width="16.5703125" style="1622" hidden="1" customWidth="1"/>
    <col min="110" max="110" width="18" style="1624" customWidth="1"/>
    <col min="111" max="112" width="5.42578125" style="1624" customWidth="1"/>
    <col min="113" max="113" width="7" style="1624" customWidth="1"/>
    <col min="114" max="114" width="56.5703125" style="1624" customWidth="1"/>
    <col min="115" max="116" width="14.5703125" style="1622" hidden="1" customWidth="1"/>
    <col min="117" max="117" width="13.5703125" style="1622" hidden="1" customWidth="1"/>
    <col min="118" max="118" width="14.5703125" style="1622" hidden="1" customWidth="1"/>
    <col min="119" max="122" width="15.5703125" style="1622" customWidth="1"/>
    <col min="123" max="124" width="5.5703125" style="1624" customWidth="1"/>
    <col min="125" max="125" width="11.42578125" style="1624"/>
    <col min="126" max="126" width="53.42578125" style="1624" customWidth="1"/>
    <col min="127" max="127" width="20.5703125" style="1624" hidden="1" customWidth="1"/>
    <col min="128" max="128" width="20.5703125" style="1624" customWidth="1"/>
    <col min="129" max="130" width="11.42578125" style="1624"/>
    <col min="131" max="131" width="36.140625" style="1624" customWidth="1"/>
    <col min="132" max="135" width="0" style="1624" hidden="1" customWidth="1"/>
    <col min="136" max="136" width="16.7109375" customWidth="1"/>
    <col min="137" max="138" width="16.7109375" style="1624" customWidth="1"/>
    <col min="139" max="139" width="19.85546875" style="1624" customWidth="1"/>
    <col min="140" max="16384" width="11.42578125" style="1624"/>
  </cols>
  <sheetData>
    <row r="1" spans="1:139" s="1617" customFormat="1" x14ac:dyDescent="0.3">
      <c r="A1" s="1617" t="s">
        <v>0</v>
      </c>
      <c r="H1" s="1617">
        <v>1000</v>
      </c>
      <c r="I1" s="1617">
        <v>1</v>
      </c>
      <c r="L1" s="1874" t="s">
        <v>137</v>
      </c>
      <c r="M1" s="1874"/>
      <c r="N1" s="1617">
        <v>1000</v>
      </c>
      <c r="O1" s="1617">
        <v>1</v>
      </c>
      <c r="Q1" s="1874" t="s">
        <v>1011</v>
      </c>
      <c r="R1" s="1874"/>
      <c r="S1" s="1874"/>
      <c r="T1" s="1874"/>
      <c r="U1" s="1874"/>
      <c r="V1" s="1874"/>
      <c r="W1" s="1874"/>
      <c r="X1" s="1617">
        <v>1000</v>
      </c>
      <c r="Y1" s="1617">
        <v>1</v>
      </c>
      <c r="AB1" s="1874" t="s">
        <v>6</v>
      </c>
      <c r="AC1" s="1874"/>
      <c r="AD1" s="1617">
        <v>1000</v>
      </c>
      <c r="AE1" s="1617">
        <v>1</v>
      </c>
      <c r="AG1" s="1874" t="s">
        <v>1012</v>
      </c>
      <c r="AH1" s="1874"/>
      <c r="AI1" s="1874"/>
      <c r="AJ1" s="1874"/>
      <c r="AK1" s="1874"/>
      <c r="AL1" s="1874"/>
      <c r="AM1" s="1874"/>
      <c r="AN1" s="1617">
        <v>1000</v>
      </c>
      <c r="AO1" s="1617">
        <v>1</v>
      </c>
      <c r="AR1" s="1617" t="s">
        <v>7</v>
      </c>
      <c r="AS1" s="1617">
        <v>1000</v>
      </c>
      <c r="AT1" s="1617">
        <v>1</v>
      </c>
      <c r="AW1" s="1617" t="s">
        <v>1018</v>
      </c>
      <c r="BD1" s="1617">
        <v>1000</v>
      </c>
      <c r="BE1" s="1617">
        <v>1</v>
      </c>
      <c r="BH1" s="1617" t="s">
        <v>8</v>
      </c>
      <c r="BJ1" s="1617">
        <v>1000</v>
      </c>
      <c r="BK1" s="1617">
        <v>1</v>
      </c>
      <c r="BM1" s="1618" t="s">
        <v>1026</v>
      </c>
      <c r="BN1" s="1619"/>
      <c r="BO1" s="1619"/>
      <c r="BP1" s="1619"/>
      <c r="BQ1" s="1619"/>
      <c r="BU1" s="1617">
        <v>1000</v>
      </c>
      <c r="BV1" s="1617">
        <v>1</v>
      </c>
      <c r="BX1" s="1875" t="s">
        <v>9</v>
      </c>
      <c r="BY1" s="1875"/>
      <c r="BZ1" s="1617">
        <v>1000</v>
      </c>
      <c r="CA1" s="1617">
        <v>1</v>
      </c>
      <c r="CC1" s="1875" t="s">
        <v>1041</v>
      </c>
      <c r="CD1" s="1875"/>
      <c r="CE1" s="1875"/>
      <c r="CF1" s="1875"/>
      <c r="CG1" s="1875"/>
      <c r="CH1" s="1875"/>
      <c r="CI1" s="1875"/>
      <c r="CJ1" s="1617">
        <v>1000</v>
      </c>
      <c r="CK1" s="1617">
        <v>1</v>
      </c>
      <c r="CN1" s="1617" t="s">
        <v>79</v>
      </c>
      <c r="CO1" s="1620"/>
      <c r="CP1" s="1617">
        <v>1000</v>
      </c>
      <c r="CQ1" s="1617">
        <v>1</v>
      </c>
      <c r="CS1" s="1875" t="s">
        <v>861</v>
      </c>
      <c r="CT1" s="1875"/>
      <c r="CU1" s="1875"/>
      <c r="CV1" s="1875"/>
      <c r="CW1" s="1875"/>
      <c r="CX1" s="1875"/>
      <c r="CY1" s="1875"/>
      <c r="CZ1" s="1617">
        <v>1000</v>
      </c>
      <c r="DA1" s="1617">
        <v>1</v>
      </c>
      <c r="DD1" s="1874" t="s">
        <v>10</v>
      </c>
      <c r="DE1" s="1874"/>
      <c r="DF1" s="1874"/>
      <c r="DJ1" s="1874" t="s">
        <v>871</v>
      </c>
      <c r="DK1" s="1874"/>
      <c r="DL1" s="1874"/>
      <c r="DM1" s="1874"/>
      <c r="DN1" s="1874"/>
      <c r="DO1" s="1874"/>
      <c r="DP1" s="1874"/>
      <c r="DQ1" s="1874"/>
      <c r="DR1" s="1874"/>
      <c r="DV1" s="1874" t="s">
        <v>11</v>
      </c>
      <c r="DW1" s="1874"/>
      <c r="DX1" s="1617">
        <v>1000</v>
      </c>
      <c r="DY1" s="1617">
        <v>1</v>
      </c>
      <c r="EA1" s="1874" t="s">
        <v>1071</v>
      </c>
      <c r="EB1" s="1874"/>
      <c r="EC1" s="1874"/>
      <c r="ED1" s="1874"/>
      <c r="EE1" s="1874"/>
      <c r="EF1" s="1874"/>
      <c r="EG1" s="1874"/>
      <c r="EH1" s="1617">
        <v>1000</v>
      </c>
      <c r="EI1" s="1617">
        <v>1</v>
      </c>
    </row>
    <row r="2" spans="1:139" s="1621" customFormat="1" ht="66" x14ac:dyDescent="0.3">
      <c r="A2" s="776" t="s">
        <v>349</v>
      </c>
      <c r="B2" s="776" t="s">
        <v>356</v>
      </c>
      <c r="C2" s="776" t="s">
        <v>351</v>
      </c>
      <c r="D2" s="776" t="s">
        <v>424</v>
      </c>
      <c r="E2" s="776" t="s">
        <v>352</v>
      </c>
      <c r="F2" s="776" t="s">
        <v>356</v>
      </c>
      <c r="G2" s="776" t="s">
        <v>351</v>
      </c>
      <c r="H2" s="776" t="s">
        <v>424</v>
      </c>
      <c r="I2" s="776" t="s">
        <v>352</v>
      </c>
      <c r="L2" s="776" t="s">
        <v>349</v>
      </c>
      <c r="M2" s="776" t="s">
        <v>352</v>
      </c>
      <c r="N2" s="776" t="s">
        <v>352</v>
      </c>
      <c r="Q2" s="776" t="s">
        <v>349</v>
      </c>
      <c r="R2" s="776" t="s">
        <v>356</v>
      </c>
      <c r="S2" s="776" t="s">
        <v>351</v>
      </c>
      <c r="T2" s="776" t="s">
        <v>424</v>
      </c>
      <c r="U2" s="776" t="s">
        <v>352</v>
      </c>
      <c r="V2" s="776" t="s">
        <v>356</v>
      </c>
      <c r="W2" s="776" t="s">
        <v>351</v>
      </c>
      <c r="X2" s="776" t="s">
        <v>424</v>
      </c>
      <c r="Y2" s="776" t="s">
        <v>352</v>
      </c>
      <c r="AB2" s="776" t="s">
        <v>349</v>
      </c>
      <c r="AC2" s="776" t="s">
        <v>352</v>
      </c>
      <c r="AD2" s="776" t="s">
        <v>352</v>
      </c>
      <c r="AG2" s="776" t="s">
        <v>349</v>
      </c>
      <c r="AH2" s="776" t="s">
        <v>356</v>
      </c>
      <c r="AI2" s="776" t="s">
        <v>352</v>
      </c>
      <c r="AJ2" s="776" t="s">
        <v>351</v>
      </c>
      <c r="AK2" s="776" t="s">
        <v>424</v>
      </c>
      <c r="AL2" s="776" t="s">
        <v>356</v>
      </c>
      <c r="AM2" s="776" t="s">
        <v>352</v>
      </c>
      <c r="AN2" s="776" t="s">
        <v>351</v>
      </c>
      <c r="AO2" s="776" t="s">
        <v>424</v>
      </c>
      <c r="AR2" s="1612" t="s">
        <v>349</v>
      </c>
      <c r="AS2" s="1612" t="s">
        <v>352</v>
      </c>
      <c r="AT2" s="1612" t="str">
        <f>+AS2</f>
        <v>Devengado</v>
      </c>
      <c r="AW2" s="1612" t="s">
        <v>349</v>
      </c>
      <c r="AX2" s="1612" t="s">
        <v>356</v>
      </c>
      <c r="AY2" s="1612" t="s">
        <v>351</v>
      </c>
      <c r="AZ2" s="1612" t="s">
        <v>352</v>
      </c>
      <c r="BA2" s="1612" t="s">
        <v>424</v>
      </c>
      <c r="BB2" s="1612" t="s">
        <v>356</v>
      </c>
      <c r="BC2" s="1612" t="s">
        <v>351</v>
      </c>
      <c r="BD2" s="1612" t="s">
        <v>352</v>
      </c>
      <c r="BE2" s="1612" t="s">
        <v>424</v>
      </c>
      <c r="BH2" s="1612" t="s">
        <v>349</v>
      </c>
      <c r="BI2" s="1612" t="s">
        <v>352</v>
      </c>
      <c r="BJ2" s="1612" t="s">
        <v>352</v>
      </c>
      <c r="BM2" s="1612" t="s">
        <v>349</v>
      </c>
      <c r="BN2" s="1612" t="s">
        <v>356</v>
      </c>
      <c r="BO2" s="1612" t="s">
        <v>352</v>
      </c>
      <c r="BP2" s="1612" t="s">
        <v>351</v>
      </c>
      <c r="BQ2" s="1612" t="s">
        <v>424</v>
      </c>
      <c r="BR2" s="1612" t="s">
        <v>357</v>
      </c>
      <c r="BS2" s="1612" t="s">
        <v>818</v>
      </c>
      <c r="BT2" s="1612" t="s">
        <v>816</v>
      </c>
      <c r="BU2" s="1612" t="s">
        <v>817</v>
      </c>
      <c r="BX2" s="1612" t="s">
        <v>349</v>
      </c>
      <c r="BY2" s="1612" t="s">
        <v>352</v>
      </c>
      <c r="BZ2" s="1612" t="s">
        <v>352</v>
      </c>
      <c r="CC2" s="1612" t="s">
        <v>349</v>
      </c>
      <c r="CD2" s="1612" t="s">
        <v>356</v>
      </c>
      <c r="CE2" s="1612" t="s">
        <v>352</v>
      </c>
      <c r="CF2" s="1612" t="s">
        <v>351</v>
      </c>
      <c r="CG2" s="1612" t="s">
        <v>424</v>
      </c>
      <c r="CH2" s="1612" t="s">
        <v>356</v>
      </c>
      <c r="CI2" s="1612" t="s">
        <v>352</v>
      </c>
      <c r="CJ2" s="1612" t="s">
        <v>351</v>
      </c>
      <c r="CK2" s="1612" t="s">
        <v>424</v>
      </c>
      <c r="CN2" s="1612" t="s">
        <v>349</v>
      </c>
      <c r="CO2" s="1612" t="s">
        <v>352</v>
      </c>
      <c r="CP2" s="1612" t="s">
        <v>352</v>
      </c>
      <c r="CS2" s="1612" t="s">
        <v>349</v>
      </c>
      <c r="CT2" s="1612" t="s">
        <v>356</v>
      </c>
      <c r="CU2" s="1612" t="s">
        <v>352</v>
      </c>
      <c r="CV2" s="1612" t="s">
        <v>351</v>
      </c>
      <c r="CW2" s="1612" t="s">
        <v>424</v>
      </c>
      <c r="CX2" s="1612" t="s">
        <v>356</v>
      </c>
      <c r="CY2" s="1612" t="s">
        <v>352</v>
      </c>
      <c r="CZ2" s="1612" t="s">
        <v>351</v>
      </c>
      <c r="DA2" s="1612" t="s">
        <v>424</v>
      </c>
      <c r="DD2" s="1612" t="s">
        <v>349</v>
      </c>
      <c r="DE2" s="1612" t="s">
        <v>352</v>
      </c>
      <c r="DF2" s="1612" t="s">
        <v>352</v>
      </c>
      <c r="DG2" s="1621">
        <v>1000</v>
      </c>
      <c r="DH2" s="1621">
        <v>1</v>
      </c>
      <c r="DJ2" s="1612" t="s">
        <v>349</v>
      </c>
      <c r="DK2" s="1612" t="s">
        <v>356</v>
      </c>
      <c r="DL2" s="1612" t="s">
        <v>351</v>
      </c>
      <c r="DM2" s="1612" t="s">
        <v>424</v>
      </c>
      <c r="DN2" s="1612" t="s">
        <v>352</v>
      </c>
      <c r="DO2" s="1612" t="s">
        <v>356</v>
      </c>
      <c r="DP2" s="1612" t="s">
        <v>351</v>
      </c>
      <c r="DQ2" s="1612" t="s">
        <v>424</v>
      </c>
      <c r="DR2" s="1612" t="s">
        <v>352</v>
      </c>
      <c r="DS2" s="1621">
        <v>1000</v>
      </c>
      <c r="DT2" s="1621">
        <v>1</v>
      </c>
      <c r="DV2" s="1613" t="s">
        <v>349</v>
      </c>
      <c r="DW2" s="1613" t="s">
        <v>352</v>
      </c>
      <c r="DX2" s="1613" t="s">
        <v>352</v>
      </c>
      <c r="EA2" s="1613" t="s">
        <v>349</v>
      </c>
      <c r="EB2" s="1613" t="s">
        <v>356</v>
      </c>
      <c r="EC2" s="1613" t="s">
        <v>352</v>
      </c>
      <c r="ED2" s="1613" t="s">
        <v>351</v>
      </c>
      <c r="EE2" s="1613" t="s">
        <v>424</v>
      </c>
      <c r="EF2" s="1613" t="str">
        <f>+EB2</f>
        <v>Requerimiento</v>
      </c>
      <c r="EG2" s="1613" t="str">
        <f t="shared" ref="EG2:EI2" si="0">+EC2</f>
        <v>Devengado</v>
      </c>
      <c r="EH2" s="1613" t="str">
        <f t="shared" si="0"/>
        <v>Compromiso</v>
      </c>
      <c r="EI2" s="1613" t="str">
        <f t="shared" si="0"/>
        <v>Saldo por Comprometer</v>
      </c>
    </row>
    <row r="3" spans="1:139" ht="15" customHeight="1" x14ac:dyDescent="0.3">
      <c r="A3" s="1625" t="s">
        <v>480</v>
      </c>
      <c r="B3" s="891">
        <v>17419021000</v>
      </c>
      <c r="C3" s="891">
        <v>1193080869</v>
      </c>
      <c r="D3" s="891">
        <v>16225940131</v>
      </c>
      <c r="E3" s="891">
        <v>1193080869</v>
      </c>
      <c r="F3" s="891">
        <f>+B3/$H$1*$I$1</f>
        <v>17419021</v>
      </c>
      <c r="G3" s="891">
        <f t="shared" ref="G3:I3" si="1">+C3/$H$1*$I$1</f>
        <v>1193080.8689999999</v>
      </c>
      <c r="H3" s="891">
        <f t="shared" si="1"/>
        <v>16225940.130999999</v>
      </c>
      <c r="I3" s="891">
        <f t="shared" si="1"/>
        <v>1193080.8689999999</v>
      </c>
      <c r="L3" s="1625" t="s">
        <v>480</v>
      </c>
      <c r="M3" s="891">
        <v>1226273580</v>
      </c>
      <c r="N3" s="891">
        <f>+M3/$N$1*$O$1</f>
        <v>1226273.58</v>
      </c>
      <c r="Q3" s="1625" t="s">
        <v>480</v>
      </c>
      <c r="R3" s="891">
        <v>17419021000</v>
      </c>
      <c r="S3" s="891">
        <v>2419354449</v>
      </c>
      <c r="T3" s="891">
        <v>14999666551</v>
      </c>
      <c r="U3" s="891">
        <v>2419354449</v>
      </c>
      <c r="V3" s="1622">
        <f>+R3/$X$1*$Y$1</f>
        <v>17419021</v>
      </c>
      <c r="W3" s="1622">
        <f t="shared" ref="W3:Y3" si="2">+S3/$X$1*$Y$1</f>
        <v>2419354.449</v>
      </c>
      <c r="X3" s="1622">
        <f t="shared" si="2"/>
        <v>14999666.551000001</v>
      </c>
      <c r="Y3" s="1622">
        <f t="shared" si="2"/>
        <v>2419354.449</v>
      </c>
      <c r="AB3" s="1625" t="s">
        <v>480</v>
      </c>
      <c r="AC3" s="891">
        <v>2069775272</v>
      </c>
      <c r="AD3" s="1622">
        <f>+AC3/$AD$1*$AE$1</f>
        <v>2069775.2720000001</v>
      </c>
      <c r="AG3" s="1625" t="s">
        <v>480</v>
      </c>
      <c r="AH3" s="891">
        <v>17419021000</v>
      </c>
      <c r="AI3" s="891">
        <v>4489129721</v>
      </c>
      <c r="AJ3" s="891">
        <v>4489129721</v>
      </c>
      <c r="AK3" s="891">
        <v>12929891279</v>
      </c>
      <c r="AL3" s="1622">
        <f>+AH3/$AN$1*$AO$1</f>
        <v>17419021</v>
      </c>
      <c r="AM3" s="1622">
        <f t="shared" ref="AM3:AO3" si="3">+AI3/$AN$1*$AO$1</f>
        <v>4489129.7209999999</v>
      </c>
      <c r="AN3" s="1622">
        <f t="shared" si="3"/>
        <v>4489129.7209999999</v>
      </c>
      <c r="AO3" s="1622">
        <f t="shared" si="3"/>
        <v>12929891.278999999</v>
      </c>
      <c r="AR3" s="1625" t="s">
        <v>480</v>
      </c>
      <c r="AS3" s="1622">
        <v>1232749672</v>
      </c>
      <c r="AT3" s="1622">
        <f>+AS3/$AS$1*$AT$1</f>
        <v>1232749.672</v>
      </c>
      <c r="AV3" s="1626"/>
      <c r="AW3" s="1625" t="s">
        <v>480</v>
      </c>
      <c r="AX3" s="891">
        <v>17419021000</v>
      </c>
      <c r="AY3" s="891">
        <v>5721879393</v>
      </c>
      <c r="AZ3" s="891">
        <v>5721879393</v>
      </c>
      <c r="BA3" s="891">
        <v>11697141607</v>
      </c>
      <c r="BB3" s="1622">
        <f>+AX3/$BD$1*$BE$1</f>
        <v>17419021</v>
      </c>
      <c r="BC3" s="1622">
        <f t="shared" ref="BC3:BE3" si="4">+AY3/$BD$1*$BE$1</f>
        <v>5721879.3930000002</v>
      </c>
      <c r="BD3" s="1622">
        <f t="shared" si="4"/>
        <v>5721879.3930000002</v>
      </c>
      <c r="BE3" s="1622">
        <f t="shared" si="4"/>
        <v>11697141.607000001</v>
      </c>
      <c r="BH3" s="1625" t="s">
        <v>480</v>
      </c>
      <c r="BI3" s="1622">
        <v>1224969696</v>
      </c>
      <c r="BJ3" s="1622">
        <f>+BI3/$BJ$1*$BK$1</f>
        <v>1224969.696</v>
      </c>
      <c r="BM3" s="1625" t="s">
        <v>480</v>
      </c>
      <c r="BN3" s="1627">
        <v>17374205000</v>
      </c>
      <c r="BO3" s="1627">
        <v>6946849089</v>
      </c>
      <c r="BP3" s="1627">
        <v>6946849089</v>
      </c>
      <c r="BQ3" s="1627">
        <v>10427355911</v>
      </c>
      <c r="BR3" s="1622">
        <f>+BN3/$BU$1*$BV$1</f>
        <v>17374205</v>
      </c>
      <c r="BS3" s="1622">
        <f>+BO3/$BU$1*$BV$1</f>
        <v>6946849.0889999997</v>
      </c>
      <c r="BT3" s="1622">
        <f>+BP3/$BU$1*$BV$1</f>
        <v>6946849.0889999997</v>
      </c>
      <c r="BU3" s="1622">
        <f>+BQ3/$BU$1*$BV$1</f>
        <v>10427355.911</v>
      </c>
      <c r="BX3" s="1624" t="s">
        <v>480</v>
      </c>
      <c r="BY3" s="1622">
        <v>2075295330</v>
      </c>
      <c r="BZ3" s="1622">
        <f>+BY3/$BZ$1*$CA$1</f>
        <v>2075295.33</v>
      </c>
      <c r="CC3" s="1622" t="s">
        <v>480</v>
      </c>
      <c r="CD3" s="1622">
        <v>17374205000</v>
      </c>
      <c r="CE3" s="1622">
        <v>9022144419</v>
      </c>
      <c r="CF3" s="1622">
        <v>9022144419</v>
      </c>
      <c r="CG3" s="1622">
        <v>8352060581</v>
      </c>
      <c r="CH3" s="1622">
        <f>+CD3/$CJ$1*$CK$1</f>
        <v>17374205</v>
      </c>
      <c r="CI3" s="1622">
        <f t="shared" ref="CI3:CK3" si="5">+CE3/$CJ$1*$CK$1</f>
        <v>9022144.4189999998</v>
      </c>
      <c r="CJ3" s="1622">
        <f t="shared" si="5"/>
        <v>9022144.4189999998</v>
      </c>
      <c r="CK3" s="1622">
        <f t="shared" si="5"/>
        <v>8352060.5810000002</v>
      </c>
      <c r="CN3" s="1624" t="s">
        <v>480</v>
      </c>
      <c r="CO3" s="1622">
        <v>1234631303</v>
      </c>
      <c r="CP3" s="1622">
        <f>+CO3/$CP$1*$CQ$1</f>
        <v>1234631.3030000001</v>
      </c>
      <c r="CS3" s="1625" t="s">
        <v>480</v>
      </c>
      <c r="CT3" s="891">
        <v>17374205000</v>
      </c>
      <c r="CU3" s="891">
        <v>10256775722</v>
      </c>
      <c r="CV3" s="891">
        <v>10256775722</v>
      </c>
      <c r="CW3" s="891">
        <v>7117429278</v>
      </c>
      <c r="CX3" s="1622">
        <f>+CT3/$CZ$1*$DA$1</f>
        <v>17374205</v>
      </c>
      <c r="CY3" s="1622">
        <f t="shared" ref="CY3:DA3" si="6">+CU3/$CZ$1*$DA$1</f>
        <v>10256775.721999999</v>
      </c>
      <c r="CZ3" s="1622">
        <f t="shared" si="6"/>
        <v>10256775.721999999</v>
      </c>
      <c r="DA3" s="1622">
        <f t="shared" si="6"/>
        <v>7117429.2779999999</v>
      </c>
      <c r="DD3" s="1624" t="s">
        <v>480</v>
      </c>
      <c r="DE3" s="1622">
        <v>1233265087</v>
      </c>
      <c r="DF3" s="1622">
        <f>+DE3/$DG$2*$DH$2</f>
        <v>1233265.0870000001</v>
      </c>
      <c r="DJ3" s="1624" t="s">
        <v>480</v>
      </c>
      <c r="DK3" s="1622">
        <v>17374205000</v>
      </c>
      <c r="DL3" s="1622">
        <v>11490040809</v>
      </c>
      <c r="DM3" s="1622">
        <v>5884164191</v>
      </c>
      <c r="DN3" s="1622">
        <v>11490040809</v>
      </c>
      <c r="DO3" s="1622">
        <f>+DK3/$DS$2*$DT$2</f>
        <v>17374205</v>
      </c>
      <c r="DP3" s="1622">
        <f>+DL3/$DS$2*$DT$2</f>
        <v>11490040.809</v>
      </c>
      <c r="DQ3" s="1622">
        <f>+DM3/$DS$2*$DT$2</f>
        <v>5884164.1909999996</v>
      </c>
      <c r="DR3" s="1622">
        <f>+DN3/$DS$2*$DT$2</f>
        <v>11490040.809</v>
      </c>
      <c r="DV3" s="780" t="s">
        <v>480</v>
      </c>
      <c r="DW3" s="779">
        <v>2104847646</v>
      </c>
      <c r="DX3" s="1626">
        <f>+DW3/$DX$1*$DY$1</f>
        <v>2104847.6460000002</v>
      </c>
      <c r="EA3" s="780" t="s">
        <v>480</v>
      </c>
      <c r="EB3" s="779">
        <v>17374205000</v>
      </c>
      <c r="EC3" s="779">
        <v>13594888455</v>
      </c>
      <c r="ED3" s="779">
        <v>13594888455</v>
      </c>
      <c r="EE3" s="779">
        <v>3779316545</v>
      </c>
      <c r="EF3" s="166">
        <f>+EB3/$EH$1*$EI$1</f>
        <v>17374205</v>
      </c>
      <c r="EG3" s="166">
        <f t="shared" ref="EG3:EI3" si="7">+EC3/$EH$1*$EI$1</f>
        <v>13594888.455</v>
      </c>
      <c r="EH3" s="166">
        <f t="shared" si="7"/>
        <v>13594888.455</v>
      </c>
      <c r="EI3" s="166">
        <f t="shared" si="7"/>
        <v>3779316.5449999999</v>
      </c>
    </row>
    <row r="4" spans="1:139" ht="15" customHeight="1" x14ac:dyDescent="0.3">
      <c r="A4" s="1625" t="s">
        <v>479</v>
      </c>
      <c r="B4" s="891">
        <v>1085491780</v>
      </c>
      <c r="C4" s="891">
        <v>58415805</v>
      </c>
      <c r="D4" s="891">
        <v>1027075975</v>
      </c>
      <c r="E4" s="891">
        <v>58415805</v>
      </c>
      <c r="F4" s="891">
        <f t="shared" ref="F4:F67" si="8">+B4/$H$1*$I$1</f>
        <v>1085491.78</v>
      </c>
      <c r="G4" s="891">
        <f t="shared" ref="G4:G67" si="9">+C4/$H$1*$I$1</f>
        <v>58415.805</v>
      </c>
      <c r="H4" s="891">
        <f t="shared" ref="H4:H67" si="10">+D4/$H$1*$I$1</f>
        <v>1027075.975</v>
      </c>
      <c r="I4" s="891">
        <f t="shared" ref="I4:I67" si="11">+E4/$H$1*$I$1</f>
        <v>58415.805</v>
      </c>
      <c r="L4" s="1625" t="s">
        <v>479</v>
      </c>
      <c r="M4" s="891">
        <v>60387556</v>
      </c>
      <c r="N4" s="891">
        <f t="shared" ref="N4:N67" si="12">+M4/$N$1*$O$1</f>
        <v>60387.555999999997</v>
      </c>
      <c r="Q4" s="1625" t="s">
        <v>479</v>
      </c>
      <c r="R4" s="891">
        <v>1108523779</v>
      </c>
      <c r="S4" s="891">
        <v>118803361</v>
      </c>
      <c r="T4" s="891">
        <v>989720418</v>
      </c>
      <c r="U4" s="891">
        <v>118803361</v>
      </c>
      <c r="V4" s="1622">
        <f t="shared" ref="V4:V67" si="13">+R4/$X$1*$Y$1</f>
        <v>1108523.7790000001</v>
      </c>
      <c r="W4" s="1622">
        <f t="shared" ref="W4:W67" si="14">+S4/$X$1*$Y$1</f>
        <v>118803.361</v>
      </c>
      <c r="X4" s="1622">
        <f t="shared" ref="X4:X67" si="15">+T4/$X$1*$Y$1</f>
        <v>989720.41799999995</v>
      </c>
      <c r="Y4" s="1622">
        <f t="shared" ref="Y4:Y67" si="16">+U4/$X$1*$Y$1</f>
        <v>118803.361</v>
      </c>
      <c r="AB4" s="1625" t="s">
        <v>479</v>
      </c>
      <c r="AC4" s="891">
        <v>90579183</v>
      </c>
      <c r="AD4" s="1622">
        <f t="shared" ref="AD4:AD67" si="17">+AC4/$AD$1*$AE$1</f>
        <v>90579.183000000005</v>
      </c>
      <c r="AG4" s="1625" t="s">
        <v>479</v>
      </c>
      <c r="AH4" s="891">
        <v>1108223779</v>
      </c>
      <c r="AI4" s="891">
        <v>209382544</v>
      </c>
      <c r="AJ4" s="891">
        <v>209382544</v>
      </c>
      <c r="AK4" s="891">
        <v>898841235</v>
      </c>
      <c r="AL4" s="1622">
        <f t="shared" ref="AL4:AL67" si="18">+AH4/$AN$1*$AO$1</f>
        <v>1108223.7790000001</v>
      </c>
      <c r="AM4" s="1622">
        <f t="shared" ref="AM4:AM67" si="19">+AI4/$AN$1*$AO$1</f>
        <v>209382.54399999999</v>
      </c>
      <c r="AN4" s="1622">
        <f t="shared" ref="AN4:AN67" si="20">+AJ4/$AN$1*$AO$1</f>
        <v>209382.54399999999</v>
      </c>
      <c r="AO4" s="1622">
        <f t="shared" ref="AO4:AO67" si="21">+AK4/$AN$1*$AO$1</f>
        <v>898841.23499999999</v>
      </c>
      <c r="AR4" s="1625" t="s">
        <v>479</v>
      </c>
      <c r="AS4" s="1622">
        <v>58591032</v>
      </c>
      <c r="AT4" s="1622">
        <f t="shared" ref="AT4:AT67" si="22">+AS4/$AS$1*$AT$1</f>
        <v>58591.031999999999</v>
      </c>
      <c r="AW4" s="1625" t="s">
        <v>479</v>
      </c>
      <c r="AX4" s="891">
        <v>1106741433</v>
      </c>
      <c r="AY4" s="891">
        <v>267973576</v>
      </c>
      <c r="AZ4" s="891">
        <v>267973576</v>
      </c>
      <c r="BA4" s="891">
        <v>838767857</v>
      </c>
      <c r="BB4" s="1622">
        <f t="shared" ref="BB4:BB67" si="23">+AX4/$BD$1*$BE$1</f>
        <v>1106741.433</v>
      </c>
      <c r="BC4" s="1622">
        <f t="shared" ref="BC4:BC67" si="24">+AY4/$BD$1*$BE$1</f>
        <v>267973.576</v>
      </c>
      <c r="BD4" s="1622">
        <f t="shared" ref="BD4:BD67" si="25">+AZ4/$BD$1*$BE$1</f>
        <v>267973.576</v>
      </c>
      <c r="BE4" s="1622">
        <f t="shared" ref="BE4:BE67" si="26">+BA4/$BD$1*$BE$1</f>
        <v>838767.85699999996</v>
      </c>
      <c r="BH4" s="1625" t="s">
        <v>479</v>
      </c>
      <c r="BI4" s="1622">
        <v>58814663</v>
      </c>
      <c r="BJ4" s="1622">
        <f t="shared" ref="BJ4:BJ67" si="27">+BI4/$BJ$1*$BK$1</f>
        <v>58814.663</v>
      </c>
      <c r="BM4" s="1625" t="s">
        <v>479</v>
      </c>
      <c r="BN4" s="1627">
        <v>1104114498</v>
      </c>
      <c r="BO4" s="1627">
        <v>326788239</v>
      </c>
      <c r="BP4" s="1627">
        <v>326788239</v>
      </c>
      <c r="BQ4" s="1627">
        <v>777326259</v>
      </c>
      <c r="BR4" s="1622">
        <f t="shared" ref="BR4:BR67" si="28">+BN4/$BU$1*$BV$1</f>
        <v>1104114.4979999999</v>
      </c>
      <c r="BS4" s="1622">
        <f t="shared" ref="BS4:BS67" si="29">+BO4/$BU$1*$BV$1</f>
        <v>326788.239</v>
      </c>
      <c r="BT4" s="1622">
        <f t="shared" ref="BT4:BT67" si="30">+BP4/$BU$1*$BV$1</f>
        <v>326788.239</v>
      </c>
      <c r="BU4" s="1622">
        <f t="shared" ref="BU4:BU67" si="31">+BQ4/$BU$1*$BV$1</f>
        <v>777326.25899999996</v>
      </c>
      <c r="BX4" s="1624" t="s">
        <v>479</v>
      </c>
      <c r="BY4" s="1622">
        <v>90578237</v>
      </c>
      <c r="BZ4" s="1622">
        <f t="shared" ref="BZ4:BZ67" si="32">+BY4/$BZ$1*$CA$1</f>
        <v>90578.236999999994</v>
      </c>
      <c r="CC4" s="1622" t="s">
        <v>479</v>
      </c>
      <c r="CD4" s="1622">
        <v>1109233842</v>
      </c>
      <c r="CE4" s="1622">
        <v>417366476</v>
      </c>
      <c r="CF4" s="1622">
        <v>417366476</v>
      </c>
      <c r="CG4" s="1622">
        <v>691867366</v>
      </c>
      <c r="CH4" s="1622">
        <f t="shared" ref="CH4:CH67" si="33">+CD4/$CJ$1*$CK$1</f>
        <v>1109233.8419999999</v>
      </c>
      <c r="CI4" s="1622">
        <f t="shared" ref="CI4:CI67" si="34">+CE4/$CJ$1*$CK$1</f>
        <v>417366.47600000002</v>
      </c>
      <c r="CJ4" s="1622">
        <f t="shared" ref="CJ4:CJ67" si="35">+CF4/$CJ$1*$CK$1</f>
        <v>417366.47600000002</v>
      </c>
      <c r="CK4" s="1622">
        <f t="shared" ref="CK4:CK67" si="36">+CG4/$CJ$1*$CK$1</f>
        <v>691867.36600000004</v>
      </c>
      <c r="CN4" s="1624" t="s">
        <v>479</v>
      </c>
      <c r="CO4" s="1622">
        <v>58379645</v>
      </c>
      <c r="CP4" s="1622">
        <f t="shared" ref="CP4:CP67" si="37">+CO4/$CP$1*$CQ$1</f>
        <v>58379.644999999997</v>
      </c>
      <c r="CS4" s="1625" t="s">
        <v>479</v>
      </c>
      <c r="CT4" s="891">
        <v>1109233842</v>
      </c>
      <c r="CU4" s="891">
        <v>475746121</v>
      </c>
      <c r="CV4" s="891">
        <v>475746121</v>
      </c>
      <c r="CW4" s="891">
        <v>633487721</v>
      </c>
      <c r="CX4" s="1622">
        <f t="shared" ref="CX4:CX67" si="38">+CT4/$CZ$1*$DA$1</f>
        <v>1109233.8419999999</v>
      </c>
      <c r="CY4" s="1622">
        <f t="shared" ref="CY4:CY67" si="39">+CU4/$CZ$1*$DA$1</f>
        <v>475746.12099999998</v>
      </c>
      <c r="CZ4" s="1622">
        <f t="shared" ref="CZ4:CZ67" si="40">+CV4/$CZ$1*$DA$1</f>
        <v>475746.12099999998</v>
      </c>
      <c r="DA4" s="1622">
        <f t="shared" ref="DA4:DA67" si="41">+CW4/$CZ$1*$DA$1</f>
        <v>633487.72100000002</v>
      </c>
      <c r="DD4" s="1624" t="s">
        <v>479</v>
      </c>
      <c r="DE4" s="1622">
        <v>54925338</v>
      </c>
      <c r="DF4" s="1622">
        <f t="shared" ref="DF4:DF67" si="42">+DE4/$DG$2*$DH$2</f>
        <v>54925.338000000003</v>
      </c>
      <c r="DJ4" s="1624" t="s">
        <v>479</v>
      </c>
      <c r="DK4" s="1622">
        <v>1109233842</v>
      </c>
      <c r="DL4" s="1622">
        <v>530671459</v>
      </c>
      <c r="DM4" s="1622">
        <v>578562383</v>
      </c>
      <c r="DN4" s="1622">
        <v>530671459</v>
      </c>
      <c r="DO4" s="1622">
        <f t="shared" ref="DO4:DO67" si="43">+DK4/$DS$2*$DT$2</f>
        <v>1109233.8419999999</v>
      </c>
      <c r="DP4" s="1622">
        <f t="shared" ref="DP4:DP67" si="44">+DL4/$DS$2*$DT$2</f>
        <v>530671.45900000003</v>
      </c>
      <c r="DQ4" s="1622">
        <f t="shared" ref="DQ4:DQ67" si="45">+DM4/$DS$2*$DT$2</f>
        <v>578562.38300000003</v>
      </c>
      <c r="DR4" s="1622">
        <f t="shared" ref="DR4:DR67" si="46">+DN4/$DS$2*$DT$2</f>
        <v>530671.45900000003</v>
      </c>
      <c r="DV4" s="780" t="s">
        <v>479</v>
      </c>
      <c r="DW4" s="779">
        <v>98241605</v>
      </c>
      <c r="DX4" s="1626">
        <f t="shared" ref="DX4:DX67" si="47">+DW4/$DX$1*$DY$1</f>
        <v>98241.604999999996</v>
      </c>
      <c r="EA4" s="780" t="s">
        <v>479</v>
      </c>
      <c r="EB4" s="779">
        <v>1109233842</v>
      </c>
      <c r="EC4" s="779">
        <v>628913064</v>
      </c>
      <c r="ED4" s="779">
        <v>628913064</v>
      </c>
      <c r="EE4" s="779">
        <v>480320778</v>
      </c>
      <c r="EF4" s="166">
        <f t="shared" ref="EF4:EF67" si="48">+EB4/$EH$1*$EI$1</f>
        <v>1109233.8419999999</v>
      </c>
      <c r="EG4" s="166">
        <f t="shared" ref="EG4:EG67" si="49">+EC4/$EH$1*$EI$1</f>
        <v>628913.06400000001</v>
      </c>
      <c r="EH4" s="166">
        <f t="shared" ref="EH4:EH67" si="50">+ED4/$EH$1*$EI$1</f>
        <v>628913.06400000001</v>
      </c>
      <c r="EI4" s="166">
        <f t="shared" ref="EI4:EI67" si="51">+EE4/$EH$1*$EI$1</f>
        <v>480320.77799999999</v>
      </c>
    </row>
    <row r="5" spans="1:139" ht="15" customHeight="1" x14ac:dyDescent="0.3">
      <c r="A5" s="1625" t="s">
        <v>478</v>
      </c>
      <c r="B5" s="891">
        <v>769096180</v>
      </c>
      <c r="C5" s="891">
        <v>46500354</v>
      </c>
      <c r="D5" s="891">
        <v>722595826</v>
      </c>
      <c r="E5" s="891">
        <v>46500354</v>
      </c>
      <c r="F5" s="891">
        <f t="shared" si="8"/>
        <v>769096.18</v>
      </c>
      <c r="G5" s="891">
        <f t="shared" si="9"/>
        <v>46500.353999999999</v>
      </c>
      <c r="H5" s="891">
        <f t="shared" si="10"/>
        <v>722595.826</v>
      </c>
      <c r="I5" s="891">
        <f t="shared" si="11"/>
        <v>46500.353999999999</v>
      </c>
      <c r="L5" s="1625" t="s">
        <v>478</v>
      </c>
      <c r="M5" s="891">
        <v>46500354</v>
      </c>
      <c r="N5" s="891">
        <f t="shared" si="12"/>
        <v>46500.353999999999</v>
      </c>
      <c r="Q5" s="1625" t="s">
        <v>478</v>
      </c>
      <c r="R5" s="891">
        <v>792328180</v>
      </c>
      <c r="S5" s="891">
        <v>93000708</v>
      </c>
      <c r="T5" s="891">
        <v>699327472</v>
      </c>
      <c r="U5" s="891">
        <v>93000708</v>
      </c>
      <c r="V5" s="1622">
        <f t="shared" si="13"/>
        <v>792328.18</v>
      </c>
      <c r="W5" s="1622">
        <f t="shared" si="14"/>
        <v>93000.707999999999</v>
      </c>
      <c r="X5" s="1622">
        <f t="shared" si="15"/>
        <v>699327.47199999995</v>
      </c>
      <c r="Y5" s="1622">
        <f t="shared" si="16"/>
        <v>93000.707999999999</v>
      </c>
      <c r="AB5" s="1625" t="s">
        <v>478</v>
      </c>
      <c r="AC5" s="891">
        <v>63652010</v>
      </c>
      <c r="AD5" s="1622">
        <f t="shared" si="17"/>
        <v>63652.01</v>
      </c>
      <c r="AG5" s="1625" t="s">
        <v>478</v>
      </c>
      <c r="AH5" s="891">
        <v>792328180</v>
      </c>
      <c r="AI5" s="891">
        <v>156652718</v>
      </c>
      <c r="AJ5" s="891">
        <v>156652718</v>
      </c>
      <c r="AK5" s="891">
        <v>635675462</v>
      </c>
      <c r="AL5" s="1622">
        <f t="shared" si="18"/>
        <v>792328.18</v>
      </c>
      <c r="AM5" s="1622">
        <f t="shared" si="19"/>
        <v>156652.71799999999</v>
      </c>
      <c r="AN5" s="1622">
        <f t="shared" si="20"/>
        <v>156652.71799999999</v>
      </c>
      <c r="AO5" s="1622">
        <f t="shared" si="21"/>
        <v>635675.46200000006</v>
      </c>
      <c r="AR5" s="1625" t="s">
        <v>478</v>
      </c>
      <c r="AS5" s="1622">
        <v>46516705</v>
      </c>
      <c r="AT5" s="1622">
        <f t="shared" si="22"/>
        <v>46516.705000000002</v>
      </c>
      <c r="AW5" s="1625" t="s">
        <v>478</v>
      </c>
      <c r="AX5" s="891">
        <v>792328180</v>
      </c>
      <c r="AY5" s="891">
        <v>203169423</v>
      </c>
      <c r="AZ5" s="891">
        <v>203169423</v>
      </c>
      <c r="BA5" s="891">
        <v>589158757</v>
      </c>
      <c r="BB5" s="1622">
        <f t="shared" si="23"/>
        <v>792328.18</v>
      </c>
      <c r="BC5" s="1622">
        <f t="shared" si="24"/>
        <v>203169.42300000001</v>
      </c>
      <c r="BD5" s="1622">
        <f t="shared" si="25"/>
        <v>203169.42300000001</v>
      </c>
      <c r="BE5" s="1622">
        <f t="shared" si="26"/>
        <v>589158.75699999998</v>
      </c>
      <c r="BH5" s="1625" t="s">
        <v>478</v>
      </c>
      <c r="BI5" s="1622">
        <v>46563434</v>
      </c>
      <c r="BJ5" s="1622">
        <f t="shared" si="27"/>
        <v>46563.434000000001</v>
      </c>
      <c r="BM5" s="1625" t="s">
        <v>478</v>
      </c>
      <c r="BN5" s="1627">
        <v>792328180</v>
      </c>
      <c r="BO5" s="1627">
        <v>249732857</v>
      </c>
      <c r="BP5" s="1627">
        <v>249732857</v>
      </c>
      <c r="BQ5" s="1627">
        <v>542595323</v>
      </c>
      <c r="BR5" s="1622">
        <f t="shared" si="28"/>
        <v>792328.18</v>
      </c>
      <c r="BS5" s="1622">
        <f t="shared" si="29"/>
        <v>249732.85699999999</v>
      </c>
      <c r="BT5" s="1622">
        <f t="shared" si="30"/>
        <v>249732.85699999999</v>
      </c>
      <c r="BU5" s="1622">
        <f t="shared" si="31"/>
        <v>542595.32299999997</v>
      </c>
      <c r="BX5" s="1624" t="s">
        <v>478</v>
      </c>
      <c r="BY5" s="1622">
        <v>63741659</v>
      </c>
      <c r="BZ5" s="1622">
        <f t="shared" si="32"/>
        <v>63741.659</v>
      </c>
      <c r="CC5" s="1622" t="s">
        <v>478</v>
      </c>
      <c r="CD5" s="1622">
        <v>792328180</v>
      </c>
      <c r="CE5" s="1622">
        <v>313474516</v>
      </c>
      <c r="CF5" s="1622">
        <v>313474516</v>
      </c>
      <c r="CG5" s="1622">
        <v>478853664</v>
      </c>
      <c r="CH5" s="1622">
        <f t="shared" si="33"/>
        <v>792328.18</v>
      </c>
      <c r="CI5" s="1622">
        <f t="shared" si="34"/>
        <v>313474.516</v>
      </c>
      <c r="CJ5" s="1622">
        <f t="shared" si="35"/>
        <v>313474.516</v>
      </c>
      <c r="CK5" s="1622">
        <f t="shared" si="36"/>
        <v>478853.66399999999</v>
      </c>
      <c r="CN5" s="1624" t="s">
        <v>478</v>
      </c>
      <c r="CO5" s="1622">
        <v>46563434</v>
      </c>
      <c r="CP5" s="1622">
        <f t="shared" si="37"/>
        <v>46563.434000000001</v>
      </c>
      <c r="CS5" s="1625" t="s">
        <v>478</v>
      </c>
      <c r="CT5" s="891">
        <v>792328180</v>
      </c>
      <c r="CU5" s="891">
        <v>360037950</v>
      </c>
      <c r="CV5" s="891">
        <v>360037950</v>
      </c>
      <c r="CW5" s="891">
        <v>432290230</v>
      </c>
      <c r="CX5" s="1622">
        <f t="shared" si="38"/>
        <v>792328.18</v>
      </c>
      <c r="CY5" s="1622">
        <f t="shared" si="39"/>
        <v>360037.95</v>
      </c>
      <c r="CZ5" s="1622">
        <f t="shared" si="40"/>
        <v>360037.95</v>
      </c>
      <c r="DA5" s="1622">
        <f t="shared" si="41"/>
        <v>432290.23</v>
      </c>
      <c r="DD5" s="1624" t="s">
        <v>478</v>
      </c>
      <c r="DE5" s="1622">
        <v>45836364</v>
      </c>
      <c r="DF5" s="1622">
        <f t="shared" si="42"/>
        <v>45836.364000000001</v>
      </c>
      <c r="DJ5" s="1624" t="s">
        <v>478</v>
      </c>
      <c r="DK5" s="1622">
        <v>792328180</v>
      </c>
      <c r="DL5" s="1622">
        <v>405874314</v>
      </c>
      <c r="DM5" s="1622">
        <v>386453866</v>
      </c>
      <c r="DN5" s="1622">
        <v>405874314</v>
      </c>
      <c r="DO5" s="1622">
        <f t="shared" si="43"/>
        <v>792328.18</v>
      </c>
      <c r="DP5" s="1622">
        <f t="shared" si="44"/>
        <v>405874.31400000001</v>
      </c>
      <c r="DQ5" s="1622">
        <f t="shared" si="45"/>
        <v>386453.86599999998</v>
      </c>
      <c r="DR5" s="1622">
        <f t="shared" si="46"/>
        <v>405874.31400000001</v>
      </c>
      <c r="DV5" s="780" t="s">
        <v>478</v>
      </c>
      <c r="DW5" s="779">
        <v>67882808</v>
      </c>
      <c r="DX5" s="1626">
        <f t="shared" si="47"/>
        <v>67882.808000000005</v>
      </c>
      <c r="EA5" s="780" t="s">
        <v>478</v>
      </c>
      <c r="EB5" s="779">
        <v>792328180</v>
      </c>
      <c r="EC5" s="779">
        <v>473757122</v>
      </c>
      <c r="ED5" s="779">
        <v>473757122</v>
      </c>
      <c r="EE5" s="779">
        <v>318571058</v>
      </c>
      <c r="EF5" s="166">
        <f t="shared" si="48"/>
        <v>792328.18</v>
      </c>
      <c r="EG5" s="166">
        <f t="shared" si="49"/>
        <v>473757.12199999997</v>
      </c>
      <c r="EH5" s="166">
        <f t="shared" si="50"/>
        <v>473757.12199999997</v>
      </c>
      <c r="EI5" s="166">
        <f t="shared" si="51"/>
        <v>318571.05800000002</v>
      </c>
    </row>
    <row r="6" spans="1:139" ht="15" customHeight="1" x14ac:dyDescent="0.3">
      <c r="A6" s="1625" t="s">
        <v>477</v>
      </c>
      <c r="B6" s="891">
        <v>144602905</v>
      </c>
      <c r="C6" s="891">
        <v>9159988</v>
      </c>
      <c r="D6" s="891">
        <v>135442917</v>
      </c>
      <c r="E6" s="891">
        <v>9159988</v>
      </c>
      <c r="F6" s="891">
        <f t="shared" si="8"/>
        <v>144602.905</v>
      </c>
      <c r="G6" s="891">
        <f t="shared" si="9"/>
        <v>9159.9879999999994</v>
      </c>
      <c r="H6" s="891">
        <f t="shared" si="10"/>
        <v>135442.91699999999</v>
      </c>
      <c r="I6" s="891">
        <f t="shared" si="11"/>
        <v>9159.9879999999994</v>
      </c>
      <c r="L6" s="1625" t="s">
        <v>477</v>
      </c>
      <c r="M6" s="891">
        <v>9159988</v>
      </c>
      <c r="N6" s="891">
        <f t="shared" si="12"/>
        <v>9159.9879999999994</v>
      </c>
      <c r="Q6" s="1625" t="s">
        <v>477</v>
      </c>
      <c r="R6" s="891">
        <v>144602905</v>
      </c>
      <c r="S6" s="891">
        <v>18319976</v>
      </c>
      <c r="T6" s="891">
        <v>126282929</v>
      </c>
      <c r="U6" s="891">
        <v>18319976</v>
      </c>
      <c r="V6" s="1622">
        <f t="shared" si="13"/>
        <v>144602.905</v>
      </c>
      <c r="W6" s="1622">
        <f t="shared" si="14"/>
        <v>18319.975999999999</v>
      </c>
      <c r="X6" s="1622">
        <f t="shared" si="15"/>
        <v>126282.929</v>
      </c>
      <c r="Y6" s="1622">
        <f t="shared" si="16"/>
        <v>18319.975999999999</v>
      </c>
      <c r="AB6" s="1625" t="s">
        <v>477</v>
      </c>
      <c r="AC6" s="891">
        <v>9159988</v>
      </c>
      <c r="AD6" s="1622">
        <f t="shared" si="17"/>
        <v>9159.9879999999994</v>
      </c>
      <c r="AG6" s="1625" t="s">
        <v>477</v>
      </c>
      <c r="AH6" s="891">
        <v>144602905</v>
      </c>
      <c r="AI6" s="891">
        <v>27479964</v>
      </c>
      <c r="AJ6" s="891">
        <v>27479964</v>
      </c>
      <c r="AK6" s="891">
        <v>117122941</v>
      </c>
      <c r="AL6" s="1622">
        <f t="shared" si="18"/>
        <v>144602.905</v>
      </c>
      <c r="AM6" s="1622">
        <f t="shared" si="19"/>
        <v>27479.964</v>
      </c>
      <c r="AN6" s="1622">
        <f t="shared" si="20"/>
        <v>27479.964</v>
      </c>
      <c r="AO6" s="1622">
        <f t="shared" si="21"/>
        <v>117122.94100000001</v>
      </c>
      <c r="AR6" s="1625" t="s">
        <v>477</v>
      </c>
      <c r="AS6" s="1622">
        <v>9159988</v>
      </c>
      <c r="AT6" s="1622">
        <f t="shared" si="22"/>
        <v>9159.9879999999994</v>
      </c>
      <c r="AW6" s="1625" t="s">
        <v>477</v>
      </c>
      <c r="AX6" s="891">
        <v>144602905</v>
      </c>
      <c r="AY6" s="891">
        <v>36639952</v>
      </c>
      <c r="AZ6" s="891">
        <v>36639952</v>
      </c>
      <c r="BA6" s="891">
        <v>107962953</v>
      </c>
      <c r="BB6" s="1622">
        <f t="shared" si="23"/>
        <v>144602.905</v>
      </c>
      <c r="BC6" s="1622">
        <f t="shared" si="24"/>
        <v>36639.951999999997</v>
      </c>
      <c r="BD6" s="1622">
        <f t="shared" si="25"/>
        <v>36639.951999999997</v>
      </c>
      <c r="BE6" s="1622">
        <f t="shared" si="26"/>
        <v>107962.95299999999</v>
      </c>
      <c r="BH6" s="1625" t="s">
        <v>477</v>
      </c>
      <c r="BI6" s="1622">
        <v>9159988</v>
      </c>
      <c r="BJ6" s="1622">
        <f t="shared" si="27"/>
        <v>9159.9879999999994</v>
      </c>
      <c r="BM6" s="1625" t="s">
        <v>477</v>
      </c>
      <c r="BN6" s="1627">
        <v>144602905</v>
      </c>
      <c r="BO6" s="1627">
        <v>45799940</v>
      </c>
      <c r="BP6" s="1627">
        <v>45799940</v>
      </c>
      <c r="BQ6" s="1627">
        <v>98802965</v>
      </c>
      <c r="BR6" s="1622">
        <f t="shared" si="28"/>
        <v>144602.905</v>
      </c>
      <c r="BS6" s="1622">
        <f t="shared" si="29"/>
        <v>45799.94</v>
      </c>
      <c r="BT6" s="1622">
        <f t="shared" si="30"/>
        <v>45799.94</v>
      </c>
      <c r="BU6" s="1622">
        <f t="shared" si="31"/>
        <v>98802.964999999997</v>
      </c>
      <c r="BX6" s="1624" t="s">
        <v>477</v>
      </c>
      <c r="BY6" s="1622">
        <v>9159988</v>
      </c>
      <c r="BZ6" s="1622">
        <f t="shared" si="32"/>
        <v>9159.9879999999994</v>
      </c>
      <c r="CC6" s="1622" t="s">
        <v>477</v>
      </c>
      <c r="CD6" s="1622">
        <v>144602905</v>
      </c>
      <c r="CE6" s="1622">
        <v>54959928</v>
      </c>
      <c r="CF6" s="1622">
        <v>54959928</v>
      </c>
      <c r="CG6" s="1622">
        <v>89642977</v>
      </c>
      <c r="CH6" s="1622">
        <f t="shared" si="33"/>
        <v>144602.905</v>
      </c>
      <c r="CI6" s="1622">
        <f t="shared" si="34"/>
        <v>54959.928</v>
      </c>
      <c r="CJ6" s="1622">
        <f t="shared" si="35"/>
        <v>54959.928</v>
      </c>
      <c r="CK6" s="1622">
        <f t="shared" si="36"/>
        <v>89642.976999999999</v>
      </c>
      <c r="CN6" s="1624" t="s">
        <v>477</v>
      </c>
      <c r="CO6" s="1622">
        <v>9159988</v>
      </c>
      <c r="CP6" s="1622">
        <f t="shared" si="37"/>
        <v>9159.9879999999994</v>
      </c>
      <c r="CS6" s="1625" t="s">
        <v>477</v>
      </c>
      <c r="CT6" s="891">
        <v>144602905</v>
      </c>
      <c r="CU6" s="891">
        <v>64119916</v>
      </c>
      <c r="CV6" s="891">
        <v>64119916</v>
      </c>
      <c r="CW6" s="891">
        <v>80482989</v>
      </c>
      <c r="CX6" s="1622">
        <f t="shared" si="38"/>
        <v>144602.905</v>
      </c>
      <c r="CY6" s="1622">
        <f t="shared" si="39"/>
        <v>64119.915999999997</v>
      </c>
      <c r="CZ6" s="1622">
        <f t="shared" si="40"/>
        <v>64119.915999999997</v>
      </c>
      <c r="DA6" s="1622">
        <f t="shared" si="41"/>
        <v>80482.989000000001</v>
      </c>
      <c r="DD6" s="1624" t="s">
        <v>477</v>
      </c>
      <c r="DE6" s="1622">
        <v>9441181</v>
      </c>
      <c r="DF6" s="1622">
        <f t="shared" si="42"/>
        <v>9441.1810000000005</v>
      </c>
      <c r="DJ6" s="1624" t="s">
        <v>477</v>
      </c>
      <c r="DK6" s="1622">
        <v>144602905</v>
      </c>
      <c r="DL6" s="1622">
        <v>73561097</v>
      </c>
      <c r="DM6" s="1622">
        <v>71041808</v>
      </c>
      <c r="DN6" s="1622">
        <v>73561097</v>
      </c>
      <c r="DO6" s="1622">
        <f t="shared" si="43"/>
        <v>144602.905</v>
      </c>
      <c r="DP6" s="1622">
        <f t="shared" si="44"/>
        <v>73561.096999999994</v>
      </c>
      <c r="DQ6" s="1622">
        <f t="shared" si="45"/>
        <v>71041.808000000005</v>
      </c>
      <c r="DR6" s="1622">
        <f t="shared" si="46"/>
        <v>73561.096999999994</v>
      </c>
      <c r="DV6" s="780" t="s">
        <v>477</v>
      </c>
      <c r="DW6" s="779">
        <v>10032735</v>
      </c>
      <c r="DX6" s="1626">
        <f t="shared" si="47"/>
        <v>10032.735000000001</v>
      </c>
      <c r="EA6" s="780" t="s">
        <v>477</v>
      </c>
      <c r="EB6" s="779">
        <v>144602905</v>
      </c>
      <c r="EC6" s="779">
        <v>83593832</v>
      </c>
      <c r="ED6" s="779">
        <v>83593832</v>
      </c>
      <c r="EE6" s="779">
        <v>61009073</v>
      </c>
      <c r="EF6" s="166">
        <f t="shared" si="48"/>
        <v>144602.905</v>
      </c>
      <c r="EG6" s="166">
        <f t="shared" si="49"/>
        <v>83593.831999999995</v>
      </c>
      <c r="EH6" s="166">
        <f t="shared" si="50"/>
        <v>83593.831999999995</v>
      </c>
      <c r="EI6" s="166">
        <f t="shared" si="51"/>
        <v>61009.072999999997</v>
      </c>
    </row>
    <row r="7" spans="1:139" ht="15" customHeight="1" x14ac:dyDescent="0.3">
      <c r="A7" s="1625" t="s">
        <v>555</v>
      </c>
      <c r="B7" s="891">
        <v>18480028</v>
      </c>
      <c r="C7" s="891">
        <v>1260678</v>
      </c>
      <c r="D7" s="891">
        <v>17219350</v>
      </c>
      <c r="E7" s="891">
        <v>1260678</v>
      </c>
      <c r="F7" s="891">
        <f t="shared" si="8"/>
        <v>18480.027999999998</v>
      </c>
      <c r="G7" s="891">
        <f t="shared" si="9"/>
        <v>1260.6780000000001</v>
      </c>
      <c r="H7" s="891">
        <f t="shared" si="10"/>
        <v>17219.349999999999</v>
      </c>
      <c r="I7" s="891">
        <f t="shared" si="11"/>
        <v>1260.6780000000001</v>
      </c>
      <c r="L7" s="1625" t="s">
        <v>555</v>
      </c>
      <c r="M7" s="891">
        <v>1260678</v>
      </c>
      <c r="N7" s="891">
        <f t="shared" si="12"/>
        <v>1260.6780000000001</v>
      </c>
      <c r="Q7" s="1625" t="s">
        <v>555</v>
      </c>
      <c r="R7" s="891">
        <v>18480028</v>
      </c>
      <c r="S7" s="891">
        <v>2521356</v>
      </c>
      <c r="T7" s="891">
        <v>15958672</v>
      </c>
      <c r="U7" s="891">
        <v>2521356</v>
      </c>
      <c r="V7" s="1622">
        <f t="shared" si="13"/>
        <v>18480.027999999998</v>
      </c>
      <c r="W7" s="1622">
        <f t="shared" si="14"/>
        <v>2521.3560000000002</v>
      </c>
      <c r="X7" s="1622">
        <f t="shared" si="15"/>
        <v>15958.672</v>
      </c>
      <c r="Y7" s="1622">
        <f t="shared" si="16"/>
        <v>2521.3560000000002</v>
      </c>
      <c r="AB7" s="1625" t="s">
        <v>555</v>
      </c>
      <c r="AC7" s="891">
        <v>1260678</v>
      </c>
      <c r="AD7" s="1622">
        <f t="shared" si="17"/>
        <v>1260.6780000000001</v>
      </c>
      <c r="AG7" s="1625" t="s">
        <v>555</v>
      </c>
      <c r="AH7" s="891">
        <v>18480028</v>
      </c>
      <c r="AI7" s="891">
        <v>3782034</v>
      </c>
      <c r="AJ7" s="891">
        <v>3782034</v>
      </c>
      <c r="AK7" s="891">
        <v>14697994</v>
      </c>
      <c r="AL7" s="1622">
        <f t="shared" si="18"/>
        <v>18480.027999999998</v>
      </c>
      <c r="AM7" s="1622">
        <f t="shared" si="19"/>
        <v>3782.0340000000001</v>
      </c>
      <c r="AN7" s="1622">
        <f t="shared" si="20"/>
        <v>3782.0340000000001</v>
      </c>
      <c r="AO7" s="1622">
        <f t="shared" si="21"/>
        <v>14697.994000000001</v>
      </c>
      <c r="AR7" s="1625" t="s">
        <v>555</v>
      </c>
      <c r="AS7" s="1622">
        <v>1275142</v>
      </c>
      <c r="AT7" s="1622">
        <f t="shared" si="22"/>
        <v>1275.1420000000001</v>
      </c>
      <c r="AW7" s="1625" t="s">
        <v>555</v>
      </c>
      <c r="AX7" s="891">
        <v>18480028</v>
      </c>
      <c r="AY7" s="891">
        <v>5057176</v>
      </c>
      <c r="AZ7" s="891">
        <v>5057176</v>
      </c>
      <c r="BA7" s="891">
        <v>13422852</v>
      </c>
      <c r="BB7" s="1622">
        <f t="shared" si="23"/>
        <v>18480.027999999998</v>
      </c>
      <c r="BC7" s="1622">
        <f t="shared" si="24"/>
        <v>5057.1760000000004</v>
      </c>
      <c r="BD7" s="1622">
        <f t="shared" si="25"/>
        <v>5057.1760000000004</v>
      </c>
      <c r="BE7" s="1622">
        <f t="shared" si="26"/>
        <v>13422.852000000001</v>
      </c>
      <c r="BH7" s="1625" t="s">
        <v>555</v>
      </c>
      <c r="BI7" s="1622">
        <v>1316476</v>
      </c>
      <c r="BJ7" s="1622">
        <f t="shared" si="27"/>
        <v>1316.4760000000001</v>
      </c>
      <c r="BM7" s="1625" t="s">
        <v>555</v>
      </c>
      <c r="BN7" s="1627">
        <v>18480028</v>
      </c>
      <c r="BO7" s="1627">
        <v>6373652</v>
      </c>
      <c r="BP7" s="1627">
        <v>6373652</v>
      </c>
      <c r="BQ7" s="1627">
        <v>12106376</v>
      </c>
      <c r="BR7" s="1622">
        <f t="shared" si="28"/>
        <v>18480.027999999998</v>
      </c>
      <c r="BS7" s="1622">
        <f t="shared" si="29"/>
        <v>6373.652</v>
      </c>
      <c r="BT7" s="1622">
        <f t="shared" si="30"/>
        <v>6373.652</v>
      </c>
      <c r="BU7" s="1622">
        <f t="shared" si="31"/>
        <v>12106.376</v>
      </c>
      <c r="BX7" s="1624" t="s">
        <v>555</v>
      </c>
      <c r="BY7" s="1622">
        <v>1316476</v>
      </c>
      <c r="BZ7" s="1622">
        <f t="shared" si="32"/>
        <v>1316.4760000000001</v>
      </c>
      <c r="CC7" s="1622" t="s">
        <v>555</v>
      </c>
      <c r="CD7" s="1622">
        <v>18480028</v>
      </c>
      <c r="CE7" s="1622">
        <v>7690128</v>
      </c>
      <c r="CF7" s="1622">
        <v>7690128</v>
      </c>
      <c r="CG7" s="1622">
        <v>10789900</v>
      </c>
      <c r="CH7" s="1622">
        <f t="shared" si="33"/>
        <v>18480.027999999998</v>
      </c>
      <c r="CI7" s="1622">
        <f t="shared" si="34"/>
        <v>7690.1279999999997</v>
      </c>
      <c r="CJ7" s="1622">
        <f t="shared" si="35"/>
        <v>7690.1279999999997</v>
      </c>
      <c r="CK7" s="1622">
        <f t="shared" si="36"/>
        <v>10789.9</v>
      </c>
      <c r="CN7" s="1624" t="s">
        <v>555</v>
      </c>
      <c r="CO7" s="1622">
        <v>1316476</v>
      </c>
      <c r="CP7" s="1622">
        <f t="shared" si="37"/>
        <v>1316.4760000000001</v>
      </c>
      <c r="CS7" s="1625" t="s">
        <v>555</v>
      </c>
      <c r="CT7" s="891">
        <v>18480028</v>
      </c>
      <c r="CU7" s="891">
        <v>9006604</v>
      </c>
      <c r="CV7" s="891">
        <v>9006604</v>
      </c>
      <c r="CW7" s="891">
        <v>9473424</v>
      </c>
      <c r="CX7" s="1622">
        <f t="shared" si="38"/>
        <v>18480.027999999998</v>
      </c>
      <c r="CY7" s="1622">
        <f t="shared" si="39"/>
        <v>9006.6039999999994</v>
      </c>
      <c r="CZ7" s="1622">
        <f t="shared" si="40"/>
        <v>9006.6039999999994</v>
      </c>
      <c r="DA7" s="1622">
        <f t="shared" si="41"/>
        <v>9473.4240000000009</v>
      </c>
      <c r="DD7" s="1624" t="s">
        <v>555</v>
      </c>
      <c r="DE7" s="1622">
        <v>1396753</v>
      </c>
      <c r="DF7" s="1622">
        <f t="shared" si="42"/>
        <v>1396.7529999999999</v>
      </c>
      <c r="DJ7" s="1624" t="s">
        <v>555</v>
      </c>
      <c r="DK7" s="1622">
        <v>18480028</v>
      </c>
      <c r="DL7" s="1622">
        <v>10403357</v>
      </c>
      <c r="DM7" s="1622">
        <v>8076671</v>
      </c>
      <c r="DN7" s="1622">
        <v>10403357</v>
      </c>
      <c r="DO7" s="1622">
        <f t="shared" si="43"/>
        <v>18480.027999999998</v>
      </c>
      <c r="DP7" s="1622">
        <f t="shared" si="44"/>
        <v>10403.357</v>
      </c>
      <c r="DQ7" s="1622">
        <f t="shared" si="45"/>
        <v>8076.6710000000003</v>
      </c>
      <c r="DR7" s="1622">
        <f t="shared" si="46"/>
        <v>10403.357</v>
      </c>
      <c r="DV7" s="780" t="s">
        <v>555</v>
      </c>
      <c r="DW7" s="779">
        <v>1436684</v>
      </c>
      <c r="DX7" s="1626">
        <f t="shared" si="47"/>
        <v>1436.684</v>
      </c>
      <c r="EA7" s="780" t="s">
        <v>555</v>
      </c>
      <c r="EB7" s="779">
        <v>18480028</v>
      </c>
      <c r="EC7" s="779">
        <v>11840041</v>
      </c>
      <c r="ED7" s="779">
        <v>11840041</v>
      </c>
      <c r="EE7" s="779">
        <v>6639987</v>
      </c>
      <c r="EF7" s="166">
        <f t="shared" si="48"/>
        <v>18480.027999999998</v>
      </c>
      <c r="EG7" s="166">
        <f t="shared" si="49"/>
        <v>11840.040999999999</v>
      </c>
      <c r="EH7" s="166">
        <f t="shared" si="50"/>
        <v>11840.040999999999</v>
      </c>
      <c r="EI7" s="166">
        <f t="shared" si="51"/>
        <v>6639.9870000000001</v>
      </c>
    </row>
    <row r="8" spans="1:139" ht="15" customHeight="1" x14ac:dyDescent="0.3">
      <c r="A8" s="1625" t="s">
        <v>476</v>
      </c>
      <c r="B8" s="891">
        <v>100269412</v>
      </c>
      <c r="C8" s="891">
        <v>6955489</v>
      </c>
      <c r="D8" s="891">
        <v>93313923</v>
      </c>
      <c r="E8" s="891">
        <v>6955489</v>
      </c>
      <c r="F8" s="891">
        <f t="shared" si="8"/>
        <v>100269.412</v>
      </c>
      <c r="G8" s="891">
        <f t="shared" si="9"/>
        <v>6955.4889999999996</v>
      </c>
      <c r="H8" s="891">
        <f t="shared" si="10"/>
        <v>93313.922999999995</v>
      </c>
      <c r="I8" s="891">
        <f t="shared" si="11"/>
        <v>6955.4889999999996</v>
      </c>
      <c r="L8" s="1625" t="s">
        <v>476</v>
      </c>
      <c r="M8" s="891">
        <v>6955489</v>
      </c>
      <c r="N8" s="891">
        <f t="shared" si="12"/>
        <v>6955.4889999999996</v>
      </c>
      <c r="Q8" s="1625" t="s">
        <v>476</v>
      </c>
      <c r="R8" s="891">
        <v>100269412</v>
      </c>
      <c r="S8" s="891">
        <v>13910978</v>
      </c>
      <c r="T8" s="891">
        <v>86358434</v>
      </c>
      <c r="U8" s="891">
        <v>13910978</v>
      </c>
      <c r="V8" s="1622">
        <f t="shared" si="13"/>
        <v>100269.412</v>
      </c>
      <c r="W8" s="1622">
        <f t="shared" si="14"/>
        <v>13910.977999999999</v>
      </c>
      <c r="X8" s="1622">
        <f t="shared" si="15"/>
        <v>86358.433999999994</v>
      </c>
      <c r="Y8" s="1622">
        <f t="shared" si="16"/>
        <v>13910.977999999999</v>
      </c>
      <c r="AB8" s="1625" t="s">
        <v>476</v>
      </c>
      <c r="AC8" s="891">
        <v>6955489</v>
      </c>
      <c r="AD8" s="1622">
        <f t="shared" si="17"/>
        <v>6955.4889999999996</v>
      </c>
      <c r="AG8" s="1625" t="s">
        <v>476</v>
      </c>
      <c r="AH8" s="891">
        <v>100269412</v>
      </c>
      <c r="AI8" s="891">
        <v>20866467</v>
      </c>
      <c r="AJ8" s="891">
        <v>20866467</v>
      </c>
      <c r="AK8" s="891">
        <v>79402945</v>
      </c>
      <c r="AL8" s="1622">
        <f t="shared" si="18"/>
        <v>100269.412</v>
      </c>
      <c r="AM8" s="1622">
        <f t="shared" si="19"/>
        <v>20866.467000000001</v>
      </c>
      <c r="AN8" s="1622">
        <f t="shared" si="20"/>
        <v>20866.467000000001</v>
      </c>
      <c r="AO8" s="1622">
        <f t="shared" si="21"/>
        <v>79402.945000000007</v>
      </c>
      <c r="AR8" s="1625" t="s">
        <v>476</v>
      </c>
      <c r="AS8" s="1622">
        <v>6955489</v>
      </c>
      <c r="AT8" s="1622">
        <f t="shared" si="22"/>
        <v>6955.4889999999996</v>
      </c>
      <c r="AW8" s="1625" t="s">
        <v>476</v>
      </c>
      <c r="AX8" s="891">
        <v>100269412</v>
      </c>
      <c r="AY8" s="891">
        <v>27821956</v>
      </c>
      <c r="AZ8" s="891">
        <v>27821956</v>
      </c>
      <c r="BA8" s="891">
        <v>72447456</v>
      </c>
      <c r="BB8" s="1622">
        <f t="shared" si="23"/>
        <v>100269.412</v>
      </c>
      <c r="BC8" s="1622">
        <f t="shared" si="24"/>
        <v>27821.955999999998</v>
      </c>
      <c r="BD8" s="1622">
        <f t="shared" si="25"/>
        <v>27821.955999999998</v>
      </c>
      <c r="BE8" s="1622">
        <f t="shared" si="26"/>
        <v>72447.456000000006</v>
      </c>
      <c r="BH8" s="1625" t="s">
        <v>476</v>
      </c>
      <c r="BI8" s="1622">
        <v>6955489</v>
      </c>
      <c r="BJ8" s="1622">
        <f t="shared" si="27"/>
        <v>6955.4889999999996</v>
      </c>
      <c r="BM8" s="1625" t="s">
        <v>476</v>
      </c>
      <c r="BN8" s="1627">
        <v>100269412</v>
      </c>
      <c r="BO8" s="1627">
        <v>34777445</v>
      </c>
      <c r="BP8" s="1627">
        <v>34777445</v>
      </c>
      <c r="BQ8" s="1627">
        <v>65491967</v>
      </c>
      <c r="BR8" s="1622">
        <f t="shared" si="28"/>
        <v>100269.412</v>
      </c>
      <c r="BS8" s="1622">
        <f t="shared" si="29"/>
        <v>34777.445</v>
      </c>
      <c r="BT8" s="1622">
        <f t="shared" si="30"/>
        <v>34777.445</v>
      </c>
      <c r="BU8" s="1622">
        <f t="shared" si="31"/>
        <v>65491.966999999997</v>
      </c>
      <c r="BX8" s="1624" t="s">
        <v>476</v>
      </c>
      <c r="BY8" s="1622">
        <v>6955489</v>
      </c>
      <c r="BZ8" s="1622">
        <f t="shared" si="32"/>
        <v>6955.4889999999996</v>
      </c>
      <c r="CC8" s="1622" t="s">
        <v>476</v>
      </c>
      <c r="CD8" s="1622">
        <v>100269412</v>
      </c>
      <c r="CE8" s="1622">
        <v>41732934</v>
      </c>
      <c r="CF8" s="1622">
        <v>41732934</v>
      </c>
      <c r="CG8" s="1622">
        <v>58536478</v>
      </c>
      <c r="CH8" s="1622">
        <f t="shared" si="33"/>
        <v>100269.412</v>
      </c>
      <c r="CI8" s="1622">
        <f t="shared" si="34"/>
        <v>41732.934000000001</v>
      </c>
      <c r="CJ8" s="1622">
        <f t="shared" si="35"/>
        <v>41732.934000000001</v>
      </c>
      <c r="CK8" s="1622">
        <f t="shared" si="36"/>
        <v>58536.478000000003</v>
      </c>
      <c r="CN8" s="1624" t="s">
        <v>476</v>
      </c>
      <c r="CO8" s="1622">
        <v>6955489</v>
      </c>
      <c r="CP8" s="1622">
        <f t="shared" si="37"/>
        <v>6955.4889999999996</v>
      </c>
      <c r="CS8" s="1625" t="s">
        <v>476</v>
      </c>
      <c r="CT8" s="891">
        <v>100269412</v>
      </c>
      <c r="CU8" s="891">
        <v>48688423</v>
      </c>
      <c r="CV8" s="891">
        <v>48688423</v>
      </c>
      <c r="CW8" s="891">
        <v>51580989</v>
      </c>
      <c r="CX8" s="1622">
        <f t="shared" si="38"/>
        <v>100269.412</v>
      </c>
      <c r="CY8" s="1622">
        <f t="shared" si="39"/>
        <v>48688.423000000003</v>
      </c>
      <c r="CZ8" s="1622">
        <f t="shared" si="40"/>
        <v>48688.423000000003</v>
      </c>
      <c r="DA8" s="1622">
        <f t="shared" si="41"/>
        <v>51580.989000000001</v>
      </c>
      <c r="DD8" s="1624" t="s">
        <v>476</v>
      </c>
      <c r="DE8" s="1622">
        <v>7180445</v>
      </c>
      <c r="DF8" s="1622">
        <f t="shared" si="42"/>
        <v>7180.4449999999997</v>
      </c>
      <c r="DJ8" s="1624" t="s">
        <v>476</v>
      </c>
      <c r="DK8" s="1622">
        <v>100269412</v>
      </c>
      <c r="DL8" s="1622">
        <v>55868868</v>
      </c>
      <c r="DM8" s="1622">
        <v>44400544</v>
      </c>
      <c r="DN8" s="1622">
        <v>55868868</v>
      </c>
      <c r="DO8" s="1622">
        <f t="shared" si="43"/>
        <v>100269.412</v>
      </c>
      <c r="DP8" s="1622">
        <f t="shared" si="44"/>
        <v>55868.868000000002</v>
      </c>
      <c r="DQ8" s="1622">
        <f t="shared" si="45"/>
        <v>44400.544000000002</v>
      </c>
      <c r="DR8" s="1622">
        <f t="shared" si="46"/>
        <v>55868.868000000002</v>
      </c>
      <c r="DV8" s="780" t="s">
        <v>476</v>
      </c>
      <c r="DW8" s="779">
        <v>7653690</v>
      </c>
      <c r="DX8" s="1626">
        <f t="shared" si="47"/>
        <v>7653.69</v>
      </c>
      <c r="EA8" s="780" t="s">
        <v>476</v>
      </c>
      <c r="EB8" s="779">
        <v>100269412</v>
      </c>
      <c r="EC8" s="779">
        <v>63522558</v>
      </c>
      <c r="ED8" s="779">
        <v>63522558</v>
      </c>
      <c r="EE8" s="779">
        <v>36746854</v>
      </c>
      <c r="EF8" s="166">
        <f t="shared" si="48"/>
        <v>100269.412</v>
      </c>
      <c r="EG8" s="166">
        <f t="shared" si="49"/>
        <v>63522.557999999997</v>
      </c>
      <c r="EH8" s="166">
        <f t="shared" si="50"/>
        <v>63522.557999999997</v>
      </c>
      <c r="EI8" s="166">
        <f t="shared" si="51"/>
        <v>36746.853999999999</v>
      </c>
    </row>
    <row r="9" spans="1:139" ht="15" customHeight="1" x14ac:dyDescent="0.3">
      <c r="A9" s="1625" t="s">
        <v>556</v>
      </c>
      <c r="B9" s="891">
        <v>9704836</v>
      </c>
      <c r="C9" s="891">
        <v>778411</v>
      </c>
      <c r="D9" s="891">
        <v>8926425</v>
      </c>
      <c r="E9" s="891">
        <v>778411</v>
      </c>
      <c r="F9" s="891">
        <f t="shared" si="8"/>
        <v>9704.8359999999993</v>
      </c>
      <c r="G9" s="891">
        <f t="shared" si="9"/>
        <v>778.41099999999994</v>
      </c>
      <c r="H9" s="891">
        <f t="shared" si="10"/>
        <v>8926.4249999999993</v>
      </c>
      <c r="I9" s="891">
        <f t="shared" si="11"/>
        <v>778.41099999999994</v>
      </c>
      <c r="L9" s="1625" t="s">
        <v>556</v>
      </c>
      <c r="M9" s="891">
        <v>778411</v>
      </c>
      <c r="N9" s="891">
        <f t="shared" si="12"/>
        <v>778.41099999999994</v>
      </c>
      <c r="Q9" s="1625" t="s">
        <v>556</v>
      </c>
      <c r="R9" s="891">
        <v>9704836</v>
      </c>
      <c r="S9" s="891">
        <v>1556822</v>
      </c>
      <c r="T9" s="891">
        <v>8148014</v>
      </c>
      <c r="U9" s="891">
        <v>1556822</v>
      </c>
      <c r="V9" s="1622">
        <f t="shared" si="13"/>
        <v>9704.8359999999993</v>
      </c>
      <c r="W9" s="1622">
        <f t="shared" si="14"/>
        <v>1556.8219999999999</v>
      </c>
      <c r="X9" s="1622">
        <f t="shared" si="15"/>
        <v>8148.0140000000001</v>
      </c>
      <c r="Y9" s="1622">
        <f t="shared" si="16"/>
        <v>1556.8219999999999</v>
      </c>
      <c r="AB9" s="1625" t="s">
        <v>556</v>
      </c>
      <c r="AC9" s="891">
        <v>778411</v>
      </c>
      <c r="AD9" s="1622">
        <f t="shared" si="17"/>
        <v>778.41099999999994</v>
      </c>
      <c r="AG9" s="1625" t="s">
        <v>556</v>
      </c>
      <c r="AH9" s="891">
        <v>9704836</v>
      </c>
      <c r="AI9" s="891">
        <v>2335233</v>
      </c>
      <c r="AJ9" s="891">
        <v>2335233</v>
      </c>
      <c r="AK9" s="891">
        <v>7369603</v>
      </c>
      <c r="AL9" s="1622">
        <f t="shared" si="18"/>
        <v>9704.8359999999993</v>
      </c>
      <c r="AM9" s="1622">
        <f t="shared" si="19"/>
        <v>2335.2330000000002</v>
      </c>
      <c r="AN9" s="1622">
        <f t="shared" si="20"/>
        <v>2335.2330000000002</v>
      </c>
      <c r="AO9" s="1622">
        <f t="shared" si="21"/>
        <v>7369.6030000000001</v>
      </c>
      <c r="AR9" s="1625" t="s">
        <v>556</v>
      </c>
      <c r="AS9" s="1622">
        <v>778411</v>
      </c>
      <c r="AT9" s="1622">
        <f t="shared" si="22"/>
        <v>778.41099999999994</v>
      </c>
      <c r="AW9" s="1625" t="s">
        <v>556</v>
      </c>
      <c r="AX9" s="891">
        <v>9704836</v>
      </c>
      <c r="AY9" s="891">
        <v>3113644</v>
      </c>
      <c r="AZ9" s="891">
        <v>3113644</v>
      </c>
      <c r="BA9" s="891">
        <v>6591192</v>
      </c>
      <c r="BB9" s="1622">
        <f t="shared" si="23"/>
        <v>9704.8359999999993</v>
      </c>
      <c r="BC9" s="1622">
        <f t="shared" si="24"/>
        <v>3113.6439999999998</v>
      </c>
      <c r="BD9" s="1622">
        <f t="shared" si="25"/>
        <v>3113.6439999999998</v>
      </c>
      <c r="BE9" s="1622">
        <f t="shared" si="26"/>
        <v>6591.192</v>
      </c>
      <c r="BH9" s="1625" t="s">
        <v>556</v>
      </c>
      <c r="BI9" s="1622">
        <v>778411</v>
      </c>
      <c r="BJ9" s="1622">
        <f t="shared" si="27"/>
        <v>778.41099999999994</v>
      </c>
      <c r="BM9" s="1625" t="s">
        <v>556</v>
      </c>
      <c r="BN9" s="1627">
        <v>9704836</v>
      </c>
      <c r="BO9" s="1627">
        <v>3892055</v>
      </c>
      <c r="BP9" s="1627">
        <v>3892055</v>
      </c>
      <c r="BQ9" s="1627">
        <v>5812781</v>
      </c>
      <c r="BR9" s="1622">
        <f t="shared" si="28"/>
        <v>9704.8359999999993</v>
      </c>
      <c r="BS9" s="1622">
        <f t="shared" si="29"/>
        <v>3892.0549999999998</v>
      </c>
      <c r="BT9" s="1622">
        <f t="shared" si="30"/>
        <v>3892.0549999999998</v>
      </c>
      <c r="BU9" s="1622">
        <f t="shared" si="31"/>
        <v>5812.7809999999999</v>
      </c>
      <c r="BX9" s="1624" t="s">
        <v>556</v>
      </c>
      <c r="BY9" s="1622">
        <v>778411</v>
      </c>
      <c r="BZ9" s="1622">
        <f t="shared" si="32"/>
        <v>778.41099999999994</v>
      </c>
      <c r="CC9" s="1622" t="s">
        <v>556</v>
      </c>
      <c r="CD9" s="1622">
        <v>9704836</v>
      </c>
      <c r="CE9" s="1622">
        <v>4670466</v>
      </c>
      <c r="CF9" s="1622">
        <v>4670466</v>
      </c>
      <c r="CG9" s="1622">
        <v>5034370</v>
      </c>
      <c r="CH9" s="1622">
        <f t="shared" si="33"/>
        <v>9704.8359999999993</v>
      </c>
      <c r="CI9" s="1622">
        <f t="shared" si="34"/>
        <v>4670.4660000000003</v>
      </c>
      <c r="CJ9" s="1622">
        <f t="shared" si="35"/>
        <v>4670.4660000000003</v>
      </c>
      <c r="CK9" s="1622">
        <f t="shared" si="36"/>
        <v>5034.37</v>
      </c>
      <c r="CN9" s="1624" t="s">
        <v>556</v>
      </c>
      <c r="CO9" s="1622">
        <v>778411</v>
      </c>
      <c r="CP9" s="1622">
        <f t="shared" si="37"/>
        <v>778.41099999999994</v>
      </c>
      <c r="CS9" s="1625" t="s">
        <v>556</v>
      </c>
      <c r="CT9" s="891">
        <v>9704836</v>
      </c>
      <c r="CU9" s="891">
        <v>5448877</v>
      </c>
      <c r="CV9" s="891">
        <v>5448877</v>
      </c>
      <c r="CW9" s="891">
        <v>4255959</v>
      </c>
      <c r="CX9" s="1622">
        <f t="shared" si="38"/>
        <v>9704.8359999999993</v>
      </c>
      <c r="CY9" s="1622">
        <f t="shared" si="39"/>
        <v>5448.8770000000004</v>
      </c>
      <c r="CZ9" s="1622">
        <f t="shared" si="40"/>
        <v>5448.8770000000004</v>
      </c>
      <c r="DA9" s="1622">
        <f t="shared" si="41"/>
        <v>4255.9589999999998</v>
      </c>
      <c r="DD9" s="1624" t="s">
        <v>556</v>
      </c>
      <c r="DE9" s="1622">
        <v>778411</v>
      </c>
      <c r="DF9" s="1622">
        <f t="shared" si="42"/>
        <v>778.41099999999994</v>
      </c>
      <c r="DJ9" s="1624" t="s">
        <v>556</v>
      </c>
      <c r="DK9" s="1622">
        <v>9704836</v>
      </c>
      <c r="DL9" s="1622">
        <v>6227288</v>
      </c>
      <c r="DM9" s="1622">
        <v>3477548</v>
      </c>
      <c r="DN9" s="1622">
        <v>6227288</v>
      </c>
      <c r="DO9" s="1622">
        <f t="shared" si="43"/>
        <v>9704.8359999999993</v>
      </c>
      <c r="DP9" s="1622">
        <f t="shared" si="44"/>
        <v>6227.2879999999996</v>
      </c>
      <c r="DQ9" s="1622">
        <f t="shared" si="45"/>
        <v>3477.5479999999998</v>
      </c>
      <c r="DR9" s="1622">
        <f t="shared" si="46"/>
        <v>6227.2879999999996</v>
      </c>
      <c r="DV9" s="780" t="s">
        <v>556</v>
      </c>
      <c r="DW9" s="779">
        <v>778411</v>
      </c>
      <c r="DX9" s="1626">
        <f t="shared" si="47"/>
        <v>778.41099999999994</v>
      </c>
      <c r="EA9" s="780" t="s">
        <v>556</v>
      </c>
      <c r="EB9" s="779">
        <v>9704836</v>
      </c>
      <c r="EC9" s="779">
        <v>7005699</v>
      </c>
      <c r="ED9" s="779">
        <v>7005699</v>
      </c>
      <c r="EE9" s="779">
        <v>2699137</v>
      </c>
      <c r="EF9" s="166">
        <f t="shared" si="48"/>
        <v>9704.8359999999993</v>
      </c>
      <c r="EG9" s="166">
        <f t="shared" si="49"/>
        <v>7005.6989999999996</v>
      </c>
      <c r="EH9" s="166">
        <f t="shared" si="50"/>
        <v>7005.6989999999996</v>
      </c>
      <c r="EI9" s="166">
        <f t="shared" si="51"/>
        <v>2699.1370000000002</v>
      </c>
    </row>
    <row r="10" spans="1:139" ht="15" customHeight="1" x14ac:dyDescent="0.3">
      <c r="A10" s="1625" t="s">
        <v>557</v>
      </c>
      <c r="B10" s="891">
        <v>3624196</v>
      </c>
      <c r="C10" s="891">
        <v>177466</v>
      </c>
      <c r="D10" s="891">
        <v>3446730</v>
      </c>
      <c r="E10" s="891">
        <v>177466</v>
      </c>
      <c r="F10" s="891">
        <f t="shared" si="8"/>
        <v>3624.1959999999999</v>
      </c>
      <c r="G10" s="891">
        <f t="shared" si="9"/>
        <v>177.46600000000001</v>
      </c>
      <c r="H10" s="891">
        <f t="shared" si="10"/>
        <v>3446.73</v>
      </c>
      <c r="I10" s="891">
        <f t="shared" si="11"/>
        <v>177.46600000000001</v>
      </c>
      <c r="L10" s="1625" t="s">
        <v>557</v>
      </c>
      <c r="M10" s="891">
        <v>177466</v>
      </c>
      <c r="N10" s="891">
        <f t="shared" si="12"/>
        <v>177.46600000000001</v>
      </c>
      <c r="Q10" s="1625" t="s">
        <v>557</v>
      </c>
      <c r="R10" s="891">
        <v>3624196</v>
      </c>
      <c r="S10" s="891">
        <v>354932</v>
      </c>
      <c r="T10" s="891">
        <v>3269264</v>
      </c>
      <c r="U10" s="891">
        <v>354932</v>
      </c>
      <c r="V10" s="1622">
        <f t="shared" si="13"/>
        <v>3624.1959999999999</v>
      </c>
      <c r="W10" s="1622">
        <f t="shared" si="14"/>
        <v>354.93200000000002</v>
      </c>
      <c r="X10" s="1622">
        <f t="shared" si="15"/>
        <v>3269.2640000000001</v>
      </c>
      <c r="Y10" s="1622">
        <f t="shared" si="16"/>
        <v>354.93200000000002</v>
      </c>
      <c r="AB10" s="1625" t="s">
        <v>557</v>
      </c>
      <c r="AC10" s="891">
        <v>177466</v>
      </c>
      <c r="AD10" s="1622">
        <f t="shared" si="17"/>
        <v>177.46600000000001</v>
      </c>
      <c r="AG10" s="1625" t="s">
        <v>557</v>
      </c>
      <c r="AH10" s="891">
        <v>3624196</v>
      </c>
      <c r="AI10" s="891">
        <v>532398</v>
      </c>
      <c r="AJ10" s="891">
        <v>532398</v>
      </c>
      <c r="AK10" s="891">
        <v>3091798</v>
      </c>
      <c r="AL10" s="1622">
        <f t="shared" si="18"/>
        <v>3624.1959999999999</v>
      </c>
      <c r="AM10" s="1622">
        <f t="shared" si="19"/>
        <v>532.39800000000002</v>
      </c>
      <c r="AN10" s="1622">
        <f t="shared" si="20"/>
        <v>532.39800000000002</v>
      </c>
      <c r="AO10" s="1622">
        <f t="shared" si="21"/>
        <v>3091.7979999999998</v>
      </c>
      <c r="AR10" s="1625" t="s">
        <v>557</v>
      </c>
      <c r="AS10" s="1622">
        <v>177466</v>
      </c>
      <c r="AT10" s="1622">
        <f t="shared" si="22"/>
        <v>177.46600000000001</v>
      </c>
      <c r="AW10" s="1625" t="s">
        <v>557</v>
      </c>
      <c r="AX10" s="891">
        <v>3624196</v>
      </c>
      <c r="AY10" s="891">
        <v>709864</v>
      </c>
      <c r="AZ10" s="891">
        <v>709864</v>
      </c>
      <c r="BA10" s="891">
        <v>2914332</v>
      </c>
      <c r="BB10" s="1622">
        <f t="shared" si="23"/>
        <v>3624.1959999999999</v>
      </c>
      <c r="BC10" s="1622">
        <f t="shared" si="24"/>
        <v>709.86400000000003</v>
      </c>
      <c r="BD10" s="1622">
        <f t="shared" si="25"/>
        <v>709.86400000000003</v>
      </c>
      <c r="BE10" s="1622">
        <f t="shared" si="26"/>
        <v>2914.3319999999999</v>
      </c>
      <c r="BH10" s="1625" t="s">
        <v>557</v>
      </c>
      <c r="BI10" s="1622">
        <v>177466</v>
      </c>
      <c r="BJ10" s="1622">
        <f t="shared" si="27"/>
        <v>177.46600000000001</v>
      </c>
      <c r="BM10" s="1625" t="s">
        <v>557</v>
      </c>
      <c r="BN10" s="1627">
        <v>3624196</v>
      </c>
      <c r="BO10" s="1627">
        <v>887330</v>
      </c>
      <c r="BP10" s="1627">
        <v>887330</v>
      </c>
      <c r="BQ10" s="1627">
        <v>2736866</v>
      </c>
      <c r="BR10" s="1622">
        <f t="shared" si="28"/>
        <v>3624.1959999999999</v>
      </c>
      <c r="BS10" s="1622">
        <f t="shared" si="29"/>
        <v>887.33</v>
      </c>
      <c r="BT10" s="1622">
        <f t="shared" si="30"/>
        <v>887.33</v>
      </c>
      <c r="BU10" s="1622">
        <f t="shared" si="31"/>
        <v>2736.866</v>
      </c>
      <c r="BX10" s="1624" t="s">
        <v>557</v>
      </c>
      <c r="BY10" s="1622">
        <v>177466</v>
      </c>
      <c r="BZ10" s="1622">
        <f t="shared" si="32"/>
        <v>177.46600000000001</v>
      </c>
      <c r="CC10" s="1622" t="s">
        <v>557</v>
      </c>
      <c r="CD10" s="1622">
        <v>3624196</v>
      </c>
      <c r="CE10" s="1622">
        <v>1064796</v>
      </c>
      <c r="CF10" s="1622">
        <v>1064796</v>
      </c>
      <c r="CG10" s="1622">
        <v>2559400</v>
      </c>
      <c r="CH10" s="1622">
        <f t="shared" si="33"/>
        <v>3624.1959999999999</v>
      </c>
      <c r="CI10" s="1622">
        <f t="shared" si="34"/>
        <v>1064.796</v>
      </c>
      <c r="CJ10" s="1622">
        <f t="shared" si="35"/>
        <v>1064.796</v>
      </c>
      <c r="CK10" s="1622">
        <f t="shared" si="36"/>
        <v>2559.4</v>
      </c>
      <c r="CN10" s="1624" t="s">
        <v>557</v>
      </c>
      <c r="CO10" s="1622">
        <v>177466</v>
      </c>
      <c r="CP10" s="1622">
        <f t="shared" si="37"/>
        <v>177.46600000000001</v>
      </c>
      <c r="CS10" s="1625" t="s">
        <v>557</v>
      </c>
      <c r="CT10" s="891">
        <v>3624196</v>
      </c>
      <c r="CU10" s="891">
        <v>1242262</v>
      </c>
      <c r="CV10" s="891">
        <v>1242262</v>
      </c>
      <c r="CW10" s="891">
        <v>2381934</v>
      </c>
      <c r="CX10" s="1622">
        <f t="shared" si="38"/>
        <v>3624.1959999999999</v>
      </c>
      <c r="CY10" s="1622">
        <f t="shared" si="39"/>
        <v>1242.2619999999999</v>
      </c>
      <c r="CZ10" s="1622">
        <f t="shared" si="40"/>
        <v>1242.2619999999999</v>
      </c>
      <c r="DA10" s="1622">
        <f t="shared" si="41"/>
        <v>2381.9340000000002</v>
      </c>
      <c r="DD10" s="1624" t="s">
        <v>557</v>
      </c>
      <c r="DE10" s="1622">
        <v>88733</v>
      </c>
      <c r="DF10" s="1622">
        <f t="shared" si="42"/>
        <v>88.733000000000004</v>
      </c>
      <c r="DJ10" s="1624" t="s">
        <v>557</v>
      </c>
      <c r="DK10" s="1622">
        <v>3624196</v>
      </c>
      <c r="DL10" s="1622">
        <v>1330995</v>
      </c>
      <c r="DM10" s="1622">
        <v>2293201</v>
      </c>
      <c r="DN10" s="1622">
        <v>1330995</v>
      </c>
      <c r="DO10" s="1622">
        <f t="shared" si="43"/>
        <v>3624.1959999999999</v>
      </c>
      <c r="DP10" s="1622">
        <f t="shared" si="44"/>
        <v>1330.9949999999999</v>
      </c>
      <c r="DQ10" s="1622">
        <f t="shared" si="45"/>
        <v>2293.201</v>
      </c>
      <c r="DR10" s="1622">
        <f t="shared" si="46"/>
        <v>1330.9949999999999</v>
      </c>
      <c r="DV10" s="780" t="s">
        <v>557</v>
      </c>
      <c r="DW10" s="779">
        <v>266199</v>
      </c>
      <c r="DX10" s="1626">
        <f t="shared" si="47"/>
        <v>266.19900000000001</v>
      </c>
      <c r="EA10" s="780" t="s">
        <v>557</v>
      </c>
      <c r="EB10" s="779">
        <v>3624196</v>
      </c>
      <c r="EC10" s="779">
        <v>1597194</v>
      </c>
      <c r="ED10" s="779">
        <v>1597194</v>
      </c>
      <c r="EE10" s="779">
        <v>2027002</v>
      </c>
      <c r="EF10" s="166">
        <f t="shared" si="48"/>
        <v>3624.1959999999999</v>
      </c>
      <c r="EG10" s="166">
        <f t="shared" si="49"/>
        <v>1597.194</v>
      </c>
      <c r="EH10" s="166">
        <f t="shared" si="50"/>
        <v>1597.194</v>
      </c>
      <c r="EI10" s="166">
        <f t="shared" si="51"/>
        <v>2027.002</v>
      </c>
    </row>
    <row r="11" spans="1:139" ht="15" customHeight="1" x14ac:dyDescent="0.3">
      <c r="A11" s="1625" t="s">
        <v>558</v>
      </c>
      <c r="B11" s="891">
        <v>63244340</v>
      </c>
      <c r="C11" s="891">
        <v>3675880</v>
      </c>
      <c r="D11" s="891">
        <v>59568460</v>
      </c>
      <c r="E11" s="891">
        <v>3675880</v>
      </c>
      <c r="F11" s="891">
        <f t="shared" si="8"/>
        <v>63244.34</v>
      </c>
      <c r="G11" s="891">
        <f t="shared" si="9"/>
        <v>3675.88</v>
      </c>
      <c r="H11" s="891">
        <f t="shared" si="10"/>
        <v>59568.46</v>
      </c>
      <c r="I11" s="891">
        <f t="shared" si="11"/>
        <v>3675.88</v>
      </c>
      <c r="L11" s="1625" t="s">
        <v>558</v>
      </c>
      <c r="M11" s="891">
        <v>3675880</v>
      </c>
      <c r="N11" s="891">
        <f t="shared" si="12"/>
        <v>3675.88</v>
      </c>
      <c r="Q11" s="1625" t="s">
        <v>558</v>
      </c>
      <c r="R11" s="891">
        <v>63244340</v>
      </c>
      <c r="S11" s="891">
        <v>7351760</v>
      </c>
      <c r="T11" s="891">
        <v>55892580</v>
      </c>
      <c r="U11" s="891">
        <v>7351760</v>
      </c>
      <c r="V11" s="1622">
        <f t="shared" si="13"/>
        <v>63244.34</v>
      </c>
      <c r="W11" s="1622">
        <f t="shared" si="14"/>
        <v>7351.76</v>
      </c>
      <c r="X11" s="1622">
        <f t="shared" si="15"/>
        <v>55892.58</v>
      </c>
      <c r="Y11" s="1622">
        <f t="shared" si="16"/>
        <v>7351.76</v>
      </c>
      <c r="AB11" s="1625" t="s">
        <v>558</v>
      </c>
      <c r="AC11" s="891">
        <v>5318044</v>
      </c>
      <c r="AD11" s="1622">
        <f t="shared" si="17"/>
        <v>5318.0439999999999</v>
      </c>
      <c r="AG11" s="1625" t="s">
        <v>558</v>
      </c>
      <c r="AH11" s="891">
        <v>63244340</v>
      </c>
      <c r="AI11" s="891">
        <v>12669804</v>
      </c>
      <c r="AJ11" s="891">
        <v>12669804</v>
      </c>
      <c r="AK11" s="891">
        <v>50574536</v>
      </c>
      <c r="AL11" s="1622">
        <f t="shared" si="18"/>
        <v>63244.34</v>
      </c>
      <c r="AM11" s="1622">
        <f t="shared" si="19"/>
        <v>12669.804</v>
      </c>
      <c r="AN11" s="1622">
        <f t="shared" si="20"/>
        <v>12669.804</v>
      </c>
      <c r="AO11" s="1622">
        <f t="shared" si="21"/>
        <v>50574.536</v>
      </c>
      <c r="AR11" s="1625" t="s">
        <v>558</v>
      </c>
      <c r="AS11" s="1622">
        <v>3675880</v>
      </c>
      <c r="AT11" s="1622">
        <f t="shared" si="22"/>
        <v>3675.88</v>
      </c>
      <c r="AW11" s="1625" t="s">
        <v>558</v>
      </c>
      <c r="AX11" s="891">
        <v>63244340</v>
      </c>
      <c r="AY11" s="891">
        <v>16345684</v>
      </c>
      <c r="AZ11" s="891">
        <v>16345684</v>
      </c>
      <c r="BA11" s="891">
        <v>46898656</v>
      </c>
      <c r="BB11" s="1622">
        <f t="shared" si="23"/>
        <v>63244.34</v>
      </c>
      <c r="BC11" s="1622">
        <f t="shared" si="24"/>
        <v>16345.683999999999</v>
      </c>
      <c r="BD11" s="1622">
        <f t="shared" si="25"/>
        <v>16345.683999999999</v>
      </c>
      <c r="BE11" s="1622">
        <f t="shared" si="26"/>
        <v>46898.656000000003</v>
      </c>
      <c r="BH11" s="1625" t="s">
        <v>558</v>
      </c>
      <c r="BI11" s="1622">
        <v>3675880</v>
      </c>
      <c r="BJ11" s="1622">
        <f t="shared" si="27"/>
        <v>3675.88</v>
      </c>
      <c r="BM11" s="1625" t="s">
        <v>558</v>
      </c>
      <c r="BN11" s="1627">
        <v>63244340</v>
      </c>
      <c r="BO11" s="1627">
        <v>20021564</v>
      </c>
      <c r="BP11" s="1627">
        <v>20021564</v>
      </c>
      <c r="BQ11" s="1627">
        <v>43222776</v>
      </c>
      <c r="BR11" s="1622">
        <f t="shared" si="28"/>
        <v>63244.34</v>
      </c>
      <c r="BS11" s="1622">
        <f t="shared" si="29"/>
        <v>20021.563999999998</v>
      </c>
      <c r="BT11" s="1622">
        <f t="shared" si="30"/>
        <v>20021.563999999998</v>
      </c>
      <c r="BU11" s="1622">
        <f t="shared" si="31"/>
        <v>43222.775999999998</v>
      </c>
      <c r="BX11" s="1624" t="s">
        <v>558</v>
      </c>
      <c r="BY11" s="1622">
        <v>5318044</v>
      </c>
      <c r="BZ11" s="1622">
        <f t="shared" si="32"/>
        <v>5318.0439999999999</v>
      </c>
      <c r="CC11" s="1622" t="s">
        <v>558</v>
      </c>
      <c r="CD11" s="1622">
        <v>63244340</v>
      </c>
      <c r="CE11" s="1622">
        <v>25339608</v>
      </c>
      <c r="CF11" s="1622">
        <v>25339608</v>
      </c>
      <c r="CG11" s="1622">
        <v>37904732</v>
      </c>
      <c r="CH11" s="1622">
        <f t="shared" si="33"/>
        <v>63244.34</v>
      </c>
      <c r="CI11" s="1622">
        <f t="shared" si="34"/>
        <v>25339.608</v>
      </c>
      <c r="CJ11" s="1622">
        <f t="shared" si="35"/>
        <v>25339.608</v>
      </c>
      <c r="CK11" s="1622">
        <f t="shared" si="36"/>
        <v>37904.732000000004</v>
      </c>
      <c r="CN11" s="1624" t="s">
        <v>558</v>
      </c>
      <c r="CO11" s="1622">
        <v>3675880</v>
      </c>
      <c r="CP11" s="1622">
        <f t="shared" si="37"/>
        <v>3675.88</v>
      </c>
      <c r="CS11" s="1625" t="s">
        <v>558</v>
      </c>
      <c r="CT11" s="891">
        <v>63244340</v>
      </c>
      <c r="CU11" s="891">
        <v>29015488</v>
      </c>
      <c r="CV11" s="891">
        <v>29015488</v>
      </c>
      <c r="CW11" s="891">
        <v>34228852</v>
      </c>
      <c r="CX11" s="1622">
        <f t="shared" si="38"/>
        <v>63244.34</v>
      </c>
      <c r="CY11" s="1622">
        <f t="shared" si="39"/>
        <v>29015.488000000001</v>
      </c>
      <c r="CZ11" s="1622">
        <f t="shared" si="40"/>
        <v>29015.488000000001</v>
      </c>
      <c r="DA11" s="1622">
        <f t="shared" si="41"/>
        <v>34228.851999999999</v>
      </c>
      <c r="DD11" s="1624" t="s">
        <v>558</v>
      </c>
      <c r="DE11" s="1622">
        <v>1837939</v>
      </c>
      <c r="DF11" s="1622">
        <f t="shared" si="42"/>
        <v>1837.9390000000001</v>
      </c>
      <c r="DJ11" s="1624" t="s">
        <v>558</v>
      </c>
      <c r="DK11" s="1622">
        <v>63244340</v>
      </c>
      <c r="DL11" s="1622">
        <v>30853427</v>
      </c>
      <c r="DM11" s="1622">
        <v>32390913</v>
      </c>
      <c r="DN11" s="1622">
        <v>30853427</v>
      </c>
      <c r="DO11" s="1622">
        <f t="shared" si="43"/>
        <v>63244.34</v>
      </c>
      <c r="DP11" s="1622">
        <f t="shared" si="44"/>
        <v>30853.427</v>
      </c>
      <c r="DQ11" s="1622">
        <f t="shared" si="45"/>
        <v>32390.913</v>
      </c>
      <c r="DR11" s="1622">
        <f t="shared" si="46"/>
        <v>30853.427</v>
      </c>
      <c r="DV11" s="780" t="s">
        <v>558</v>
      </c>
      <c r="DW11" s="779">
        <v>6882290</v>
      </c>
      <c r="DX11" s="1626">
        <f t="shared" si="47"/>
        <v>6882.29</v>
      </c>
      <c r="EA11" s="780" t="s">
        <v>558</v>
      </c>
      <c r="EB11" s="779">
        <v>63244340</v>
      </c>
      <c r="EC11" s="779">
        <v>37735717</v>
      </c>
      <c r="ED11" s="779">
        <v>37735717</v>
      </c>
      <c r="EE11" s="779">
        <v>25508623</v>
      </c>
      <c r="EF11" s="166">
        <f t="shared" si="48"/>
        <v>63244.34</v>
      </c>
      <c r="EG11" s="166">
        <f t="shared" si="49"/>
        <v>37735.716999999997</v>
      </c>
      <c r="EH11" s="166">
        <f t="shared" si="50"/>
        <v>37735.716999999997</v>
      </c>
      <c r="EI11" s="166">
        <f t="shared" si="51"/>
        <v>25508.623</v>
      </c>
    </row>
    <row r="12" spans="1:139" ht="15" customHeight="1" x14ac:dyDescent="0.3">
      <c r="A12" s="1625" t="s">
        <v>559</v>
      </c>
      <c r="B12" s="891">
        <v>94261556</v>
      </c>
      <c r="C12" s="891">
        <v>6082551</v>
      </c>
      <c r="D12" s="891">
        <v>88179005</v>
      </c>
      <c r="E12" s="891">
        <v>6082551</v>
      </c>
      <c r="F12" s="891">
        <f t="shared" si="8"/>
        <v>94261.555999999997</v>
      </c>
      <c r="G12" s="891">
        <f t="shared" si="9"/>
        <v>6082.5510000000004</v>
      </c>
      <c r="H12" s="891">
        <f t="shared" si="10"/>
        <v>88179.005000000005</v>
      </c>
      <c r="I12" s="891">
        <f t="shared" si="11"/>
        <v>6082.5510000000004</v>
      </c>
      <c r="L12" s="1625" t="s">
        <v>559</v>
      </c>
      <c r="M12" s="891">
        <v>6082551</v>
      </c>
      <c r="N12" s="891">
        <f t="shared" si="12"/>
        <v>6082.5510000000004</v>
      </c>
      <c r="Q12" s="1625" t="s">
        <v>559</v>
      </c>
      <c r="R12" s="891">
        <v>94261556</v>
      </c>
      <c r="S12" s="891">
        <v>12165102</v>
      </c>
      <c r="T12" s="891">
        <v>82096454</v>
      </c>
      <c r="U12" s="891">
        <v>12165102</v>
      </c>
      <c r="V12" s="1622">
        <f t="shared" si="13"/>
        <v>94261.555999999997</v>
      </c>
      <c r="W12" s="1622">
        <f t="shared" si="14"/>
        <v>12165.102000000001</v>
      </c>
      <c r="X12" s="1622">
        <f t="shared" si="15"/>
        <v>82096.453999999998</v>
      </c>
      <c r="Y12" s="1622">
        <f t="shared" si="16"/>
        <v>12165.102000000001</v>
      </c>
      <c r="AB12" s="1625" t="s">
        <v>559</v>
      </c>
      <c r="AC12" s="891">
        <v>6655745</v>
      </c>
      <c r="AD12" s="1622">
        <f t="shared" si="17"/>
        <v>6655.7449999999999</v>
      </c>
      <c r="AG12" s="1625" t="s">
        <v>559</v>
      </c>
      <c r="AH12" s="891">
        <v>94261556</v>
      </c>
      <c r="AI12" s="891">
        <v>18820847</v>
      </c>
      <c r="AJ12" s="891">
        <v>18820847</v>
      </c>
      <c r="AK12" s="891">
        <v>75440709</v>
      </c>
      <c r="AL12" s="1622">
        <f t="shared" si="18"/>
        <v>94261.555999999997</v>
      </c>
      <c r="AM12" s="1622">
        <f t="shared" si="19"/>
        <v>18820.847000000002</v>
      </c>
      <c r="AN12" s="1622">
        <f t="shared" si="20"/>
        <v>18820.847000000002</v>
      </c>
      <c r="AO12" s="1622">
        <f t="shared" si="21"/>
        <v>75440.709000000003</v>
      </c>
      <c r="AR12" s="1625" t="s">
        <v>559</v>
      </c>
      <c r="AS12" s="1622">
        <v>6084438</v>
      </c>
      <c r="AT12" s="1622">
        <f t="shared" si="22"/>
        <v>6084.4380000000001</v>
      </c>
      <c r="AW12" s="1625" t="s">
        <v>559</v>
      </c>
      <c r="AX12" s="891">
        <v>94261556</v>
      </c>
      <c r="AY12" s="891">
        <v>24905285</v>
      </c>
      <c r="AZ12" s="891">
        <v>24905285</v>
      </c>
      <c r="BA12" s="891">
        <v>69356271</v>
      </c>
      <c r="BB12" s="1622">
        <f t="shared" si="23"/>
        <v>94261.555999999997</v>
      </c>
      <c r="BC12" s="1622">
        <f t="shared" si="24"/>
        <v>24905.285</v>
      </c>
      <c r="BD12" s="1622">
        <f t="shared" si="25"/>
        <v>24905.285</v>
      </c>
      <c r="BE12" s="1622">
        <f t="shared" si="26"/>
        <v>69356.270999999993</v>
      </c>
      <c r="BH12" s="1625" t="s">
        <v>559</v>
      </c>
      <c r="BI12" s="1622">
        <v>6089833</v>
      </c>
      <c r="BJ12" s="1622">
        <f t="shared" si="27"/>
        <v>6089.8329999999996</v>
      </c>
      <c r="BM12" s="1625" t="s">
        <v>559</v>
      </c>
      <c r="BN12" s="1627">
        <v>94261556</v>
      </c>
      <c r="BO12" s="1627">
        <v>30995118</v>
      </c>
      <c r="BP12" s="1627">
        <v>30995118</v>
      </c>
      <c r="BQ12" s="1627">
        <v>63266438</v>
      </c>
      <c r="BR12" s="1622">
        <f t="shared" si="28"/>
        <v>94261.555999999997</v>
      </c>
      <c r="BS12" s="1622">
        <f t="shared" si="29"/>
        <v>30995.117999999999</v>
      </c>
      <c r="BT12" s="1622">
        <f t="shared" si="30"/>
        <v>30995.117999999999</v>
      </c>
      <c r="BU12" s="1622">
        <f t="shared" si="31"/>
        <v>63266.438000000002</v>
      </c>
      <c r="BX12" s="1624" t="s">
        <v>559</v>
      </c>
      <c r="BY12" s="1622">
        <v>6689596</v>
      </c>
      <c r="BZ12" s="1622">
        <f t="shared" si="32"/>
        <v>6689.5959999999995</v>
      </c>
      <c r="CC12" s="1622" t="s">
        <v>559</v>
      </c>
      <c r="CD12" s="1622">
        <v>94261556</v>
      </c>
      <c r="CE12" s="1622">
        <v>37684714</v>
      </c>
      <c r="CF12" s="1622">
        <v>37684714</v>
      </c>
      <c r="CG12" s="1622">
        <v>56576842</v>
      </c>
      <c r="CH12" s="1622">
        <f t="shared" si="33"/>
        <v>94261.555999999997</v>
      </c>
      <c r="CI12" s="1622">
        <f t="shared" si="34"/>
        <v>37684.714</v>
      </c>
      <c r="CJ12" s="1622">
        <f t="shared" si="35"/>
        <v>37684.714</v>
      </c>
      <c r="CK12" s="1622">
        <f t="shared" si="36"/>
        <v>56576.841999999997</v>
      </c>
      <c r="CN12" s="1624" t="s">
        <v>559</v>
      </c>
      <c r="CO12" s="1622">
        <v>6089833</v>
      </c>
      <c r="CP12" s="1622">
        <f t="shared" si="37"/>
        <v>6089.8329999999996</v>
      </c>
      <c r="CS12" s="1625" t="s">
        <v>559</v>
      </c>
      <c r="CT12" s="891">
        <v>94261556</v>
      </c>
      <c r="CU12" s="891">
        <v>43774547</v>
      </c>
      <c r="CV12" s="891">
        <v>43774547</v>
      </c>
      <c r="CW12" s="891">
        <v>50487009</v>
      </c>
      <c r="CX12" s="1622">
        <f t="shared" si="38"/>
        <v>94261.555999999997</v>
      </c>
      <c r="CY12" s="1622">
        <f t="shared" si="39"/>
        <v>43774.546999999999</v>
      </c>
      <c r="CZ12" s="1622">
        <f t="shared" si="40"/>
        <v>43774.546999999999</v>
      </c>
      <c r="DA12" s="1622">
        <f t="shared" si="41"/>
        <v>50487.008999999998</v>
      </c>
      <c r="DD12" s="1624" t="s">
        <v>559</v>
      </c>
      <c r="DE12" s="1622">
        <v>6300381</v>
      </c>
      <c r="DF12" s="1622">
        <f t="shared" si="42"/>
        <v>6300.3810000000003</v>
      </c>
      <c r="DJ12" s="1624" t="s">
        <v>559</v>
      </c>
      <c r="DK12" s="1622">
        <v>94261556</v>
      </c>
      <c r="DL12" s="1622">
        <v>50074928</v>
      </c>
      <c r="DM12" s="1622">
        <v>44186628</v>
      </c>
      <c r="DN12" s="1622">
        <v>50074928</v>
      </c>
      <c r="DO12" s="1622">
        <f t="shared" si="43"/>
        <v>94261.555999999997</v>
      </c>
      <c r="DP12" s="1622">
        <f t="shared" si="44"/>
        <v>50074.928</v>
      </c>
      <c r="DQ12" s="1622">
        <f t="shared" si="45"/>
        <v>44186.627999999997</v>
      </c>
      <c r="DR12" s="1622">
        <f t="shared" si="46"/>
        <v>50074.928</v>
      </c>
      <c r="DV12" s="780" t="s">
        <v>559</v>
      </c>
      <c r="DW12" s="779">
        <v>7263868</v>
      </c>
      <c r="DX12" s="1626">
        <f t="shared" si="47"/>
        <v>7263.8680000000004</v>
      </c>
      <c r="EA12" s="780" t="s">
        <v>559</v>
      </c>
      <c r="EB12" s="779">
        <v>94261556</v>
      </c>
      <c r="EC12" s="779">
        <v>57338796</v>
      </c>
      <c r="ED12" s="779">
        <v>57338796</v>
      </c>
      <c r="EE12" s="779">
        <v>36922760</v>
      </c>
      <c r="EF12" s="166">
        <f t="shared" si="48"/>
        <v>94261.555999999997</v>
      </c>
      <c r="EG12" s="166">
        <f t="shared" si="49"/>
        <v>57338.796000000002</v>
      </c>
      <c r="EH12" s="166">
        <f t="shared" si="50"/>
        <v>57338.796000000002</v>
      </c>
      <c r="EI12" s="166">
        <f t="shared" si="51"/>
        <v>36922.76</v>
      </c>
    </row>
    <row r="13" spans="1:139" ht="15" customHeight="1" x14ac:dyDescent="0.3">
      <c r="A13" s="1625" t="s">
        <v>560</v>
      </c>
      <c r="B13" s="891">
        <v>234364651</v>
      </c>
      <c r="C13" s="891">
        <v>15443431</v>
      </c>
      <c r="D13" s="891">
        <v>218921220</v>
      </c>
      <c r="E13" s="891">
        <v>15443431</v>
      </c>
      <c r="F13" s="891">
        <f t="shared" si="8"/>
        <v>234364.65100000001</v>
      </c>
      <c r="G13" s="891">
        <f t="shared" si="9"/>
        <v>15443.431</v>
      </c>
      <c r="H13" s="891">
        <f t="shared" si="10"/>
        <v>218921.22</v>
      </c>
      <c r="I13" s="891">
        <f t="shared" si="11"/>
        <v>15443.431</v>
      </c>
      <c r="L13" s="1625" t="s">
        <v>560</v>
      </c>
      <c r="M13" s="891">
        <v>15443431</v>
      </c>
      <c r="N13" s="891">
        <f t="shared" si="12"/>
        <v>15443.431</v>
      </c>
      <c r="Q13" s="1625" t="s">
        <v>560</v>
      </c>
      <c r="R13" s="891">
        <v>234364651</v>
      </c>
      <c r="S13" s="891">
        <v>30886862</v>
      </c>
      <c r="T13" s="891">
        <v>203477789</v>
      </c>
      <c r="U13" s="891">
        <v>30886862</v>
      </c>
      <c r="V13" s="1622">
        <f t="shared" si="13"/>
        <v>234364.65100000001</v>
      </c>
      <c r="W13" s="1622">
        <f t="shared" si="14"/>
        <v>30886.862000000001</v>
      </c>
      <c r="X13" s="1622">
        <f t="shared" si="15"/>
        <v>203477.78899999999</v>
      </c>
      <c r="Y13" s="1622">
        <f t="shared" si="16"/>
        <v>30886.862000000001</v>
      </c>
      <c r="AB13" s="1625" t="s">
        <v>560</v>
      </c>
      <c r="AC13" s="891">
        <v>15443431</v>
      </c>
      <c r="AD13" s="1622">
        <f t="shared" si="17"/>
        <v>15443.431</v>
      </c>
      <c r="AG13" s="1625" t="s">
        <v>560</v>
      </c>
      <c r="AH13" s="891">
        <v>234364651</v>
      </c>
      <c r="AI13" s="891">
        <v>46330293</v>
      </c>
      <c r="AJ13" s="891">
        <v>46330293</v>
      </c>
      <c r="AK13" s="891">
        <v>188034358</v>
      </c>
      <c r="AL13" s="1622">
        <f t="shared" si="18"/>
        <v>234364.65100000001</v>
      </c>
      <c r="AM13" s="1622">
        <f t="shared" si="19"/>
        <v>46330.292999999998</v>
      </c>
      <c r="AN13" s="1622">
        <f t="shared" si="20"/>
        <v>46330.292999999998</v>
      </c>
      <c r="AO13" s="1622">
        <f t="shared" si="21"/>
        <v>188034.35800000001</v>
      </c>
      <c r="AR13" s="1625" t="s">
        <v>560</v>
      </c>
      <c r="AS13" s="1622">
        <v>15443431</v>
      </c>
      <c r="AT13" s="1622">
        <f t="shared" si="22"/>
        <v>15443.431</v>
      </c>
      <c r="AW13" s="1625" t="s">
        <v>560</v>
      </c>
      <c r="AX13" s="891">
        <v>234364651</v>
      </c>
      <c r="AY13" s="891">
        <v>61773724</v>
      </c>
      <c r="AZ13" s="891">
        <v>61773724</v>
      </c>
      <c r="BA13" s="891">
        <v>172590927</v>
      </c>
      <c r="BB13" s="1622">
        <f t="shared" si="23"/>
        <v>234364.65100000001</v>
      </c>
      <c r="BC13" s="1622">
        <f t="shared" si="24"/>
        <v>61773.724000000002</v>
      </c>
      <c r="BD13" s="1622">
        <f t="shared" si="25"/>
        <v>61773.724000000002</v>
      </c>
      <c r="BE13" s="1622">
        <f t="shared" si="26"/>
        <v>172590.927</v>
      </c>
      <c r="BH13" s="1625" t="s">
        <v>560</v>
      </c>
      <c r="BI13" s="1622">
        <v>15443431</v>
      </c>
      <c r="BJ13" s="1622">
        <f t="shared" si="27"/>
        <v>15443.431</v>
      </c>
      <c r="BM13" s="1625" t="s">
        <v>560</v>
      </c>
      <c r="BN13" s="1627">
        <v>234364651</v>
      </c>
      <c r="BO13" s="1627">
        <v>77217155</v>
      </c>
      <c r="BP13" s="1627">
        <v>77217155</v>
      </c>
      <c r="BQ13" s="1627">
        <v>157147496</v>
      </c>
      <c r="BR13" s="1622">
        <f t="shared" si="28"/>
        <v>234364.65100000001</v>
      </c>
      <c r="BS13" s="1622">
        <f t="shared" si="29"/>
        <v>77217.154999999999</v>
      </c>
      <c r="BT13" s="1622">
        <f t="shared" si="30"/>
        <v>77217.154999999999</v>
      </c>
      <c r="BU13" s="1622">
        <f t="shared" si="31"/>
        <v>157147.49600000001</v>
      </c>
      <c r="BX13" s="1624" t="s">
        <v>560</v>
      </c>
      <c r="BY13" s="1622">
        <v>15443431</v>
      </c>
      <c r="BZ13" s="1622">
        <f t="shared" si="32"/>
        <v>15443.431</v>
      </c>
      <c r="CC13" s="1622" t="s">
        <v>560</v>
      </c>
      <c r="CD13" s="1622">
        <v>234364651</v>
      </c>
      <c r="CE13" s="1622">
        <v>92660586</v>
      </c>
      <c r="CF13" s="1622">
        <v>92660586</v>
      </c>
      <c r="CG13" s="1622">
        <v>141704065</v>
      </c>
      <c r="CH13" s="1622">
        <f t="shared" si="33"/>
        <v>234364.65100000001</v>
      </c>
      <c r="CI13" s="1622">
        <f t="shared" si="34"/>
        <v>92660.585999999996</v>
      </c>
      <c r="CJ13" s="1622">
        <f t="shared" si="35"/>
        <v>92660.585999999996</v>
      </c>
      <c r="CK13" s="1622">
        <f t="shared" si="36"/>
        <v>141704.065</v>
      </c>
      <c r="CN13" s="1624" t="s">
        <v>560</v>
      </c>
      <c r="CO13" s="1622">
        <v>15443431</v>
      </c>
      <c r="CP13" s="1622">
        <f t="shared" si="37"/>
        <v>15443.431</v>
      </c>
      <c r="CS13" s="1625" t="s">
        <v>560</v>
      </c>
      <c r="CT13" s="891">
        <v>234364651</v>
      </c>
      <c r="CU13" s="891">
        <v>108104017</v>
      </c>
      <c r="CV13" s="891">
        <v>108104017</v>
      </c>
      <c r="CW13" s="891">
        <v>126260634</v>
      </c>
      <c r="CX13" s="1622">
        <f t="shared" si="38"/>
        <v>234364.65100000001</v>
      </c>
      <c r="CY13" s="1622">
        <f t="shared" si="39"/>
        <v>108104.01700000001</v>
      </c>
      <c r="CZ13" s="1622">
        <f t="shared" si="40"/>
        <v>108104.01700000001</v>
      </c>
      <c r="DA13" s="1622">
        <f t="shared" si="41"/>
        <v>126260.63400000001</v>
      </c>
      <c r="DD13" s="1624" t="s">
        <v>560</v>
      </c>
      <c r="DE13" s="1622">
        <v>15756343</v>
      </c>
      <c r="DF13" s="1622">
        <f t="shared" si="42"/>
        <v>15756.343000000001</v>
      </c>
      <c r="DJ13" s="1624" t="s">
        <v>560</v>
      </c>
      <c r="DK13" s="1622">
        <v>234364651</v>
      </c>
      <c r="DL13" s="1622">
        <v>123860360</v>
      </c>
      <c r="DM13" s="1622">
        <v>110504291</v>
      </c>
      <c r="DN13" s="1622">
        <v>123860360</v>
      </c>
      <c r="DO13" s="1622">
        <f t="shared" si="43"/>
        <v>234364.65100000001</v>
      </c>
      <c r="DP13" s="1622">
        <f t="shared" si="44"/>
        <v>123860.36</v>
      </c>
      <c r="DQ13" s="1622">
        <f t="shared" si="45"/>
        <v>110504.291</v>
      </c>
      <c r="DR13" s="1622">
        <f t="shared" si="46"/>
        <v>123860.36</v>
      </c>
      <c r="DV13" s="780" t="s">
        <v>560</v>
      </c>
      <c r="DW13" s="779">
        <v>17225752</v>
      </c>
      <c r="DX13" s="1626">
        <f t="shared" si="47"/>
        <v>17225.752</v>
      </c>
      <c r="EA13" s="780" t="s">
        <v>560</v>
      </c>
      <c r="EB13" s="779">
        <v>234364651</v>
      </c>
      <c r="EC13" s="779">
        <v>141086112</v>
      </c>
      <c r="ED13" s="779">
        <v>141086112</v>
      </c>
      <c r="EE13" s="779">
        <v>93278539</v>
      </c>
      <c r="EF13" s="166">
        <f t="shared" si="48"/>
        <v>234364.65100000001</v>
      </c>
      <c r="EG13" s="166">
        <f t="shared" si="49"/>
        <v>141086.11199999999</v>
      </c>
      <c r="EH13" s="166">
        <f t="shared" si="50"/>
        <v>141086.11199999999</v>
      </c>
      <c r="EI13" s="166">
        <f t="shared" si="51"/>
        <v>93278.539000000004</v>
      </c>
    </row>
    <row r="14" spans="1:139" ht="15" customHeight="1" x14ac:dyDescent="0.3">
      <c r="A14" s="1625" t="s">
        <v>561</v>
      </c>
      <c r="B14" s="891">
        <v>75479017</v>
      </c>
      <c r="C14" s="891">
        <v>0</v>
      </c>
      <c r="D14" s="891">
        <v>75479017</v>
      </c>
      <c r="E14" s="891">
        <v>0</v>
      </c>
      <c r="F14" s="891">
        <f t="shared" si="8"/>
        <v>75479.017000000007</v>
      </c>
      <c r="G14" s="891">
        <f t="shared" si="9"/>
        <v>0</v>
      </c>
      <c r="H14" s="891">
        <f t="shared" si="10"/>
        <v>75479.017000000007</v>
      </c>
      <c r="I14" s="891">
        <f t="shared" si="11"/>
        <v>0</v>
      </c>
      <c r="L14" s="1625" t="s">
        <v>562</v>
      </c>
      <c r="M14" s="891">
        <v>854460</v>
      </c>
      <c r="N14" s="891">
        <f t="shared" si="12"/>
        <v>854.46</v>
      </c>
      <c r="Q14" s="1625" t="s">
        <v>561</v>
      </c>
      <c r="R14" s="891">
        <v>75479017</v>
      </c>
      <c r="S14" s="891">
        <v>0</v>
      </c>
      <c r="T14" s="891">
        <v>75479017</v>
      </c>
      <c r="U14" s="891">
        <v>0</v>
      </c>
      <c r="V14" s="1622">
        <f t="shared" si="13"/>
        <v>75479.017000000007</v>
      </c>
      <c r="W14" s="1622">
        <f t="shared" si="14"/>
        <v>0</v>
      </c>
      <c r="X14" s="1622">
        <f t="shared" si="15"/>
        <v>75479.017000000007</v>
      </c>
      <c r="Y14" s="1622">
        <f t="shared" si="16"/>
        <v>0</v>
      </c>
      <c r="AB14" s="1625" t="s">
        <v>561</v>
      </c>
      <c r="AC14" s="891">
        <v>14936298</v>
      </c>
      <c r="AD14" s="1622">
        <f t="shared" si="17"/>
        <v>14936.298000000001</v>
      </c>
      <c r="AG14" s="1625" t="s">
        <v>561</v>
      </c>
      <c r="AH14" s="891">
        <v>75479017</v>
      </c>
      <c r="AI14" s="891">
        <v>14936298</v>
      </c>
      <c r="AJ14" s="891">
        <v>14936298</v>
      </c>
      <c r="AK14" s="891">
        <v>60542719</v>
      </c>
      <c r="AL14" s="1622">
        <f t="shared" si="18"/>
        <v>75479.017000000007</v>
      </c>
      <c r="AM14" s="1622">
        <f t="shared" si="19"/>
        <v>14936.298000000001</v>
      </c>
      <c r="AN14" s="1622">
        <f t="shared" si="20"/>
        <v>14936.298000000001</v>
      </c>
      <c r="AO14" s="1622">
        <f t="shared" si="21"/>
        <v>60542.718999999997</v>
      </c>
      <c r="AR14" s="1625" t="s">
        <v>561</v>
      </c>
      <c r="AS14" s="1622">
        <v>0</v>
      </c>
      <c r="AT14" s="1622">
        <f t="shared" si="22"/>
        <v>0</v>
      </c>
      <c r="AW14" s="1625" t="s">
        <v>561</v>
      </c>
      <c r="AX14" s="891">
        <v>75479017</v>
      </c>
      <c r="AY14" s="891">
        <v>14936298</v>
      </c>
      <c r="AZ14" s="891">
        <v>14936298</v>
      </c>
      <c r="BA14" s="891">
        <v>60542719</v>
      </c>
      <c r="BB14" s="1622">
        <f t="shared" si="23"/>
        <v>75479.017000000007</v>
      </c>
      <c r="BC14" s="1622">
        <f t="shared" si="24"/>
        <v>14936.298000000001</v>
      </c>
      <c r="BD14" s="1622">
        <f t="shared" si="25"/>
        <v>14936.298000000001</v>
      </c>
      <c r="BE14" s="1622">
        <f t="shared" si="26"/>
        <v>60542.718999999997</v>
      </c>
      <c r="BH14" s="1625" t="s">
        <v>562</v>
      </c>
      <c r="BI14" s="1622">
        <v>854460</v>
      </c>
      <c r="BJ14" s="1622">
        <f t="shared" si="27"/>
        <v>854.46</v>
      </c>
      <c r="BM14" s="1625" t="s">
        <v>561</v>
      </c>
      <c r="BN14" s="1627">
        <v>75479017</v>
      </c>
      <c r="BO14" s="1627">
        <v>14936298</v>
      </c>
      <c r="BP14" s="1627">
        <v>14936298</v>
      </c>
      <c r="BQ14" s="1627">
        <v>60542719</v>
      </c>
      <c r="BR14" s="1622">
        <f t="shared" si="28"/>
        <v>75479.017000000007</v>
      </c>
      <c r="BS14" s="1622">
        <f t="shared" si="29"/>
        <v>14936.298000000001</v>
      </c>
      <c r="BT14" s="1622">
        <f t="shared" si="30"/>
        <v>14936.298000000001</v>
      </c>
      <c r="BU14" s="1622">
        <f t="shared" si="31"/>
        <v>60542.718999999997</v>
      </c>
      <c r="BX14" s="1624" t="s">
        <v>561</v>
      </c>
      <c r="BY14" s="1622">
        <v>14936298</v>
      </c>
      <c r="BZ14" s="1622">
        <f t="shared" si="32"/>
        <v>14936.298000000001</v>
      </c>
      <c r="CC14" s="1622" t="s">
        <v>561</v>
      </c>
      <c r="CD14" s="1622">
        <v>75479017</v>
      </c>
      <c r="CE14" s="1622">
        <v>29872596</v>
      </c>
      <c r="CF14" s="1622">
        <v>29872596</v>
      </c>
      <c r="CG14" s="1622">
        <v>45606421</v>
      </c>
      <c r="CH14" s="1622">
        <f t="shared" si="33"/>
        <v>75479.017000000007</v>
      </c>
      <c r="CI14" s="1622">
        <f t="shared" si="34"/>
        <v>29872.596000000001</v>
      </c>
      <c r="CJ14" s="1622">
        <f t="shared" si="35"/>
        <v>29872.596000000001</v>
      </c>
      <c r="CK14" s="1622">
        <f t="shared" si="36"/>
        <v>45606.421000000002</v>
      </c>
      <c r="CN14" s="1624" t="s">
        <v>561</v>
      </c>
      <c r="CO14" s="1622">
        <v>0</v>
      </c>
      <c r="CP14" s="1622">
        <f t="shared" si="37"/>
        <v>0</v>
      </c>
      <c r="CS14" s="1625" t="s">
        <v>561</v>
      </c>
      <c r="CT14" s="891">
        <v>75479017</v>
      </c>
      <c r="CU14" s="891">
        <v>29872596</v>
      </c>
      <c r="CV14" s="891">
        <v>29872596</v>
      </c>
      <c r="CW14" s="891">
        <v>45606421</v>
      </c>
      <c r="CX14" s="1622">
        <f t="shared" si="38"/>
        <v>75479.017000000007</v>
      </c>
      <c r="CY14" s="1622">
        <f t="shared" si="39"/>
        <v>29872.596000000001</v>
      </c>
      <c r="CZ14" s="1622">
        <f t="shared" si="40"/>
        <v>29872.596000000001</v>
      </c>
      <c r="DA14" s="1622">
        <f t="shared" si="41"/>
        <v>45606.421000000002</v>
      </c>
      <c r="DD14" s="1624" t="s">
        <v>562</v>
      </c>
      <c r="DE14" s="1622">
        <v>944178</v>
      </c>
      <c r="DF14" s="1622">
        <f t="shared" si="42"/>
        <v>944.178</v>
      </c>
      <c r="DJ14" s="1624" t="s">
        <v>561</v>
      </c>
      <c r="DK14" s="1622">
        <v>75479017</v>
      </c>
      <c r="DL14" s="1622">
        <v>29872596</v>
      </c>
      <c r="DM14" s="1622">
        <v>45606421</v>
      </c>
      <c r="DN14" s="1622">
        <v>29872596</v>
      </c>
      <c r="DO14" s="1622">
        <f t="shared" si="43"/>
        <v>75479.017000000007</v>
      </c>
      <c r="DP14" s="1622">
        <f t="shared" si="44"/>
        <v>29872.596000000001</v>
      </c>
      <c r="DQ14" s="1622">
        <f t="shared" si="45"/>
        <v>45606.421000000002</v>
      </c>
      <c r="DR14" s="1622">
        <f t="shared" si="46"/>
        <v>29872.596000000001</v>
      </c>
      <c r="DV14" s="780" t="s">
        <v>561</v>
      </c>
      <c r="DW14" s="779">
        <v>15399001</v>
      </c>
      <c r="DX14" s="1626">
        <f t="shared" si="47"/>
        <v>15399.001</v>
      </c>
      <c r="EA14" s="780" t="s">
        <v>561</v>
      </c>
      <c r="EB14" s="779">
        <v>75479017</v>
      </c>
      <c r="EC14" s="779">
        <v>45271597</v>
      </c>
      <c r="ED14" s="779">
        <v>45271597</v>
      </c>
      <c r="EE14" s="779">
        <v>30207420</v>
      </c>
      <c r="EF14" s="166">
        <f t="shared" si="48"/>
        <v>75479.017000000007</v>
      </c>
      <c r="EG14" s="166">
        <f t="shared" si="49"/>
        <v>45271.597000000002</v>
      </c>
      <c r="EH14" s="166">
        <f t="shared" si="50"/>
        <v>45271.597000000002</v>
      </c>
      <c r="EI14" s="166">
        <f t="shared" si="51"/>
        <v>30207.42</v>
      </c>
    </row>
    <row r="15" spans="1:139" ht="15" customHeight="1" x14ac:dyDescent="0.3">
      <c r="A15" s="1625" t="s">
        <v>562</v>
      </c>
      <c r="B15" s="891">
        <v>22953239</v>
      </c>
      <c r="C15" s="891">
        <v>854460</v>
      </c>
      <c r="D15" s="891">
        <v>22098779</v>
      </c>
      <c r="E15" s="891">
        <v>854460</v>
      </c>
      <c r="F15" s="891">
        <f t="shared" si="8"/>
        <v>22953.239000000001</v>
      </c>
      <c r="G15" s="891">
        <f t="shared" si="9"/>
        <v>854.46</v>
      </c>
      <c r="H15" s="891">
        <f t="shared" si="10"/>
        <v>22098.778999999999</v>
      </c>
      <c r="I15" s="891">
        <f t="shared" si="11"/>
        <v>854.46</v>
      </c>
      <c r="L15" s="1625" t="s">
        <v>991</v>
      </c>
      <c r="M15" s="891">
        <v>2112000</v>
      </c>
      <c r="N15" s="891">
        <f t="shared" si="12"/>
        <v>2112</v>
      </c>
      <c r="Q15" s="1625" t="s">
        <v>562</v>
      </c>
      <c r="R15" s="891">
        <v>22953239</v>
      </c>
      <c r="S15" s="891">
        <v>1708920</v>
      </c>
      <c r="T15" s="891">
        <v>21244319</v>
      </c>
      <c r="U15" s="891">
        <v>1708920</v>
      </c>
      <c r="V15" s="1622">
        <f t="shared" si="13"/>
        <v>22953.239000000001</v>
      </c>
      <c r="W15" s="1622">
        <f t="shared" si="14"/>
        <v>1708.92</v>
      </c>
      <c r="X15" s="1622">
        <f t="shared" si="15"/>
        <v>21244.319</v>
      </c>
      <c r="Y15" s="1622">
        <f t="shared" si="16"/>
        <v>1708.92</v>
      </c>
      <c r="AB15" s="1625" t="s">
        <v>562</v>
      </c>
      <c r="AC15" s="891">
        <v>854460</v>
      </c>
      <c r="AD15" s="1622">
        <f t="shared" si="17"/>
        <v>854.46</v>
      </c>
      <c r="AG15" s="1625" t="s">
        <v>562</v>
      </c>
      <c r="AH15" s="891">
        <v>22953239</v>
      </c>
      <c r="AI15" s="891">
        <v>2563380</v>
      </c>
      <c r="AJ15" s="891">
        <v>2563380</v>
      </c>
      <c r="AK15" s="891">
        <v>20389859</v>
      </c>
      <c r="AL15" s="1622">
        <f t="shared" si="18"/>
        <v>22953.239000000001</v>
      </c>
      <c r="AM15" s="1622">
        <f t="shared" si="19"/>
        <v>2563.38</v>
      </c>
      <c r="AN15" s="1622">
        <f t="shared" si="20"/>
        <v>2563.38</v>
      </c>
      <c r="AO15" s="1622">
        <f t="shared" si="21"/>
        <v>20389.859</v>
      </c>
      <c r="AR15" s="1625" t="s">
        <v>562</v>
      </c>
      <c r="AS15" s="1622">
        <v>854460</v>
      </c>
      <c r="AT15" s="1622">
        <f t="shared" si="22"/>
        <v>854.46</v>
      </c>
      <c r="AW15" s="1625" t="s">
        <v>562</v>
      </c>
      <c r="AX15" s="891">
        <v>22953239</v>
      </c>
      <c r="AY15" s="891">
        <v>3417840</v>
      </c>
      <c r="AZ15" s="891">
        <v>3417840</v>
      </c>
      <c r="BA15" s="891">
        <v>19535399</v>
      </c>
      <c r="BB15" s="1622">
        <f t="shared" si="23"/>
        <v>22953.239000000001</v>
      </c>
      <c r="BC15" s="1622">
        <f t="shared" si="24"/>
        <v>3417.84</v>
      </c>
      <c r="BD15" s="1622">
        <f t="shared" si="25"/>
        <v>3417.84</v>
      </c>
      <c r="BE15" s="1622">
        <f t="shared" si="26"/>
        <v>19535.399000000001</v>
      </c>
      <c r="BH15" s="1625" t="s">
        <v>991</v>
      </c>
      <c r="BI15" s="1622">
        <v>2112000</v>
      </c>
      <c r="BJ15" s="1622">
        <f t="shared" si="27"/>
        <v>2112</v>
      </c>
      <c r="BM15" s="1625" t="s">
        <v>562</v>
      </c>
      <c r="BN15" s="1627">
        <v>22953239</v>
      </c>
      <c r="BO15" s="1627">
        <v>4272300</v>
      </c>
      <c r="BP15" s="1627">
        <v>4272300</v>
      </c>
      <c r="BQ15" s="1627">
        <v>18680939</v>
      </c>
      <c r="BR15" s="1622">
        <f t="shared" si="28"/>
        <v>22953.239000000001</v>
      </c>
      <c r="BS15" s="1622">
        <f t="shared" si="29"/>
        <v>4272.3</v>
      </c>
      <c r="BT15" s="1622">
        <f t="shared" si="30"/>
        <v>4272.3</v>
      </c>
      <c r="BU15" s="1622">
        <f t="shared" si="31"/>
        <v>18680.938999999998</v>
      </c>
      <c r="BX15" s="1624" t="s">
        <v>562</v>
      </c>
      <c r="BY15" s="1622">
        <v>854460</v>
      </c>
      <c r="BZ15" s="1622">
        <f t="shared" si="32"/>
        <v>854.46</v>
      </c>
      <c r="CC15" s="1622" t="s">
        <v>562</v>
      </c>
      <c r="CD15" s="1622">
        <v>22953239</v>
      </c>
      <c r="CE15" s="1622">
        <v>5126760</v>
      </c>
      <c r="CF15" s="1622">
        <v>5126760</v>
      </c>
      <c r="CG15" s="1622">
        <v>17826479</v>
      </c>
      <c r="CH15" s="1622">
        <f t="shared" si="33"/>
        <v>22953.239000000001</v>
      </c>
      <c r="CI15" s="1622">
        <f t="shared" si="34"/>
        <v>5126.76</v>
      </c>
      <c r="CJ15" s="1622">
        <f t="shared" si="35"/>
        <v>5126.76</v>
      </c>
      <c r="CK15" s="1622">
        <f t="shared" si="36"/>
        <v>17826.478999999999</v>
      </c>
      <c r="CN15" s="1624" t="s">
        <v>562</v>
      </c>
      <c r="CO15" s="1622">
        <v>854460</v>
      </c>
      <c r="CP15" s="1622">
        <f t="shared" si="37"/>
        <v>854.46</v>
      </c>
      <c r="CS15" s="1625" t="s">
        <v>562</v>
      </c>
      <c r="CT15" s="891">
        <v>22953239</v>
      </c>
      <c r="CU15" s="891">
        <v>5981220</v>
      </c>
      <c r="CV15" s="891">
        <v>5981220</v>
      </c>
      <c r="CW15" s="891">
        <v>16972019</v>
      </c>
      <c r="CX15" s="1622">
        <f t="shared" si="38"/>
        <v>22953.239000000001</v>
      </c>
      <c r="CY15" s="1622">
        <f t="shared" si="39"/>
        <v>5981.22</v>
      </c>
      <c r="CZ15" s="1622">
        <f t="shared" si="40"/>
        <v>5981.22</v>
      </c>
      <c r="DA15" s="1622">
        <f t="shared" si="41"/>
        <v>16972.019</v>
      </c>
      <c r="DD15" s="1624" t="s">
        <v>991</v>
      </c>
      <c r="DE15" s="1622">
        <v>2112000</v>
      </c>
      <c r="DF15" s="1622">
        <f t="shared" si="42"/>
        <v>2112</v>
      </c>
      <c r="DJ15" s="1624" t="s">
        <v>562</v>
      </c>
      <c r="DK15" s="1622">
        <v>22953239</v>
      </c>
      <c r="DL15" s="1622">
        <v>6925398</v>
      </c>
      <c r="DM15" s="1622">
        <v>16027841</v>
      </c>
      <c r="DN15" s="1622">
        <v>6925398</v>
      </c>
      <c r="DO15" s="1622">
        <f t="shared" si="43"/>
        <v>22953.239000000001</v>
      </c>
      <c r="DP15" s="1622">
        <f t="shared" si="44"/>
        <v>6925.3980000000001</v>
      </c>
      <c r="DQ15" s="1622">
        <f t="shared" si="45"/>
        <v>16027.841</v>
      </c>
      <c r="DR15" s="1622">
        <f t="shared" si="46"/>
        <v>6925.3980000000001</v>
      </c>
      <c r="DV15" s="780" t="s">
        <v>562</v>
      </c>
      <c r="DW15" s="779">
        <v>944178</v>
      </c>
      <c r="DX15" s="1626">
        <f t="shared" si="47"/>
        <v>944.178</v>
      </c>
      <c r="EA15" s="780" t="s">
        <v>562</v>
      </c>
      <c r="EB15" s="779">
        <v>22953239</v>
      </c>
      <c r="EC15" s="779">
        <v>7869576</v>
      </c>
      <c r="ED15" s="779">
        <v>7869576</v>
      </c>
      <c r="EE15" s="779">
        <v>15083663</v>
      </c>
      <c r="EF15" s="166">
        <f t="shared" si="48"/>
        <v>22953.239000000001</v>
      </c>
      <c r="EG15" s="166">
        <f t="shared" si="49"/>
        <v>7869.576</v>
      </c>
      <c r="EH15" s="166">
        <f t="shared" si="50"/>
        <v>7869.576</v>
      </c>
      <c r="EI15" s="166">
        <f t="shared" si="51"/>
        <v>15083.663</v>
      </c>
    </row>
    <row r="16" spans="1:139" ht="15" customHeight="1" x14ac:dyDescent="0.3">
      <c r="A16" s="1625" t="s">
        <v>991</v>
      </c>
      <c r="B16" s="891">
        <v>2112000</v>
      </c>
      <c r="C16" s="891">
        <v>2112000</v>
      </c>
      <c r="D16" s="891">
        <v>0</v>
      </c>
      <c r="E16" s="891">
        <v>2112000</v>
      </c>
      <c r="F16" s="891">
        <f t="shared" si="8"/>
        <v>2112</v>
      </c>
      <c r="G16" s="891">
        <f t="shared" si="9"/>
        <v>2112</v>
      </c>
      <c r="H16" s="891">
        <f t="shared" si="10"/>
        <v>0</v>
      </c>
      <c r="I16" s="891">
        <f t="shared" si="11"/>
        <v>2112</v>
      </c>
      <c r="L16" s="1625" t="s">
        <v>358</v>
      </c>
      <c r="M16" s="891">
        <v>1657172</v>
      </c>
      <c r="N16" s="891">
        <f t="shared" si="12"/>
        <v>1657.172</v>
      </c>
      <c r="Q16" s="1625" t="s">
        <v>991</v>
      </c>
      <c r="R16" s="891">
        <v>25344000</v>
      </c>
      <c r="S16" s="891">
        <v>4224000</v>
      </c>
      <c r="T16" s="891">
        <v>21120000</v>
      </c>
      <c r="U16" s="891">
        <v>4224000</v>
      </c>
      <c r="V16" s="1622">
        <f t="shared" si="13"/>
        <v>25344</v>
      </c>
      <c r="W16" s="1622">
        <f t="shared" si="14"/>
        <v>4224</v>
      </c>
      <c r="X16" s="1622">
        <f t="shared" si="15"/>
        <v>21120</v>
      </c>
      <c r="Y16" s="1622">
        <f t="shared" si="16"/>
        <v>4224</v>
      </c>
      <c r="AB16" s="1625" t="s">
        <v>991</v>
      </c>
      <c r="AC16" s="891">
        <v>2112000</v>
      </c>
      <c r="AD16" s="1622">
        <f t="shared" si="17"/>
        <v>2112</v>
      </c>
      <c r="AG16" s="1625" t="s">
        <v>991</v>
      </c>
      <c r="AH16" s="891">
        <v>25344000</v>
      </c>
      <c r="AI16" s="891">
        <v>6336000</v>
      </c>
      <c r="AJ16" s="891">
        <v>6336000</v>
      </c>
      <c r="AK16" s="891">
        <v>19008000</v>
      </c>
      <c r="AL16" s="1622">
        <f t="shared" si="18"/>
        <v>25344</v>
      </c>
      <c r="AM16" s="1622">
        <f t="shared" si="19"/>
        <v>6336</v>
      </c>
      <c r="AN16" s="1622">
        <f t="shared" si="20"/>
        <v>6336</v>
      </c>
      <c r="AO16" s="1622">
        <f t="shared" si="21"/>
        <v>19008</v>
      </c>
      <c r="AR16" s="1625" t="s">
        <v>991</v>
      </c>
      <c r="AS16" s="1622">
        <v>2112000</v>
      </c>
      <c r="AT16" s="1622">
        <f t="shared" si="22"/>
        <v>2112</v>
      </c>
      <c r="AW16" s="1625" t="s">
        <v>991</v>
      </c>
      <c r="AX16" s="891">
        <v>25344000</v>
      </c>
      <c r="AY16" s="891">
        <v>8448000</v>
      </c>
      <c r="AZ16" s="891">
        <v>8448000</v>
      </c>
      <c r="BA16" s="891">
        <v>16896000</v>
      </c>
      <c r="BB16" s="1622">
        <f t="shared" si="23"/>
        <v>25344</v>
      </c>
      <c r="BC16" s="1622">
        <f t="shared" si="24"/>
        <v>8448</v>
      </c>
      <c r="BD16" s="1622">
        <f t="shared" si="25"/>
        <v>8448</v>
      </c>
      <c r="BE16" s="1622">
        <f t="shared" si="26"/>
        <v>16896</v>
      </c>
      <c r="BH16" s="1625" t="s">
        <v>358</v>
      </c>
      <c r="BI16" s="1622">
        <v>1694591</v>
      </c>
      <c r="BJ16" s="1622">
        <f t="shared" si="27"/>
        <v>1694.5909999999999</v>
      </c>
      <c r="BM16" s="1625" t="s">
        <v>991</v>
      </c>
      <c r="BN16" s="1627">
        <v>25344000</v>
      </c>
      <c r="BO16" s="1627">
        <v>10560000</v>
      </c>
      <c r="BP16" s="1627">
        <v>10560000</v>
      </c>
      <c r="BQ16" s="1627">
        <v>14784000</v>
      </c>
      <c r="BR16" s="1622">
        <f t="shared" si="28"/>
        <v>25344</v>
      </c>
      <c r="BS16" s="1622">
        <f t="shared" si="29"/>
        <v>10560</v>
      </c>
      <c r="BT16" s="1622">
        <f t="shared" si="30"/>
        <v>10560</v>
      </c>
      <c r="BU16" s="1622">
        <f t="shared" si="31"/>
        <v>14784</v>
      </c>
      <c r="BX16" s="1624" t="s">
        <v>991</v>
      </c>
      <c r="BY16" s="1622">
        <v>2112000</v>
      </c>
      <c r="BZ16" s="1622">
        <f t="shared" si="32"/>
        <v>2112</v>
      </c>
      <c r="CC16" s="1622" t="s">
        <v>991</v>
      </c>
      <c r="CD16" s="1622">
        <v>25344000</v>
      </c>
      <c r="CE16" s="1622">
        <v>12672000</v>
      </c>
      <c r="CF16" s="1622">
        <v>12672000</v>
      </c>
      <c r="CG16" s="1622">
        <v>12672000</v>
      </c>
      <c r="CH16" s="1622">
        <f t="shared" si="33"/>
        <v>25344</v>
      </c>
      <c r="CI16" s="1622">
        <f t="shared" si="34"/>
        <v>12672</v>
      </c>
      <c r="CJ16" s="1622">
        <f t="shared" si="35"/>
        <v>12672</v>
      </c>
      <c r="CK16" s="1622">
        <f t="shared" si="36"/>
        <v>12672</v>
      </c>
      <c r="CN16" s="1624" t="s">
        <v>991</v>
      </c>
      <c r="CO16" s="1622">
        <v>2112000</v>
      </c>
      <c r="CP16" s="1622">
        <f t="shared" si="37"/>
        <v>2112</v>
      </c>
      <c r="CS16" s="1625" t="s">
        <v>991</v>
      </c>
      <c r="CT16" s="891">
        <v>25344000</v>
      </c>
      <c r="CU16" s="891">
        <v>14784000</v>
      </c>
      <c r="CV16" s="891">
        <v>14784000</v>
      </c>
      <c r="CW16" s="891">
        <v>10560000</v>
      </c>
      <c r="CX16" s="1622">
        <f t="shared" si="38"/>
        <v>25344</v>
      </c>
      <c r="CY16" s="1622">
        <f t="shared" si="39"/>
        <v>14784</v>
      </c>
      <c r="CZ16" s="1622">
        <f t="shared" si="40"/>
        <v>14784</v>
      </c>
      <c r="DA16" s="1622">
        <f t="shared" si="41"/>
        <v>10560</v>
      </c>
      <c r="DD16" s="1624" t="s">
        <v>358</v>
      </c>
      <c r="DE16" s="1622">
        <v>1721514</v>
      </c>
      <c r="DF16" s="1622">
        <f t="shared" si="42"/>
        <v>1721.5139999999999</v>
      </c>
      <c r="DJ16" s="1624" t="s">
        <v>991</v>
      </c>
      <c r="DK16" s="1622">
        <v>25344000</v>
      </c>
      <c r="DL16" s="1622">
        <v>16896000</v>
      </c>
      <c r="DM16" s="1622">
        <v>8448000</v>
      </c>
      <c r="DN16" s="1622">
        <v>16896000</v>
      </c>
      <c r="DO16" s="1622">
        <f t="shared" si="43"/>
        <v>25344</v>
      </c>
      <c r="DP16" s="1622">
        <f t="shared" si="44"/>
        <v>16896</v>
      </c>
      <c r="DQ16" s="1622">
        <f t="shared" si="45"/>
        <v>8448</v>
      </c>
      <c r="DR16" s="1622">
        <f t="shared" si="46"/>
        <v>16896</v>
      </c>
      <c r="DV16" s="780" t="s">
        <v>991</v>
      </c>
      <c r="DW16" s="779">
        <v>0</v>
      </c>
      <c r="DX16" s="1626">
        <f t="shared" si="47"/>
        <v>0</v>
      </c>
      <c r="EA16" s="780" t="s">
        <v>991</v>
      </c>
      <c r="EB16" s="779">
        <v>25344000</v>
      </c>
      <c r="EC16" s="779">
        <v>16896000</v>
      </c>
      <c r="ED16" s="779">
        <v>16896000</v>
      </c>
      <c r="EE16" s="779">
        <v>8448000</v>
      </c>
      <c r="EF16" s="166">
        <f t="shared" si="48"/>
        <v>25344</v>
      </c>
      <c r="EG16" s="166">
        <f t="shared" si="49"/>
        <v>16896</v>
      </c>
      <c r="EH16" s="166">
        <f t="shared" si="50"/>
        <v>16896</v>
      </c>
      <c r="EI16" s="166">
        <f t="shared" si="51"/>
        <v>8448</v>
      </c>
    </row>
    <row r="17" spans="1:139" ht="15" customHeight="1" x14ac:dyDescent="0.3">
      <c r="A17" s="1625" t="s">
        <v>923</v>
      </c>
      <c r="B17" s="891">
        <v>0</v>
      </c>
      <c r="C17" s="891">
        <v>0</v>
      </c>
      <c r="D17" s="891">
        <v>0</v>
      </c>
      <c r="E17" s="891">
        <v>0</v>
      </c>
      <c r="F17" s="891">
        <f t="shared" si="8"/>
        <v>0</v>
      </c>
      <c r="G17" s="891">
        <f t="shared" si="9"/>
        <v>0</v>
      </c>
      <c r="H17" s="891">
        <f t="shared" si="10"/>
        <v>0</v>
      </c>
      <c r="I17" s="891">
        <f t="shared" si="11"/>
        <v>0</v>
      </c>
      <c r="L17" s="1625" t="s">
        <v>563</v>
      </c>
      <c r="M17" s="891">
        <v>126100</v>
      </c>
      <c r="N17" s="891">
        <f t="shared" si="12"/>
        <v>126.1</v>
      </c>
      <c r="Q17" s="1625" t="s">
        <v>923</v>
      </c>
      <c r="R17" s="891">
        <v>0</v>
      </c>
      <c r="S17" s="891">
        <v>0</v>
      </c>
      <c r="T17" s="891">
        <v>0</v>
      </c>
      <c r="U17" s="891">
        <v>0</v>
      </c>
      <c r="V17" s="1622">
        <f t="shared" si="13"/>
        <v>0</v>
      </c>
      <c r="W17" s="1622">
        <f t="shared" si="14"/>
        <v>0</v>
      </c>
      <c r="X17" s="1622">
        <f t="shared" si="15"/>
        <v>0</v>
      </c>
      <c r="Y17" s="1622">
        <f t="shared" si="16"/>
        <v>0</v>
      </c>
      <c r="AB17" s="1625" t="s">
        <v>358</v>
      </c>
      <c r="AC17" s="891">
        <v>1990904</v>
      </c>
      <c r="AD17" s="1622">
        <f t="shared" si="17"/>
        <v>1990.904</v>
      </c>
      <c r="AG17" s="1625" t="s">
        <v>923</v>
      </c>
      <c r="AH17" s="891">
        <v>0</v>
      </c>
      <c r="AI17" s="891">
        <v>0</v>
      </c>
      <c r="AJ17" s="891">
        <v>0</v>
      </c>
      <c r="AK17" s="891">
        <v>0</v>
      </c>
      <c r="AL17" s="1622">
        <f t="shared" si="18"/>
        <v>0</v>
      </c>
      <c r="AM17" s="1622">
        <f t="shared" si="19"/>
        <v>0</v>
      </c>
      <c r="AN17" s="1622">
        <f t="shared" si="20"/>
        <v>0</v>
      </c>
      <c r="AO17" s="1622">
        <f t="shared" si="21"/>
        <v>0</v>
      </c>
      <c r="AR17" s="1625" t="s">
        <v>358</v>
      </c>
      <c r="AS17" s="1622">
        <v>1560926</v>
      </c>
      <c r="AT17" s="1622">
        <f t="shared" si="22"/>
        <v>1560.9259999999999</v>
      </c>
      <c r="AW17" s="1625" t="s">
        <v>923</v>
      </c>
      <c r="AX17" s="891">
        <v>0</v>
      </c>
      <c r="AY17" s="891">
        <v>0</v>
      </c>
      <c r="AZ17" s="891">
        <v>0</v>
      </c>
      <c r="BA17" s="891">
        <v>0</v>
      </c>
      <c r="BB17" s="1622">
        <f t="shared" si="23"/>
        <v>0</v>
      </c>
      <c r="BC17" s="1622">
        <f t="shared" si="24"/>
        <v>0</v>
      </c>
      <c r="BD17" s="1622">
        <f t="shared" si="25"/>
        <v>0</v>
      </c>
      <c r="BE17" s="1622">
        <f t="shared" si="26"/>
        <v>0</v>
      </c>
      <c r="BH17" s="1625" t="s">
        <v>563</v>
      </c>
      <c r="BI17" s="1622">
        <v>126100</v>
      </c>
      <c r="BJ17" s="1622">
        <f t="shared" si="27"/>
        <v>126.1</v>
      </c>
      <c r="BM17" s="1625" t="s">
        <v>923</v>
      </c>
      <c r="BN17" s="1627">
        <v>0</v>
      </c>
      <c r="BO17" s="1627">
        <v>0</v>
      </c>
      <c r="BP17" s="1627">
        <v>0</v>
      </c>
      <c r="BQ17" s="1627">
        <v>0</v>
      </c>
      <c r="BR17" s="1622">
        <f t="shared" si="28"/>
        <v>0</v>
      </c>
      <c r="BS17" s="1622">
        <f t="shared" si="29"/>
        <v>0</v>
      </c>
      <c r="BT17" s="1622">
        <f t="shared" si="30"/>
        <v>0</v>
      </c>
      <c r="BU17" s="1622">
        <f t="shared" si="31"/>
        <v>0</v>
      </c>
      <c r="BX17" s="1624" t="s">
        <v>358</v>
      </c>
      <c r="BY17" s="1622">
        <v>2032319</v>
      </c>
      <c r="BZ17" s="1622">
        <f t="shared" si="32"/>
        <v>2032.319</v>
      </c>
      <c r="CC17" s="1622" t="s">
        <v>923</v>
      </c>
      <c r="CD17" s="1622">
        <v>0</v>
      </c>
      <c r="CE17" s="1622">
        <v>0</v>
      </c>
      <c r="CF17" s="1622">
        <v>0</v>
      </c>
      <c r="CG17" s="1622">
        <v>0</v>
      </c>
      <c r="CH17" s="1622">
        <f t="shared" si="33"/>
        <v>0</v>
      </c>
      <c r="CI17" s="1622">
        <f t="shared" si="34"/>
        <v>0</v>
      </c>
      <c r="CJ17" s="1622">
        <f t="shared" si="35"/>
        <v>0</v>
      </c>
      <c r="CK17" s="1622">
        <f t="shared" si="36"/>
        <v>0</v>
      </c>
      <c r="CN17" s="1624" t="s">
        <v>358</v>
      </c>
      <c r="CO17" s="1622">
        <v>1648241</v>
      </c>
      <c r="CP17" s="1622">
        <f t="shared" si="37"/>
        <v>1648.241</v>
      </c>
      <c r="CS17" s="1625" t="s">
        <v>923</v>
      </c>
      <c r="CT17" s="891">
        <v>0</v>
      </c>
      <c r="CU17" s="891">
        <v>0</v>
      </c>
      <c r="CV17" s="891">
        <v>0</v>
      </c>
      <c r="CW17" s="891">
        <v>0</v>
      </c>
      <c r="CX17" s="1622">
        <f t="shared" si="38"/>
        <v>0</v>
      </c>
      <c r="CY17" s="1622">
        <f t="shared" si="39"/>
        <v>0</v>
      </c>
      <c r="CZ17" s="1622">
        <f t="shared" si="40"/>
        <v>0</v>
      </c>
      <c r="DA17" s="1622">
        <f t="shared" si="41"/>
        <v>0</v>
      </c>
      <c r="DD17" s="1624" t="s">
        <v>563</v>
      </c>
      <c r="DE17" s="1622">
        <v>126100</v>
      </c>
      <c r="DF17" s="1622">
        <f t="shared" si="42"/>
        <v>126.1</v>
      </c>
      <c r="DJ17" s="1624" t="s">
        <v>923</v>
      </c>
      <c r="DK17" s="1622">
        <v>0</v>
      </c>
      <c r="DL17" s="1622">
        <v>0</v>
      </c>
      <c r="DM17" s="1622">
        <v>0</v>
      </c>
      <c r="DN17" s="1622">
        <v>0</v>
      </c>
      <c r="DO17" s="1622">
        <f t="shared" si="43"/>
        <v>0</v>
      </c>
      <c r="DP17" s="1622">
        <f t="shared" si="44"/>
        <v>0</v>
      </c>
      <c r="DQ17" s="1622">
        <f t="shared" si="45"/>
        <v>0</v>
      </c>
      <c r="DR17" s="1622">
        <f t="shared" si="46"/>
        <v>0</v>
      </c>
      <c r="DV17" s="780" t="s">
        <v>358</v>
      </c>
      <c r="DW17" s="779">
        <v>2080220</v>
      </c>
      <c r="DX17" s="1626">
        <f t="shared" si="47"/>
        <v>2080.2199999999998</v>
      </c>
      <c r="EA17" s="780" t="s">
        <v>923</v>
      </c>
      <c r="EB17" s="779">
        <v>0</v>
      </c>
      <c r="EC17" s="779">
        <v>0</v>
      </c>
      <c r="ED17" s="779">
        <v>0</v>
      </c>
      <c r="EE17" s="779">
        <v>0</v>
      </c>
      <c r="EF17" s="166">
        <f t="shared" si="48"/>
        <v>0</v>
      </c>
      <c r="EG17" s="166">
        <f t="shared" si="49"/>
        <v>0</v>
      </c>
      <c r="EH17" s="166">
        <f t="shared" si="50"/>
        <v>0</v>
      </c>
      <c r="EI17" s="166">
        <f t="shared" si="51"/>
        <v>0</v>
      </c>
    </row>
    <row r="18" spans="1:139" ht="15" customHeight="1" x14ac:dyDescent="0.3">
      <c r="A18" s="1625" t="s">
        <v>358</v>
      </c>
      <c r="B18" s="891">
        <v>31358285</v>
      </c>
      <c r="C18" s="891">
        <v>1522957</v>
      </c>
      <c r="D18" s="891">
        <v>29835328</v>
      </c>
      <c r="E18" s="891">
        <v>1522957</v>
      </c>
      <c r="F18" s="891">
        <f t="shared" si="8"/>
        <v>31358.285</v>
      </c>
      <c r="G18" s="891">
        <f t="shared" si="9"/>
        <v>1522.9570000000001</v>
      </c>
      <c r="H18" s="891">
        <f t="shared" si="10"/>
        <v>29835.328000000001</v>
      </c>
      <c r="I18" s="891">
        <f t="shared" si="11"/>
        <v>1522.9570000000001</v>
      </c>
      <c r="L18" s="1625" t="s">
        <v>564</v>
      </c>
      <c r="M18" s="891">
        <v>1531072</v>
      </c>
      <c r="N18" s="891">
        <f t="shared" si="12"/>
        <v>1531.0719999999999</v>
      </c>
      <c r="Q18" s="1625" t="s">
        <v>358</v>
      </c>
      <c r="R18" s="891">
        <v>31358285</v>
      </c>
      <c r="S18" s="891">
        <v>3180129</v>
      </c>
      <c r="T18" s="891">
        <v>28178156</v>
      </c>
      <c r="U18" s="891">
        <v>3180129</v>
      </c>
      <c r="V18" s="1622">
        <f t="shared" si="13"/>
        <v>31358.285</v>
      </c>
      <c r="W18" s="1622">
        <f t="shared" si="14"/>
        <v>3180.1289999999999</v>
      </c>
      <c r="X18" s="1622">
        <f t="shared" si="15"/>
        <v>28178.155999999999</v>
      </c>
      <c r="Y18" s="1622">
        <f t="shared" si="16"/>
        <v>3180.1289999999999</v>
      </c>
      <c r="AB18" s="1625" t="s">
        <v>563</v>
      </c>
      <c r="AC18" s="891">
        <v>252200</v>
      </c>
      <c r="AD18" s="1622">
        <f t="shared" si="17"/>
        <v>252.2</v>
      </c>
      <c r="AG18" s="1625" t="s">
        <v>358</v>
      </c>
      <c r="AH18" s="891">
        <v>31358285</v>
      </c>
      <c r="AI18" s="891">
        <v>5171033</v>
      </c>
      <c r="AJ18" s="891">
        <v>5171033</v>
      </c>
      <c r="AK18" s="891">
        <v>26187252</v>
      </c>
      <c r="AL18" s="1622">
        <f t="shared" si="18"/>
        <v>31358.285</v>
      </c>
      <c r="AM18" s="1622">
        <f t="shared" si="19"/>
        <v>5171.0330000000004</v>
      </c>
      <c r="AN18" s="1622">
        <f t="shared" si="20"/>
        <v>5171.0330000000004</v>
      </c>
      <c r="AO18" s="1622">
        <f t="shared" si="21"/>
        <v>26187.252</v>
      </c>
      <c r="AR18" s="1625" t="s">
        <v>564</v>
      </c>
      <c r="AS18" s="1622">
        <v>1560926</v>
      </c>
      <c r="AT18" s="1622">
        <f t="shared" si="22"/>
        <v>1560.9259999999999</v>
      </c>
      <c r="AW18" s="1625" t="s">
        <v>358</v>
      </c>
      <c r="AX18" s="891">
        <v>31358285</v>
      </c>
      <c r="AY18" s="891">
        <v>6731959</v>
      </c>
      <c r="AZ18" s="891">
        <v>6731959</v>
      </c>
      <c r="BA18" s="891">
        <v>24626326</v>
      </c>
      <c r="BB18" s="1622">
        <f t="shared" si="23"/>
        <v>31358.285</v>
      </c>
      <c r="BC18" s="1622">
        <f t="shared" si="24"/>
        <v>6731.9589999999998</v>
      </c>
      <c r="BD18" s="1622">
        <f t="shared" si="25"/>
        <v>6731.9589999999998</v>
      </c>
      <c r="BE18" s="1622">
        <f t="shared" si="26"/>
        <v>24626.326000000001</v>
      </c>
      <c r="BH18" s="1625" t="s">
        <v>564</v>
      </c>
      <c r="BI18" s="1622">
        <v>1568491</v>
      </c>
      <c r="BJ18" s="1622">
        <f t="shared" si="27"/>
        <v>1568.491</v>
      </c>
      <c r="BM18" s="1625" t="s">
        <v>358</v>
      </c>
      <c r="BN18" s="1627">
        <v>31358285</v>
      </c>
      <c r="BO18" s="1627">
        <v>8426550</v>
      </c>
      <c r="BP18" s="1627">
        <v>8426550</v>
      </c>
      <c r="BQ18" s="1627">
        <v>22931735</v>
      </c>
      <c r="BR18" s="1622">
        <f t="shared" si="28"/>
        <v>31358.285</v>
      </c>
      <c r="BS18" s="1622">
        <f t="shared" si="29"/>
        <v>8426.5499999999993</v>
      </c>
      <c r="BT18" s="1622">
        <f t="shared" si="30"/>
        <v>8426.5499999999993</v>
      </c>
      <c r="BU18" s="1622">
        <f t="shared" si="31"/>
        <v>22931.735000000001</v>
      </c>
      <c r="BX18" s="1624" t="s">
        <v>563</v>
      </c>
      <c r="BY18" s="1622">
        <v>252200</v>
      </c>
      <c r="BZ18" s="1622">
        <f t="shared" si="32"/>
        <v>252.2</v>
      </c>
      <c r="CC18" s="1622" t="s">
        <v>358</v>
      </c>
      <c r="CD18" s="1622">
        <v>31358285</v>
      </c>
      <c r="CE18" s="1622">
        <v>10458869</v>
      </c>
      <c r="CF18" s="1622">
        <v>10458869</v>
      </c>
      <c r="CG18" s="1622">
        <v>20899416</v>
      </c>
      <c r="CH18" s="1622">
        <f t="shared" si="33"/>
        <v>31358.285</v>
      </c>
      <c r="CI18" s="1622">
        <f t="shared" si="34"/>
        <v>10458.869000000001</v>
      </c>
      <c r="CJ18" s="1622">
        <f t="shared" si="35"/>
        <v>10458.869000000001</v>
      </c>
      <c r="CK18" s="1622">
        <f t="shared" si="36"/>
        <v>20899.416000000001</v>
      </c>
      <c r="CN18" s="1624" t="s">
        <v>564</v>
      </c>
      <c r="CO18" s="1622">
        <v>1648241</v>
      </c>
      <c r="CP18" s="1622">
        <f t="shared" si="37"/>
        <v>1648.241</v>
      </c>
      <c r="CS18" s="1625" t="s">
        <v>358</v>
      </c>
      <c r="CT18" s="891">
        <v>31358285</v>
      </c>
      <c r="CU18" s="891">
        <v>12107110</v>
      </c>
      <c r="CV18" s="891">
        <v>12107110</v>
      </c>
      <c r="CW18" s="891">
        <v>19251175</v>
      </c>
      <c r="CX18" s="1622">
        <f t="shared" si="38"/>
        <v>31358.285</v>
      </c>
      <c r="CY18" s="1622">
        <f t="shared" si="39"/>
        <v>12107.11</v>
      </c>
      <c r="CZ18" s="1622">
        <f t="shared" si="40"/>
        <v>12107.11</v>
      </c>
      <c r="DA18" s="1622">
        <f t="shared" si="41"/>
        <v>19251.174999999999</v>
      </c>
      <c r="DD18" s="1624" t="s">
        <v>564</v>
      </c>
      <c r="DE18" s="1622">
        <v>1595414</v>
      </c>
      <c r="DF18" s="1622">
        <f t="shared" si="42"/>
        <v>1595.414</v>
      </c>
      <c r="DJ18" s="1624" t="s">
        <v>358</v>
      </c>
      <c r="DK18" s="1622">
        <v>31358285</v>
      </c>
      <c r="DL18" s="1622">
        <v>13828624</v>
      </c>
      <c r="DM18" s="1622">
        <v>17529661</v>
      </c>
      <c r="DN18" s="1622">
        <v>13828624</v>
      </c>
      <c r="DO18" s="1622">
        <f t="shared" si="43"/>
        <v>31358.285</v>
      </c>
      <c r="DP18" s="1622">
        <f t="shared" si="44"/>
        <v>13828.624</v>
      </c>
      <c r="DQ18" s="1622">
        <f t="shared" si="45"/>
        <v>17529.661</v>
      </c>
      <c r="DR18" s="1622">
        <f t="shared" si="46"/>
        <v>13828.624</v>
      </c>
      <c r="DV18" s="780" t="s">
        <v>563</v>
      </c>
      <c r="DW18" s="779">
        <v>126100</v>
      </c>
      <c r="DX18" s="1626">
        <f t="shared" si="47"/>
        <v>126.1</v>
      </c>
      <c r="EA18" s="780" t="s">
        <v>358</v>
      </c>
      <c r="EB18" s="779">
        <v>31358285</v>
      </c>
      <c r="EC18" s="779">
        <v>15908844</v>
      </c>
      <c r="ED18" s="779">
        <v>15908844</v>
      </c>
      <c r="EE18" s="779">
        <v>15449441</v>
      </c>
      <c r="EF18" s="166">
        <f t="shared" si="48"/>
        <v>31358.285</v>
      </c>
      <c r="EG18" s="166">
        <f t="shared" si="49"/>
        <v>15908.843999999999</v>
      </c>
      <c r="EH18" s="166">
        <f t="shared" si="50"/>
        <v>15908.843999999999</v>
      </c>
      <c r="EI18" s="166">
        <f t="shared" si="51"/>
        <v>15449.441000000001</v>
      </c>
    </row>
    <row r="19" spans="1:139" ht="15" customHeight="1" x14ac:dyDescent="0.3">
      <c r="A19" s="1625" t="s">
        <v>563</v>
      </c>
      <c r="B19" s="891">
        <v>7117165</v>
      </c>
      <c r="C19" s="891">
        <v>0</v>
      </c>
      <c r="D19" s="891">
        <v>7117165</v>
      </c>
      <c r="E19" s="891">
        <v>0</v>
      </c>
      <c r="F19" s="891">
        <f t="shared" si="8"/>
        <v>7117.165</v>
      </c>
      <c r="G19" s="891">
        <f t="shared" si="9"/>
        <v>0</v>
      </c>
      <c r="H19" s="891">
        <f t="shared" si="10"/>
        <v>7117.165</v>
      </c>
      <c r="I19" s="891">
        <f t="shared" si="11"/>
        <v>0</v>
      </c>
      <c r="L19" s="1625" t="s">
        <v>360</v>
      </c>
      <c r="M19" s="891">
        <v>12230030</v>
      </c>
      <c r="N19" s="891">
        <f t="shared" si="12"/>
        <v>12230.03</v>
      </c>
      <c r="Q19" s="1625" t="s">
        <v>563</v>
      </c>
      <c r="R19" s="891">
        <v>7117165</v>
      </c>
      <c r="S19" s="891">
        <v>126100</v>
      </c>
      <c r="T19" s="891">
        <v>6991065</v>
      </c>
      <c r="U19" s="891">
        <v>126100</v>
      </c>
      <c r="V19" s="1622">
        <f t="shared" si="13"/>
        <v>7117.165</v>
      </c>
      <c r="W19" s="1622">
        <f t="shared" si="14"/>
        <v>126.1</v>
      </c>
      <c r="X19" s="1622">
        <f t="shared" si="15"/>
        <v>6991.0649999999996</v>
      </c>
      <c r="Y19" s="1622">
        <f t="shared" si="16"/>
        <v>126.1</v>
      </c>
      <c r="AB19" s="1625" t="s">
        <v>564</v>
      </c>
      <c r="AC19" s="891">
        <v>1738704</v>
      </c>
      <c r="AD19" s="1622">
        <f t="shared" si="17"/>
        <v>1738.704</v>
      </c>
      <c r="AG19" s="1625" t="s">
        <v>563</v>
      </c>
      <c r="AH19" s="891">
        <v>7117165</v>
      </c>
      <c r="AI19" s="891">
        <v>378300</v>
      </c>
      <c r="AJ19" s="891">
        <v>378300</v>
      </c>
      <c r="AK19" s="891">
        <v>6738865</v>
      </c>
      <c r="AL19" s="1622">
        <f t="shared" si="18"/>
        <v>7117.165</v>
      </c>
      <c r="AM19" s="1622">
        <f t="shared" si="19"/>
        <v>378.3</v>
      </c>
      <c r="AN19" s="1622">
        <f t="shared" si="20"/>
        <v>378.3</v>
      </c>
      <c r="AO19" s="1622">
        <f t="shared" si="21"/>
        <v>6738.8649999999998</v>
      </c>
      <c r="AR19" s="1625" t="s">
        <v>565</v>
      </c>
      <c r="AS19" s="1622">
        <v>0</v>
      </c>
      <c r="AT19" s="1622">
        <f t="shared" si="22"/>
        <v>0</v>
      </c>
      <c r="AW19" s="1625" t="s">
        <v>563</v>
      </c>
      <c r="AX19" s="891">
        <v>7117165</v>
      </c>
      <c r="AY19" s="891">
        <v>378300</v>
      </c>
      <c r="AZ19" s="891">
        <v>378300</v>
      </c>
      <c r="BA19" s="891">
        <v>6738865</v>
      </c>
      <c r="BB19" s="1622">
        <f t="shared" si="23"/>
        <v>7117.165</v>
      </c>
      <c r="BC19" s="1622">
        <f t="shared" si="24"/>
        <v>378.3</v>
      </c>
      <c r="BD19" s="1622">
        <f t="shared" si="25"/>
        <v>378.3</v>
      </c>
      <c r="BE19" s="1622">
        <f t="shared" si="26"/>
        <v>6738.8649999999998</v>
      </c>
      <c r="BH19" s="1625" t="s">
        <v>360</v>
      </c>
      <c r="BI19" s="1622">
        <v>10556638</v>
      </c>
      <c r="BJ19" s="1622">
        <f t="shared" si="27"/>
        <v>10556.638000000001</v>
      </c>
      <c r="BM19" s="1625" t="s">
        <v>563</v>
      </c>
      <c r="BN19" s="1627">
        <v>7117165</v>
      </c>
      <c r="BO19" s="1627">
        <v>504400</v>
      </c>
      <c r="BP19" s="1627">
        <v>504400</v>
      </c>
      <c r="BQ19" s="1627">
        <v>6612765</v>
      </c>
      <c r="BR19" s="1622">
        <f t="shared" si="28"/>
        <v>7117.165</v>
      </c>
      <c r="BS19" s="1622">
        <f t="shared" si="29"/>
        <v>504.4</v>
      </c>
      <c r="BT19" s="1622">
        <f t="shared" si="30"/>
        <v>504.4</v>
      </c>
      <c r="BU19" s="1622">
        <f t="shared" si="31"/>
        <v>6612.7650000000003</v>
      </c>
      <c r="BX19" s="1624" t="s">
        <v>564</v>
      </c>
      <c r="BY19" s="1622">
        <v>1780119</v>
      </c>
      <c r="BZ19" s="1622">
        <f t="shared" si="32"/>
        <v>1780.1189999999999</v>
      </c>
      <c r="CC19" s="1622" t="s">
        <v>563</v>
      </c>
      <c r="CD19" s="1622">
        <v>7117165</v>
      </c>
      <c r="CE19" s="1622">
        <v>756600</v>
      </c>
      <c r="CF19" s="1622">
        <v>756600</v>
      </c>
      <c r="CG19" s="1622">
        <v>6360565</v>
      </c>
      <c r="CH19" s="1622">
        <f t="shared" si="33"/>
        <v>7117.165</v>
      </c>
      <c r="CI19" s="1622">
        <f t="shared" si="34"/>
        <v>756.6</v>
      </c>
      <c r="CJ19" s="1622">
        <f t="shared" si="35"/>
        <v>756.6</v>
      </c>
      <c r="CK19" s="1622">
        <f t="shared" si="36"/>
        <v>6360.5649999999996</v>
      </c>
      <c r="CN19" s="1624" t="s">
        <v>565</v>
      </c>
      <c r="CO19" s="1622">
        <v>0</v>
      </c>
      <c r="CP19" s="1622">
        <f t="shared" si="37"/>
        <v>0</v>
      </c>
      <c r="CS19" s="1625" t="s">
        <v>563</v>
      </c>
      <c r="CT19" s="891">
        <v>7117165</v>
      </c>
      <c r="CU19" s="891">
        <v>756600</v>
      </c>
      <c r="CV19" s="891">
        <v>756600</v>
      </c>
      <c r="CW19" s="891">
        <v>6360565</v>
      </c>
      <c r="CX19" s="1622">
        <f t="shared" si="38"/>
        <v>7117.165</v>
      </c>
      <c r="CY19" s="1622">
        <f t="shared" si="39"/>
        <v>756.6</v>
      </c>
      <c r="CZ19" s="1622">
        <f t="shared" si="40"/>
        <v>756.6</v>
      </c>
      <c r="DA19" s="1622">
        <f t="shared" si="41"/>
        <v>6360.5649999999996</v>
      </c>
      <c r="DD19" s="1624" t="s">
        <v>360</v>
      </c>
      <c r="DE19" s="1622">
        <v>7367460</v>
      </c>
      <c r="DF19" s="1622">
        <f t="shared" si="42"/>
        <v>7367.46</v>
      </c>
      <c r="DJ19" s="1624" t="s">
        <v>563</v>
      </c>
      <c r="DK19" s="1622">
        <v>7117165</v>
      </c>
      <c r="DL19" s="1622">
        <v>882700</v>
      </c>
      <c r="DM19" s="1622">
        <v>6234465</v>
      </c>
      <c r="DN19" s="1622">
        <v>882700</v>
      </c>
      <c r="DO19" s="1622">
        <f t="shared" si="43"/>
        <v>7117.165</v>
      </c>
      <c r="DP19" s="1622">
        <f t="shared" si="44"/>
        <v>882.7</v>
      </c>
      <c r="DQ19" s="1622">
        <f t="shared" si="45"/>
        <v>6234.4650000000001</v>
      </c>
      <c r="DR19" s="1622">
        <f t="shared" si="46"/>
        <v>882.7</v>
      </c>
      <c r="DV19" s="780" t="s">
        <v>564</v>
      </c>
      <c r="DW19" s="779">
        <v>1954120</v>
      </c>
      <c r="DX19" s="1626">
        <f t="shared" si="47"/>
        <v>1954.12</v>
      </c>
      <c r="EA19" s="780" t="s">
        <v>563</v>
      </c>
      <c r="EB19" s="779">
        <v>7117165</v>
      </c>
      <c r="EC19" s="779">
        <v>1008800</v>
      </c>
      <c r="ED19" s="779">
        <v>1008800</v>
      </c>
      <c r="EE19" s="779">
        <v>6108365</v>
      </c>
      <c r="EF19" s="166">
        <f t="shared" si="48"/>
        <v>7117.165</v>
      </c>
      <c r="EG19" s="166">
        <f t="shared" si="49"/>
        <v>1008.8</v>
      </c>
      <c r="EH19" s="166">
        <f t="shared" si="50"/>
        <v>1008.8</v>
      </c>
      <c r="EI19" s="166">
        <f t="shared" si="51"/>
        <v>6108.3649999999998</v>
      </c>
    </row>
    <row r="20" spans="1:139" ht="15" customHeight="1" x14ac:dyDescent="0.3">
      <c r="A20" s="1625" t="s">
        <v>564</v>
      </c>
      <c r="B20" s="891">
        <v>24241120</v>
      </c>
      <c r="C20" s="891">
        <v>1522957</v>
      </c>
      <c r="D20" s="891">
        <v>22718163</v>
      </c>
      <c r="E20" s="891">
        <v>1522957</v>
      </c>
      <c r="F20" s="891">
        <f t="shared" si="8"/>
        <v>24241.119999999999</v>
      </c>
      <c r="G20" s="891">
        <f t="shared" si="9"/>
        <v>1522.9570000000001</v>
      </c>
      <c r="H20" s="891">
        <f t="shared" si="10"/>
        <v>22718.163</v>
      </c>
      <c r="I20" s="891">
        <f t="shared" si="11"/>
        <v>1522.9570000000001</v>
      </c>
      <c r="L20" s="1625" t="s">
        <v>567</v>
      </c>
      <c r="M20" s="891">
        <v>9889322</v>
      </c>
      <c r="N20" s="891">
        <f t="shared" si="12"/>
        <v>9889.3220000000001</v>
      </c>
      <c r="Q20" s="1625" t="s">
        <v>564</v>
      </c>
      <c r="R20" s="891">
        <v>24241120</v>
      </c>
      <c r="S20" s="891">
        <v>3054029</v>
      </c>
      <c r="T20" s="891">
        <v>21187091</v>
      </c>
      <c r="U20" s="891">
        <v>3054029</v>
      </c>
      <c r="V20" s="1622">
        <f t="shared" si="13"/>
        <v>24241.119999999999</v>
      </c>
      <c r="W20" s="1622">
        <f t="shared" si="14"/>
        <v>3054.029</v>
      </c>
      <c r="X20" s="1622">
        <f t="shared" si="15"/>
        <v>21187.091</v>
      </c>
      <c r="Y20" s="1622">
        <f t="shared" si="16"/>
        <v>3054.029</v>
      </c>
      <c r="AB20" s="1625" t="s">
        <v>565</v>
      </c>
      <c r="AC20" s="891">
        <v>14313438</v>
      </c>
      <c r="AD20" s="1622">
        <f t="shared" si="17"/>
        <v>14313.438</v>
      </c>
      <c r="AG20" s="1625" t="s">
        <v>564</v>
      </c>
      <c r="AH20" s="891">
        <v>24241120</v>
      </c>
      <c r="AI20" s="891">
        <v>4792733</v>
      </c>
      <c r="AJ20" s="891">
        <v>4792733</v>
      </c>
      <c r="AK20" s="891">
        <v>19448387</v>
      </c>
      <c r="AL20" s="1622">
        <f t="shared" si="18"/>
        <v>24241.119999999999</v>
      </c>
      <c r="AM20" s="1622">
        <f t="shared" si="19"/>
        <v>4792.7330000000002</v>
      </c>
      <c r="AN20" s="1622">
        <f t="shared" si="20"/>
        <v>4792.7330000000002</v>
      </c>
      <c r="AO20" s="1622">
        <f t="shared" si="21"/>
        <v>19448.386999999999</v>
      </c>
      <c r="AR20" s="1625" t="s">
        <v>566</v>
      </c>
      <c r="AS20" s="1622">
        <v>0</v>
      </c>
      <c r="AT20" s="1622">
        <f t="shared" si="22"/>
        <v>0</v>
      </c>
      <c r="AW20" s="1625" t="s">
        <v>564</v>
      </c>
      <c r="AX20" s="891">
        <v>24241120</v>
      </c>
      <c r="AY20" s="891">
        <v>6353659</v>
      </c>
      <c r="AZ20" s="891">
        <v>6353659</v>
      </c>
      <c r="BA20" s="891">
        <v>17887461</v>
      </c>
      <c r="BB20" s="1622">
        <f t="shared" si="23"/>
        <v>24241.119999999999</v>
      </c>
      <c r="BC20" s="1622">
        <f t="shared" si="24"/>
        <v>6353.6589999999997</v>
      </c>
      <c r="BD20" s="1622">
        <f t="shared" si="25"/>
        <v>6353.6589999999997</v>
      </c>
      <c r="BE20" s="1622">
        <f t="shared" si="26"/>
        <v>17887.460999999999</v>
      </c>
      <c r="BH20" s="1625" t="s">
        <v>567</v>
      </c>
      <c r="BI20" s="1622">
        <v>9889322</v>
      </c>
      <c r="BJ20" s="1622">
        <f t="shared" si="27"/>
        <v>9889.3220000000001</v>
      </c>
      <c r="BM20" s="1625" t="s">
        <v>564</v>
      </c>
      <c r="BN20" s="1627">
        <v>24241120</v>
      </c>
      <c r="BO20" s="1627">
        <v>7922150</v>
      </c>
      <c r="BP20" s="1627">
        <v>7922150</v>
      </c>
      <c r="BQ20" s="1627">
        <v>16318970</v>
      </c>
      <c r="BR20" s="1622">
        <f t="shared" si="28"/>
        <v>24241.119999999999</v>
      </c>
      <c r="BS20" s="1622">
        <f t="shared" si="29"/>
        <v>7922.15</v>
      </c>
      <c r="BT20" s="1622">
        <f t="shared" si="30"/>
        <v>7922.15</v>
      </c>
      <c r="BU20" s="1622">
        <f t="shared" si="31"/>
        <v>16318.97</v>
      </c>
      <c r="BX20" s="1624" t="s">
        <v>565</v>
      </c>
      <c r="BY20" s="1622">
        <v>14313438</v>
      </c>
      <c r="BZ20" s="1622">
        <f t="shared" si="32"/>
        <v>14313.438</v>
      </c>
      <c r="CC20" s="1622" t="s">
        <v>564</v>
      </c>
      <c r="CD20" s="1622">
        <v>24241120</v>
      </c>
      <c r="CE20" s="1622">
        <v>9702269</v>
      </c>
      <c r="CF20" s="1622">
        <v>9702269</v>
      </c>
      <c r="CG20" s="1622">
        <v>14538851</v>
      </c>
      <c r="CH20" s="1622">
        <f t="shared" si="33"/>
        <v>24241.119999999999</v>
      </c>
      <c r="CI20" s="1622">
        <f t="shared" si="34"/>
        <v>9702.2690000000002</v>
      </c>
      <c r="CJ20" s="1622">
        <f t="shared" si="35"/>
        <v>9702.2690000000002</v>
      </c>
      <c r="CK20" s="1622">
        <f t="shared" si="36"/>
        <v>14538.851000000001</v>
      </c>
      <c r="CN20" s="1624" t="s">
        <v>566</v>
      </c>
      <c r="CO20" s="1622">
        <v>0</v>
      </c>
      <c r="CP20" s="1622">
        <f t="shared" si="37"/>
        <v>0</v>
      </c>
      <c r="CS20" s="1625" t="s">
        <v>564</v>
      </c>
      <c r="CT20" s="891">
        <v>24241120</v>
      </c>
      <c r="CU20" s="891">
        <v>11350510</v>
      </c>
      <c r="CV20" s="891">
        <v>11350510</v>
      </c>
      <c r="CW20" s="891">
        <v>12890610</v>
      </c>
      <c r="CX20" s="1622">
        <f t="shared" si="38"/>
        <v>24241.119999999999</v>
      </c>
      <c r="CY20" s="1622">
        <f t="shared" si="39"/>
        <v>11350.51</v>
      </c>
      <c r="CZ20" s="1622">
        <f t="shared" si="40"/>
        <v>11350.51</v>
      </c>
      <c r="DA20" s="1622">
        <f t="shared" si="41"/>
        <v>12890.61</v>
      </c>
      <c r="DD20" s="1624" t="s">
        <v>567</v>
      </c>
      <c r="DE20" s="1622">
        <v>7155368</v>
      </c>
      <c r="DF20" s="1622">
        <f t="shared" si="42"/>
        <v>7155.3680000000004</v>
      </c>
      <c r="DJ20" s="1624" t="s">
        <v>564</v>
      </c>
      <c r="DK20" s="1622">
        <v>24241120</v>
      </c>
      <c r="DL20" s="1622">
        <v>12945924</v>
      </c>
      <c r="DM20" s="1622">
        <v>11295196</v>
      </c>
      <c r="DN20" s="1622">
        <v>12945924</v>
      </c>
      <c r="DO20" s="1622">
        <f t="shared" si="43"/>
        <v>24241.119999999999</v>
      </c>
      <c r="DP20" s="1622">
        <f t="shared" si="44"/>
        <v>12945.924000000001</v>
      </c>
      <c r="DQ20" s="1622">
        <f t="shared" si="45"/>
        <v>11295.196</v>
      </c>
      <c r="DR20" s="1622">
        <f t="shared" si="46"/>
        <v>12945.924000000001</v>
      </c>
      <c r="DV20" s="780" t="s">
        <v>565</v>
      </c>
      <c r="DW20" s="779">
        <v>14423919</v>
      </c>
      <c r="DX20" s="1626">
        <f t="shared" si="47"/>
        <v>14423.919</v>
      </c>
      <c r="EA20" s="780" t="s">
        <v>564</v>
      </c>
      <c r="EB20" s="779">
        <v>24241120</v>
      </c>
      <c r="EC20" s="779">
        <v>14900044</v>
      </c>
      <c r="ED20" s="779">
        <v>14900044</v>
      </c>
      <c r="EE20" s="779">
        <v>9341076</v>
      </c>
      <c r="EF20" s="166">
        <f t="shared" si="48"/>
        <v>24241.119999999999</v>
      </c>
      <c r="EG20" s="166">
        <f t="shared" si="49"/>
        <v>14900.044</v>
      </c>
      <c r="EH20" s="166">
        <f t="shared" si="50"/>
        <v>14900.044</v>
      </c>
      <c r="EI20" s="166">
        <f t="shared" si="51"/>
        <v>9341.0759999999991</v>
      </c>
    </row>
    <row r="21" spans="1:139" ht="15" customHeight="1" x14ac:dyDescent="0.3">
      <c r="A21" s="1625" t="s">
        <v>565</v>
      </c>
      <c r="B21" s="891">
        <v>73869234</v>
      </c>
      <c r="C21" s="891">
        <v>0</v>
      </c>
      <c r="D21" s="891">
        <v>73869234</v>
      </c>
      <c r="E21" s="891">
        <v>0</v>
      </c>
      <c r="F21" s="891">
        <f t="shared" si="8"/>
        <v>73869.233999999997</v>
      </c>
      <c r="G21" s="891">
        <f t="shared" si="9"/>
        <v>0</v>
      </c>
      <c r="H21" s="891">
        <f t="shared" si="10"/>
        <v>73869.233999999997</v>
      </c>
      <c r="I21" s="891">
        <f t="shared" si="11"/>
        <v>0</v>
      </c>
      <c r="L21" s="1625" t="s">
        <v>568</v>
      </c>
      <c r="M21" s="891">
        <v>29255</v>
      </c>
      <c r="N21" s="891">
        <f t="shared" si="12"/>
        <v>29.254999999999999</v>
      </c>
      <c r="Q21" s="1625" t="s">
        <v>565</v>
      </c>
      <c r="R21" s="891">
        <v>73869234</v>
      </c>
      <c r="S21" s="891">
        <v>0</v>
      </c>
      <c r="T21" s="891">
        <v>73869234</v>
      </c>
      <c r="U21" s="891">
        <v>0</v>
      </c>
      <c r="V21" s="1622">
        <f t="shared" si="13"/>
        <v>73869.233999999997</v>
      </c>
      <c r="W21" s="1622">
        <f t="shared" si="14"/>
        <v>0</v>
      </c>
      <c r="X21" s="1622">
        <f t="shared" si="15"/>
        <v>73869.233999999997</v>
      </c>
      <c r="Y21" s="1622">
        <f t="shared" si="16"/>
        <v>0</v>
      </c>
      <c r="AB21" s="1625" t="s">
        <v>566</v>
      </c>
      <c r="AC21" s="891">
        <v>7218003</v>
      </c>
      <c r="AD21" s="1622">
        <f t="shared" si="17"/>
        <v>7218.0029999999997</v>
      </c>
      <c r="AG21" s="1625" t="s">
        <v>565</v>
      </c>
      <c r="AH21" s="891">
        <v>73869234</v>
      </c>
      <c r="AI21" s="891">
        <v>14313438</v>
      </c>
      <c r="AJ21" s="891">
        <v>14313438</v>
      </c>
      <c r="AK21" s="891">
        <v>59555796</v>
      </c>
      <c r="AL21" s="1622">
        <f t="shared" si="18"/>
        <v>73869.233999999997</v>
      </c>
      <c r="AM21" s="1622">
        <f t="shared" si="19"/>
        <v>14313.438</v>
      </c>
      <c r="AN21" s="1622">
        <f t="shared" si="20"/>
        <v>14313.438</v>
      </c>
      <c r="AO21" s="1622">
        <f t="shared" si="21"/>
        <v>59555.796000000002</v>
      </c>
      <c r="AR21" s="1625" t="s">
        <v>359</v>
      </c>
      <c r="AS21" s="1622">
        <v>0</v>
      </c>
      <c r="AT21" s="1622">
        <f t="shared" si="22"/>
        <v>0</v>
      </c>
      <c r="AW21" s="1625" t="s">
        <v>565</v>
      </c>
      <c r="AX21" s="891">
        <v>73869234</v>
      </c>
      <c r="AY21" s="891">
        <v>14313438</v>
      </c>
      <c r="AZ21" s="891">
        <v>14313438</v>
      </c>
      <c r="BA21" s="891">
        <v>59555796</v>
      </c>
      <c r="BB21" s="1622">
        <f t="shared" si="23"/>
        <v>73869.233999999997</v>
      </c>
      <c r="BC21" s="1622">
        <f t="shared" si="24"/>
        <v>14313.438</v>
      </c>
      <c r="BD21" s="1622">
        <f t="shared" si="25"/>
        <v>14313.438</v>
      </c>
      <c r="BE21" s="1622">
        <f t="shared" si="26"/>
        <v>59555.796000000002</v>
      </c>
      <c r="BH21" s="1625" t="s">
        <v>568</v>
      </c>
      <c r="BI21" s="1622">
        <v>117018</v>
      </c>
      <c r="BJ21" s="1622">
        <f t="shared" si="27"/>
        <v>117.018</v>
      </c>
      <c r="BM21" s="1625" t="s">
        <v>565</v>
      </c>
      <c r="BN21" s="1627">
        <v>73869234</v>
      </c>
      <c r="BO21" s="1627">
        <v>14313438</v>
      </c>
      <c r="BP21" s="1627">
        <v>14313438</v>
      </c>
      <c r="BQ21" s="1627">
        <v>59555796</v>
      </c>
      <c r="BR21" s="1622">
        <f t="shared" si="28"/>
        <v>73869.233999999997</v>
      </c>
      <c r="BS21" s="1622">
        <f t="shared" si="29"/>
        <v>14313.438</v>
      </c>
      <c r="BT21" s="1622">
        <f t="shared" si="30"/>
        <v>14313.438</v>
      </c>
      <c r="BU21" s="1622">
        <f t="shared" si="31"/>
        <v>59555.796000000002</v>
      </c>
      <c r="BX21" s="1624" t="s">
        <v>566</v>
      </c>
      <c r="BY21" s="1622">
        <v>7218003</v>
      </c>
      <c r="BZ21" s="1622">
        <f t="shared" si="32"/>
        <v>7218.0029999999997</v>
      </c>
      <c r="CC21" s="1622" t="s">
        <v>565</v>
      </c>
      <c r="CD21" s="1622">
        <v>73869234</v>
      </c>
      <c r="CE21" s="1622">
        <v>28626876</v>
      </c>
      <c r="CF21" s="1622">
        <v>28626876</v>
      </c>
      <c r="CG21" s="1622">
        <v>45242358</v>
      </c>
      <c r="CH21" s="1622">
        <f t="shared" si="33"/>
        <v>73869.233999999997</v>
      </c>
      <c r="CI21" s="1622">
        <f t="shared" si="34"/>
        <v>28626.876</v>
      </c>
      <c r="CJ21" s="1622">
        <f t="shared" si="35"/>
        <v>28626.876</v>
      </c>
      <c r="CK21" s="1622">
        <f t="shared" si="36"/>
        <v>45242.358</v>
      </c>
      <c r="CN21" s="1624" t="s">
        <v>359</v>
      </c>
      <c r="CO21" s="1622">
        <v>0</v>
      </c>
      <c r="CP21" s="1622">
        <f t="shared" si="37"/>
        <v>0</v>
      </c>
      <c r="CS21" s="1625" t="s">
        <v>565</v>
      </c>
      <c r="CT21" s="891">
        <v>73869234</v>
      </c>
      <c r="CU21" s="891">
        <v>28626876</v>
      </c>
      <c r="CV21" s="891">
        <v>28626876</v>
      </c>
      <c r="CW21" s="891">
        <v>45242358</v>
      </c>
      <c r="CX21" s="1622">
        <f t="shared" si="38"/>
        <v>73869.233999999997</v>
      </c>
      <c r="CY21" s="1622">
        <f t="shared" si="39"/>
        <v>28626.876</v>
      </c>
      <c r="CZ21" s="1622">
        <f t="shared" si="40"/>
        <v>28626.876</v>
      </c>
      <c r="DA21" s="1622">
        <f t="shared" si="41"/>
        <v>45242.358</v>
      </c>
      <c r="DD21" s="1624" t="s">
        <v>568</v>
      </c>
      <c r="DE21" s="1622">
        <v>23404</v>
      </c>
      <c r="DF21" s="1622">
        <f t="shared" si="42"/>
        <v>23.404</v>
      </c>
      <c r="DJ21" s="1624" t="s">
        <v>565</v>
      </c>
      <c r="DK21" s="1622">
        <v>73869234</v>
      </c>
      <c r="DL21" s="1622">
        <v>28626876</v>
      </c>
      <c r="DM21" s="1622">
        <v>45242358</v>
      </c>
      <c r="DN21" s="1622">
        <v>28626876</v>
      </c>
      <c r="DO21" s="1622">
        <f t="shared" si="43"/>
        <v>73869.233999999997</v>
      </c>
      <c r="DP21" s="1622">
        <f t="shared" si="44"/>
        <v>28626.876</v>
      </c>
      <c r="DQ21" s="1622">
        <f t="shared" si="45"/>
        <v>45242.358</v>
      </c>
      <c r="DR21" s="1622">
        <f t="shared" si="46"/>
        <v>28626.876</v>
      </c>
      <c r="DV21" s="780" t="s">
        <v>566</v>
      </c>
      <c r="DW21" s="779">
        <v>7510730</v>
      </c>
      <c r="DX21" s="1626">
        <f t="shared" si="47"/>
        <v>7510.73</v>
      </c>
      <c r="EA21" s="780" t="s">
        <v>565</v>
      </c>
      <c r="EB21" s="779">
        <v>73869234</v>
      </c>
      <c r="EC21" s="779">
        <v>43050795</v>
      </c>
      <c r="ED21" s="779">
        <v>43050795</v>
      </c>
      <c r="EE21" s="779">
        <v>30818439</v>
      </c>
      <c r="EF21" s="166">
        <f t="shared" si="48"/>
        <v>73869.233999999997</v>
      </c>
      <c r="EG21" s="166">
        <f t="shared" si="49"/>
        <v>43050.794999999998</v>
      </c>
      <c r="EH21" s="166">
        <f t="shared" si="50"/>
        <v>43050.794999999998</v>
      </c>
      <c r="EI21" s="166">
        <f t="shared" si="51"/>
        <v>30818.438999999998</v>
      </c>
    </row>
    <row r="22" spans="1:139" ht="15" customHeight="1" x14ac:dyDescent="0.3">
      <c r="A22" s="1625" t="s">
        <v>566</v>
      </c>
      <c r="B22" s="891">
        <v>36552784</v>
      </c>
      <c r="C22" s="891">
        <v>0</v>
      </c>
      <c r="D22" s="891">
        <v>36552784</v>
      </c>
      <c r="E22" s="891">
        <v>0</v>
      </c>
      <c r="F22" s="891">
        <f t="shared" si="8"/>
        <v>36552.784</v>
      </c>
      <c r="G22" s="891">
        <f t="shared" si="9"/>
        <v>0</v>
      </c>
      <c r="H22" s="891">
        <f t="shared" si="10"/>
        <v>36552.784</v>
      </c>
      <c r="I22" s="891">
        <f t="shared" si="11"/>
        <v>0</v>
      </c>
      <c r="L22" s="1625" t="s">
        <v>623</v>
      </c>
      <c r="M22" s="891">
        <v>2311453</v>
      </c>
      <c r="N22" s="891">
        <f t="shared" si="12"/>
        <v>2311.453</v>
      </c>
      <c r="Q22" s="1625" t="s">
        <v>566</v>
      </c>
      <c r="R22" s="891">
        <v>36552784</v>
      </c>
      <c r="S22" s="891">
        <v>0</v>
      </c>
      <c r="T22" s="891">
        <v>36552784</v>
      </c>
      <c r="U22" s="891">
        <v>0</v>
      </c>
      <c r="V22" s="1622">
        <f t="shared" si="13"/>
        <v>36552.784</v>
      </c>
      <c r="W22" s="1622">
        <f t="shared" si="14"/>
        <v>0</v>
      </c>
      <c r="X22" s="1622">
        <f t="shared" si="15"/>
        <v>36552.784</v>
      </c>
      <c r="Y22" s="1622">
        <f t="shared" si="16"/>
        <v>0</v>
      </c>
      <c r="AB22" s="1625" t="s">
        <v>359</v>
      </c>
      <c r="AC22" s="891">
        <v>7095435</v>
      </c>
      <c r="AD22" s="1622">
        <f t="shared" si="17"/>
        <v>7095.4350000000004</v>
      </c>
      <c r="AG22" s="1625" t="s">
        <v>566</v>
      </c>
      <c r="AH22" s="891">
        <v>36552784</v>
      </c>
      <c r="AI22" s="891">
        <v>7218003</v>
      </c>
      <c r="AJ22" s="891">
        <v>7218003</v>
      </c>
      <c r="AK22" s="891">
        <v>29334781</v>
      </c>
      <c r="AL22" s="1622">
        <f t="shared" si="18"/>
        <v>36552.784</v>
      </c>
      <c r="AM22" s="1622">
        <f t="shared" si="19"/>
        <v>7218.0029999999997</v>
      </c>
      <c r="AN22" s="1622">
        <f t="shared" si="20"/>
        <v>7218.0029999999997</v>
      </c>
      <c r="AO22" s="1622">
        <f t="shared" si="21"/>
        <v>29334.780999999999</v>
      </c>
      <c r="AR22" s="1625" t="s">
        <v>360</v>
      </c>
      <c r="AS22" s="1622">
        <v>10513401</v>
      </c>
      <c r="AT22" s="1622">
        <f t="shared" si="22"/>
        <v>10513.401</v>
      </c>
      <c r="AW22" s="1625" t="s">
        <v>566</v>
      </c>
      <c r="AX22" s="891">
        <v>36552784</v>
      </c>
      <c r="AY22" s="891">
        <v>7218003</v>
      </c>
      <c r="AZ22" s="891">
        <v>7218003</v>
      </c>
      <c r="BA22" s="891">
        <v>29334781</v>
      </c>
      <c r="BB22" s="1622">
        <f t="shared" si="23"/>
        <v>36552.784</v>
      </c>
      <c r="BC22" s="1622">
        <f t="shared" si="24"/>
        <v>7218.0029999999997</v>
      </c>
      <c r="BD22" s="1622">
        <f t="shared" si="25"/>
        <v>7218.0029999999997</v>
      </c>
      <c r="BE22" s="1622">
        <f t="shared" si="26"/>
        <v>29334.780999999999</v>
      </c>
      <c r="BH22" s="1625" t="s">
        <v>623</v>
      </c>
      <c r="BI22" s="1622">
        <v>377378</v>
      </c>
      <c r="BJ22" s="1622">
        <f t="shared" si="27"/>
        <v>377.37799999999999</v>
      </c>
      <c r="BM22" s="1625" t="s">
        <v>566</v>
      </c>
      <c r="BN22" s="1627">
        <v>36552784</v>
      </c>
      <c r="BO22" s="1627">
        <v>7218003</v>
      </c>
      <c r="BP22" s="1627">
        <v>7218003</v>
      </c>
      <c r="BQ22" s="1627">
        <v>29334781</v>
      </c>
      <c r="BR22" s="1622">
        <f t="shared" si="28"/>
        <v>36552.784</v>
      </c>
      <c r="BS22" s="1622">
        <f t="shared" si="29"/>
        <v>7218.0029999999997</v>
      </c>
      <c r="BT22" s="1622">
        <f t="shared" si="30"/>
        <v>7218.0029999999997</v>
      </c>
      <c r="BU22" s="1622">
        <f t="shared" si="31"/>
        <v>29334.780999999999</v>
      </c>
      <c r="BX22" s="1624" t="s">
        <v>359</v>
      </c>
      <c r="BY22" s="1622">
        <v>7095435</v>
      </c>
      <c r="BZ22" s="1622">
        <f t="shared" si="32"/>
        <v>7095.4350000000004</v>
      </c>
      <c r="CC22" s="1622" t="s">
        <v>566</v>
      </c>
      <c r="CD22" s="1622">
        <v>36552784</v>
      </c>
      <c r="CE22" s="1622">
        <v>14436006</v>
      </c>
      <c r="CF22" s="1622">
        <v>14436006</v>
      </c>
      <c r="CG22" s="1622">
        <v>22116778</v>
      </c>
      <c r="CH22" s="1622">
        <f t="shared" si="33"/>
        <v>36552.784</v>
      </c>
      <c r="CI22" s="1622">
        <f t="shared" si="34"/>
        <v>14436.005999999999</v>
      </c>
      <c r="CJ22" s="1622">
        <f t="shared" si="35"/>
        <v>14436.005999999999</v>
      </c>
      <c r="CK22" s="1622">
        <f t="shared" si="36"/>
        <v>22116.777999999998</v>
      </c>
      <c r="CN22" s="1624" t="s">
        <v>360</v>
      </c>
      <c r="CO22" s="1622">
        <v>10167970</v>
      </c>
      <c r="CP22" s="1622">
        <f t="shared" si="37"/>
        <v>10167.969999999999</v>
      </c>
      <c r="CS22" s="1625" t="s">
        <v>566</v>
      </c>
      <c r="CT22" s="891">
        <v>36552784</v>
      </c>
      <c r="CU22" s="891">
        <v>14436006</v>
      </c>
      <c r="CV22" s="891">
        <v>14436006</v>
      </c>
      <c r="CW22" s="891">
        <v>22116778</v>
      </c>
      <c r="CX22" s="1622">
        <f t="shared" si="38"/>
        <v>36552.784</v>
      </c>
      <c r="CY22" s="1622">
        <f t="shared" si="39"/>
        <v>14436.005999999999</v>
      </c>
      <c r="CZ22" s="1622">
        <f t="shared" si="40"/>
        <v>14436.005999999999</v>
      </c>
      <c r="DA22" s="1622">
        <f t="shared" si="41"/>
        <v>22116.777999999998</v>
      </c>
      <c r="DD22" s="1624" t="s">
        <v>623</v>
      </c>
      <c r="DE22" s="1622">
        <v>188688</v>
      </c>
      <c r="DF22" s="1622">
        <f t="shared" si="42"/>
        <v>188.68799999999999</v>
      </c>
      <c r="DJ22" s="1624" t="s">
        <v>566</v>
      </c>
      <c r="DK22" s="1622">
        <v>36552784</v>
      </c>
      <c r="DL22" s="1622">
        <v>14436006</v>
      </c>
      <c r="DM22" s="1622">
        <v>22116778</v>
      </c>
      <c r="DN22" s="1622">
        <v>14436006</v>
      </c>
      <c r="DO22" s="1622">
        <f t="shared" si="43"/>
        <v>36552.784</v>
      </c>
      <c r="DP22" s="1622">
        <f t="shared" si="44"/>
        <v>14436.005999999999</v>
      </c>
      <c r="DQ22" s="1622">
        <f t="shared" si="45"/>
        <v>22116.777999999998</v>
      </c>
      <c r="DR22" s="1622">
        <f t="shared" si="46"/>
        <v>14436.005999999999</v>
      </c>
      <c r="DV22" s="780" t="s">
        <v>359</v>
      </c>
      <c r="DW22" s="779">
        <v>6913189</v>
      </c>
      <c r="DX22" s="1626">
        <f t="shared" si="47"/>
        <v>6913.1890000000003</v>
      </c>
      <c r="EA22" s="780" t="s">
        <v>566</v>
      </c>
      <c r="EB22" s="779">
        <v>36552784</v>
      </c>
      <c r="EC22" s="779">
        <v>21946736</v>
      </c>
      <c r="ED22" s="779">
        <v>21946736</v>
      </c>
      <c r="EE22" s="779">
        <v>14606048</v>
      </c>
      <c r="EF22" s="166">
        <f t="shared" si="48"/>
        <v>36552.784</v>
      </c>
      <c r="EG22" s="166">
        <f t="shared" si="49"/>
        <v>21946.736000000001</v>
      </c>
      <c r="EH22" s="166">
        <f t="shared" si="50"/>
        <v>21946.736000000001</v>
      </c>
      <c r="EI22" s="166">
        <f t="shared" si="51"/>
        <v>14606.048000000001</v>
      </c>
    </row>
    <row r="23" spans="1:139" ht="15" customHeight="1" x14ac:dyDescent="0.3">
      <c r="A23" s="1625" t="s">
        <v>359</v>
      </c>
      <c r="B23" s="891">
        <v>37316450</v>
      </c>
      <c r="C23" s="891">
        <v>0</v>
      </c>
      <c r="D23" s="891">
        <v>37316450</v>
      </c>
      <c r="E23" s="891">
        <v>0</v>
      </c>
      <c r="F23" s="891">
        <f t="shared" si="8"/>
        <v>37316.449999999997</v>
      </c>
      <c r="G23" s="891">
        <f t="shared" si="9"/>
        <v>0</v>
      </c>
      <c r="H23" s="891">
        <f t="shared" si="10"/>
        <v>37316.449999999997</v>
      </c>
      <c r="I23" s="891">
        <f t="shared" si="11"/>
        <v>0</v>
      </c>
      <c r="L23" s="1625" t="s">
        <v>364</v>
      </c>
      <c r="M23" s="891">
        <v>1070462609</v>
      </c>
      <c r="N23" s="891">
        <f t="shared" si="12"/>
        <v>1070462.6089999999</v>
      </c>
      <c r="Q23" s="1625" t="s">
        <v>359</v>
      </c>
      <c r="R23" s="891">
        <v>37316450</v>
      </c>
      <c r="S23" s="891">
        <v>0</v>
      </c>
      <c r="T23" s="891">
        <v>37316450</v>
      </c>
      <c r="U23" s="891">
        <v>0</v>
      </c>
      <c r="V23" s="1622">
        <f t="shared" si="13"/>
        <v>37316.449999999997</v>
      </c>
      <c r="W23" s="1622">
        <f t="shared" si="14"/>
        <v>0</v>
      </c>
      <c r="X23" s="1622">
        <f t="shared" si="15"/>
        <v>37316.449999999997</v>
      </c>
      <c r="Y23" s="1622">
        <f t="shared" si="16"/>
        <v>0</v>
      </c>
      <c r="AB23" s="1625" t="s">
        <v>360</v>
      </c>
      <c r="AC23" s="891">
        <v>10464899</v>
      </c>
      <c r="AD23" s="1622">
        <f t="shared" si="17"/>
        <v>10464.898999999999</v>
      </c>
      <c r="AG23" s="1625" t="s">
        <v>359</v>
      </c>
      <c r="AH23" s="891">
        <v>37316450</v>
      </c>
      <c r="AI23" s="891">
        <v>7095435</v>
      </c>
      <c r="AJ23" s="891">
        <v>7095435</v>
      </c>
      <c r="AK23" s="891">
        <v>30221015</v>
      </c>
      <c r="AL23" s="1622">
        <f t="shared" si="18"/>
        <v>37316.449999999997</v>
      </c>
      <c r="AM23" s="1622">
        <f t="shared" si="19"/>
        <v>7095.4350000000004</v>
      </c>
      <c r="AN23" s="1622">
        <f t="shared" si="20"/>
        <v>7095.4350000000004</v>
      </c>
      <c r="AO23" s="1622">
        <f t="shared" si="21"/>
        <v>30221.014999999999</v>
      </c>
      <c r="AR23" s="1625" t="s">
        <v>567</v>
      </c>
      <c r="AS23" s="1622">
        <v>9889322</v>
      </c>
      <c r="AT23" s="1622">
        <f t="shared" si="22"/>
        <v>9889.3220000000001</v>
      </c>
      <c r="AW23" s="1625" t="s">
        <v>359</v>
      </c>
      <c r="AX23" s="891">
        <v>37316450</v>
      </c>
      <c r="AY23" s="891">
        <v>7095435</v>
      </c>
      <c r="AZ23" s="891">
        <v>7095435</v>
      </c>
      <c r="BA23" s="891">
        <v>30221015</v>
      </c>
      <c r="BB23" s="1622">
        <f t="shared" si="23"/>
        <v>37316.449999999997</v>
      </c>
      <c r="BC23" s="1622">
        <f t="shared" si="24"/>
        <v>7095.4350000000004</v>
      </c>
      <c r="BD23" s="1622">
        <f t="shared" si="25"/>
        <v>7095.4350000000004</v>
      </c>
      <c r="BE23" s="1622">
        <f t="shared" si="26"/>
        <v>30221.014999999999</v>
      </c>
      <c r="BH23" s="1625" t="s">
        <v>569</v>
      </c>
      <c r="BI23" s="1622">
        <v>172920</v>
      </c>
      <c r="BJ23" s="1622">
        <f t="shared" si="27"/>
        <v>172.92</v>
      </c>
      <c r="BM23" s="1625" t="s">
        <v>359</v>
      </c>
      <c r="BN23" s="1627">
        <v>37316450</v>
      </c>
      <c r="BO23" s="1627">
        <v>7095435</v>
      </c>
      <c r="BP23" s="1627">
        <v>7095435</v>
      </c>
      <c r="BQ23" s="1627">
        <v>30221015</v>
      </c>
      <c r="BR23" s="1622">
        <f t="shared" si="28"/>
        <v>37316.449999999997</v>
      </c>
      <c r="BS23" s="1622">
        <f t="shared" si="29"/>
        <v>7095.4350000000004</v>
      </c>
      <c r="BT23" s="1622">
        <f t="shared" si="30"/>
        <v>7095.4350000000004</v>
      </c>
      <c r="BU23" s="1622">
        <f t="shared" si="31"/>
        <v>30221.014999999999</v>
      </c>
      <c r="BX23" s="1624" t="s">
        <v>360</v>
      </c>
      <c r="BY23" s="1622">
        <v>10332889</v>
      </c>
      <c r="BZ23" s="1622">
        <f t="shared" si="32"/>
        <v>10332.888999999999</v>
      </c>
      <c r="CC23" s="1622" t="s">
        <v>359</v>
      </c>
      <c r="CD23" s="1622">
        <v>37316450</v>
      </c>
      <c r="CE23" s="1622">
        <v>14190870</v>
      </c>
      <c r="CF23" s="1622">
        <v>14190870</v>
      </c>
      <c r="CG23" s="1622">
        <v>23125580</v>
      </c>
      <c r="CH23" s="1622">
        <f t="shared" si="33"/>
        <v>37316.449999999997</v>
      </c>
      <c r="CI23" s="1622">
        <f t="shared" si="34"/>
        <v>14190.87</v>
      </c>
      <c r="CJ23" s="1622">
        <f t="shared" si="35"/>
        <v>14190.87</v>
      </c>
      <c r="CK23" s="1622">
        <f t="shared" si="36"/>
        <v>23125.58</v>
      </c>
      <c r="CN23" s="1624" t="s">
        <v>567</v>
      </c>
      <c r="CO23" s="1622">
        <v>9889322</v>
      </c>
      <c r="CP23" s="1622">
        <f t="shared" si="37"/>
        <v>9889.3220000000001</v>
      </c>
      <c r="CS23" s="1625" t="s">
        <v>359</v>
      </c>
      <c r="CT23" s="891">
        <v>37316450</v>
      </c>
      <c r="CU23" s="891">
        <v>14190870</v>
      </c>
      <c r="CV23" s="891">
        <v>14190870</v>
      </c>
      <c r="CW23" s="891">
        <v>23125580</v>
      </c>
      <c r="CX23" s="1622">
        <f t="shared" si="38"/>
        <v>37316.449999999997</v>
      </c>
      <c r="CY23" s="1622">
        <f t="shared" si="39"/>
        <v>14190.87</v>
      </c>
      <c r="CZ23" s="1622">
        <f t="shared" si="40"/>
        <v>14190.87</v>
      </c>
      <c r="DA23" s="1622">
        <f t="shared" si="41"/>
        <v>23125.58</v>
      </c>
      <c r="DD23" s="1624" t="s">
        <v>364</v>
      </c>
      <c r="DE23" s="1622">
        <v>1086045718</v>
      </c>
      <c r="DF23" s="1622">
        <f t="shared" si="42"/>
        <v>1086045.7180000001</v>
      </c>
      <c r="DJ23" s="1624" t="s">
        <v>359</v>
      </c>
      <c r="DK23" s="1622">
        <v>37316450</v>
      </c>
      <c r="DL23" s="1622">
        <v>14190870</v>
      </c>
      <c r="DM23" s="1622">
        <v>23125580</v>
      </c>
      <c r="DN23" s="1622">
        <v>14190870</v>
      </c>
      <c r="DO23" s="1622">
        <f t="shared" si="43"/>
        <v>37316.449999999997</v>
      </c>
      <c r="DP23" s="1622">
        <f t="shared" si="44"/>
        <v>14190.87</v>
      </c>
      <c r="DQ23" s="1622">
        <f t="shared" si="45"/>
        <v>23125.58</v>
      </c>
      <c r="DR23" s="1622">
        <f t="shared" si="46"/>
        <v>14190.87</v>
      </c>
      <c r="DV23" s="780" t="s">
        <v>360</v>
      </c>
      <c r="DW23" s="779">
        <v>13660732</v>
      </c>
      <c r="DX23" s="1626">
        <f t="shared" si="47"/>
        <v>13660.732</v>
      </c>
      <c r="EA23" s="780" t="s">
        <v>359</v>
      </c>
      <c r="EB23" s="779">
        <v>37316450</v>
      </c>
      <c r="EC23" s="779">
        <v>21104059</v>
      </c>
      <c r="ED23" s="779">
        <v>21104059</v>
      </c>
      <c r="EE23" s="779">
        <v>16212391</v>
      </c>
      <c r="EF23" s="166">
        <f t="shared" si="48"/>
        <v>37316.449999999997</v>
      </c>
      <c r="EG23" s="166">
        <f t="shared" si="49"/>
        <v>21104.059000000001</v>
      </c>
      <c r="EH23" s="166">
        <f t="shared" si="50"/>
        <v>21104.059000000001</v>
      </c>
      <c r="EI23" s="166">
        <f t="shared" si="51"/>
        <v>16212.391</v>
      </c>
    </row>
    <row r="24" spans="1:139" ht="15" customHeight="1" x14ac:dyDescent="0.3">
      <c r="A24" s="1625" t="s">
        <v>360</v>
      </c>
      <c r="B24" s="891">
        <v>206697507</v>
      </c>
      <c r="C24" s="891">
        <v>10392494</v>
      </c>
      <c r="D24" s="891">
        <v>196305013</v>
      </c>
      <c r="E24" s="891">
        <v>10392494</v>
      </c>
      <c r="F24" s="891">
        <f t="shared" si="8"/>
        <v>206697.50700000001</v>
      </c>
      <c r="G24" s="891">
        <f t="shared" si="9"/>
        <v>10392.494000000001</v>
      </c>
      <c r="H24" s="891">
        <f t="shared" si="10"/>
        <v>196305.01300000001</v>
      </c>
      <c r="I24" s="891">
        <f t="shared" si="11"/>
        <v>10392.494000000001</v>
      </c>
      <c r="L24" s="1625" t="s">
        <v>365</v>
      </c>
      <c r="M24" s="891">
        <v>988181991</v>
      </c>
      <c r="N24" s="891">
        <f t="shared" si="12"/>
        <v>988181.99100000004</v>
      </c>
      <c r="Q24" s="1625" t="s">
        <v>360</v>
      </c>
      <c r="R24" s="891">
        <v>206497506</v>
      </c>
      <c r="S24" s="891">
        <v>22622524</v>
      </c>
      <c r="T24" s="891">
        <v>183874982</v>
      </c>
      <c r="U24" s="891">
        <v>22622524</v>
      </c>
      <c r="V24" s="1622">
        <f t="shared" si="13"/>
        <v>206497.50599999999</v>
      </c>
      <c r="W24" s="1622">
        <f t="shared" si="14"/>
        <v>22622.524000000001</v>
      </c>
      <c r="X24" s="1622">
        <f t="shared" si="15"/>
        <v>183874.98199999999</v>
      </c>
      <c r="Y24" s="1622">
        <f t="shared" si="16"/>
        <v>22622.524000000001</v>
      </c>
      <c r="AB24" s="1625" t="s">
        <v>567</v>
      </c>
      <c r="AC24" s="891">
        <v>9889322</v>
      </c>
      <c r="AD24" s="1622">
        <f t="shared" si="17"/>
        <v>9889.3220000000001</v>
      </c>
      <c r="AG24" s="1625" t="s">
        <v>360</v>
      </c>
      <c r="AH24" s="891">
        <v>206197506</v>
      </c>
      <c r="AI24" s="891">
        <v>33087423</v>
      </c>
      <c r="AJ24" s="891">
        <v>33087423</v>
      </c>
      <c r="AK24" s="891">
        <v>173110083</v>
      </c>
      <c r="AL24" s="1622">
        <f t="shared" si="18"/>
        <v>206197.50599999999</v>
      </c>
      <c r="AM24" s="1622">
        <f t="shared" si="19"/>
        <v>33087.423000000003</v>
      </c>
      <c r="AN24" s="1622">
        <f t="shared" si="20"/>
        <v>33087.423000000003</v>
      </c>
      <c r="AO24" s="1622">
        <f t="shared" si="21"/>
        <v>173110.08300000001</v>
      </c>
      <c r="AR24" s="1625" t="s">
        <v>568</v>
      </c>
      <c r="AS24" s="1622">
        <v>152357</v>
      </c>
      <c r="AT24" s="1622">
        <f t="shared" si="22"/>
        <v>152.357</v>
      </c>
      <c r="AW24" s="1625" t="s">
        <v>360</v>
      </c>
      <c r="AX24" s="891">
        <v>204715160</v>
      </c>
      <c r="AY24" s="891">
        <v>43600824</v>
      </c>
      <c r="AZ24" s="891">
        <v>43600824</v>
      </c>
      <c r="BA24" s="891">
        <v>161114336</v>
      </c>
      <c r="BB24" s="1622">
        <f t="shared" si="23"/>
        <v>204715.16</v>
      </c>
      <c r="BC24" s="1622">
        <f t="shared" si="24"/>
        <v>43600.824000000001</v>
      </c>
      <c r="BD24" s="1622">
        <f t="shared" si="25"/>
        <v>43600.824000000001</v>
      </c>
      <c r="BE24" s="1622">
        <f t="shared" si="26"/>
        <v>161114.33600000001</v>
      </c>
      <c r="BH24" s="1625" t="s">
        <v>364</v>
      </c>
      <c r="BI24" s="1622">
        <v>1060147106</v>
      </c>
      <c r="BJ24" s="1622">
        <f t="shared" si="27"/>
        <v>1060147.1059999999</v>
      </c>
      <c r="BM24" s="1625" t="s">
        <v>360</v>
      </c>
      <c r="BN24" s="1627">
        <v>202088225</v>
      </c>
      <c r="BO24" s="1627">
        <v>54157462</v>
      </c>
      <c r="BP24" s="1627">
        <v>54157462</v>
      </c>
      <c r="BQ24" s="1627">
        <v>147930763</v>
      </c>
      <c r="BR24" s="1622">
        <f t="shared" si="28"/>
        <v>202088.22500000001</v>
      </c>
      <c r="BS24" s="1622">
        <f t="shared" si="29"/>
        <v>54157.462</v>
      </c>
      <c r="BT24" s="1622">
        <f t="shared" si="30"/>
        <v>54157.462</v>
      </c>
      <c r="BU24" s="1622">
        <f t="shared" si="31"/>
        <v>147930.76300000001</v>
      </c>
      <c r="BX24" s="1624" t="s">
        <v>567</v>
      </c>
      <c r="BY24" s="1622">
        <v>9889322</v>
      </c>
      <c r="BZ24" s="1622">
        <f t="shared" si="32"/>
        <v>9889.3220000000001</v>
      </c>
      <c r="CC24" s="1622" t="s">
        <v>360</v>
      </c>
      <c r="CD24" s="1622">
        <v>207207569</v>
      </c>
      <c r="CE24" s="1622">
        <v>64490351</v>
      </c>
      <c r="CF24" s="1622">
        <v>64490351</v>
      </c>
      <c r="CG24" s="1622">
        <v>142717218</v>
      </c>
      <c r="CH24" s="1622">
        <f t="shared" si="33"/>
        <v>207207.56899999999</v>
      </c>
      <c r="CI24" s="1622">
        <f t="shared" si="34"/>
        <v>64490.351000000002</v>
      </c>
      <c r="CJ24" s="1622">
        <f t="shared" si="35"/>
        <v>64490.351000000002</v>
      </c>
      <c r="CK24" s="1622">
        <f t="shared" si="36"/>
        <v>142717.21799999999</v>
      </c>
      <c r="CN24" s="1624" t="s">
        <v>568</v>
      </c>
      <c r="CO24" s="1622">
        <v>58510</v>
      </c>
      <c r="CP24" s="1622">
        <f t="shared" si="37"/>
        <v>58.51</v>
      </c>
      <c r="CS24" s="1625" t="s">
        <v>360</v>
      </c>
      <c r="CT24" s="891">
        <v>207207569</v>
      </c>
      <c r="CU24" s="891">
        <v>74658321</v>
      </c>
      <c r="CV24" s="891">
        <v>74658321</v>
      </c>
      <c r="CW24" s="891">
        <v>132549248</v>
      </c>
      <c r="CX24" s="1622">
        <f t="shared" si="38"/>
        <v>207207.56899999999</v>
      </c>
      <c r="CY24" s="1622">
        <f t="shared" si="39"/>
        <v>74658.320999999996</v>
      </c>
      <c r="CZ24" s="1622">
        <f t="shared" si="40"/>
        <v>74658.320999999996</v>
      </c>
      <c r="DA24" s="1622">
        <f t="shared" si="41"/>
        <v>132549.24799999999</v>
      </c>
      <c r="DD24" s="1624" t="s">
        <v>365</v>
      </c>
      <c r="DE24" s="1622">
        <v>1006679133</v>
      </c>
      <c r="DF24" s="1622">
        <f t="shared" si="42"/>
        <v>1006679.133</v>
      </c>
      <c r="DJ24" s="1624" t="s">
        <v>360</v>
      </c>
      <c r="DK24" s="1622">
        <v>207207569</v>
      </c>
      <c r="DL24" s="1622">
        <v>82025781</v>
      </c>
      <c r="DM24" s="1622">
        <v>125181788</v>
      </c>
      <c r="DN24" s="1622">
        <v>82025781</v>
      </c>
      <c r="DO24" s="1622">
        <f t="shared" si="43"/>
        <v>207207.56899999999</v>
      </c>
      <c r="DP24" s="1622">
        <f t="shared" si="44"/>
        <v>82025.781000000003</v>
      </c>
      <c r="DQ24" s="1622">
        <f t="shared" si="45"/>
        <v>125181.788</v>
      </c>
      <c r="DR24" s="1622">
        <f t="shared" si="46"/>
        <v>82025.781000000003</v>
      </c>
      <c r="DV24" s="780" t="s">
        <v>567</v>
      </c>
      <c r="DW24" s="779">
        <v>13126112</v>
      </c>
      <c r="DX24" s="1626">
        <f t="shared" si="47"/>
        <v>13126.111999999999</v>
      </c>
      <c r="EA24" s="780" t="s">
        <v>360</v>
      </c>
      <c r="EB24" s="779">
        <v>207207569</v>
      </c>
      <c r="EC24" s="779">
        <v>95686513</v>
      </c>
      <c r="ED24" s="779">
        <v>95686513</v>
      </c>
      <c r="EE24" s="779">
        <v>111521056</v>
      </c>
      <c r="EF24" s="166">
        <f t="shared" si="48"/>
        <v>207207.56899999999</v>
      </c>
      <c r="EG24" s="166">
        <f t="shared" si="49"/>
        <v>95686.513000000006</v>
      </c>
      <c r="EH24" s="166">
        <f t="shared" si="50"/>
        <v>95686.513000000006</v>
      </c>
      <c r="EI24" s="166">
        <f t="shared" si="51"/>
        <v>111521.056</v>
      </c>
    </row>
    <row r="25" spans="1:139" ht="15" customHeight="1" x14ac:dyDescent="0.3">
      <c r="A25" s="1625" t="s">
        <v>567</v>
      </c>
      <c r="B25" s="891">
        <v>187398500</v>
      </c>
      <c r="C25" s="891">
        <v>9889322</v>
      </c>
      <c r="D25" s="891">
        <v>177509178</v>
      </c>
      <c r="E25" s="891">
        <v>9889322</v>
      </c>
      <c r="F25" s="891">
        <f t="shared" si="8"/>
        <v>187398.5</v>
      </c>
      <c r="G25" s="891">
        <f t="shared" si="9"/>
        <v>9889.3220000000001</v>
      </c>
      <c r="H25" s="891">
        <f t="shared" si="10"/>
        <v>177509.17800000001</v>
      </c>
      <c r="I25" s="891">
        <f t="shared" si="11"/>
        <v>9889.3220000000001</v>
      </c>
      <c r="L25" s="1625" t="s">
        <v>366</v>
      </c>
      <c r="M25" s="891">
        <v>234821625</v>
      </c>
      <c r="N25" s="891">
        <f t="shared" si="12"/>
        <v>234821.625</v>
      </c>
      <c r="Q25" s="1625" t="s">
        <v>567</v>
      </c>
      <c r="R25" s="891">
        <v>187398500</v>
      </c>
      <c r="S25" s="891">
        <v>19778644</v>
      </c>
      <c r="T25" s="891">
        <v>167619856</v>
      </c>
      <c r="U25" s="891">
        <v>19778644</v>
      </c>
      <c r="V25" s="1622">
        <f t="shared" si="13"/>
        <v>187398.5</v>
      </c>
      <c r="W25" s="1622">
        <f t="shared" si="14"/>
        <v>19778.644</v>
      </c>
      <c r="X25" s="1622">
        <f t="shared" si="15"/>
        <v>167619.856</v>
      </c>
      <c r="Y25" s="1622">
        <f t="shared" si="16"/>
        <v>19778.644</v>
      </c>
      <c r="AB25" s="1625" t="s">
        <v>568</v>
      </c>
      <c r="AC25" s="891">
        <v>40957</v>
      </c>
      <c r="AD25" s="1622">
        <f t="shared" si="17"/>
        <v>40.957000000000001</v>
      </c>
      <c r="AG25" s="1625" t="s">
        <v>567</v>
      </c>
      <c r="AH25" s="891">
        <v>187398500</v>
      </c>
      <c r="AI25" s="891">
        <v>29667966</v>
      </c>
      <c r="AJ25" s="891">
        <v>29667966</v>
      </c>
      <c r="AK25" s="891">
        <v>157730534</v>
      </c>
      <c r="AL25" s="1622">
        <f t="shared" si="18"/>
        <v>187398.5</v>
      </c>
      <c r="AM25" s="1622">
        <f t="shared" si="19"/>
        <v>29667.966</v>
      </c>
      <c r="AN25" s="1622">
        <f t="shared" si="20"/>
        <v>29667.966</v>
      </c>
      <c r="AO25" s="1622">
        <f t="shared" si="21"/>
        <v>157730.53400000001</v>
      </c>
      <c r="AR25" s="1625" t="s">
        <v>623</v>
      </c>
      <c r="AS25" s="1622">
        <v>471722</v>
      </c>
      <c r="AT25" s="1622">
        <f t="shared" si="22"/>
        <v>471.72199999999998</v>
      </c>
      <c r="AW25" s="1625" t="s">
        <v>567</v>
      </c>
      <c r="AX25" s="891">
        <v>187398500</v>
      </c>
      <c r="AY25" s="891">
        <v>39557288</v>
      </c>
      <c r="AZ25" s="891">
        <v>39557288</v>
      </c>
      <c r="BA25" s="891">
        <v>147841212</v>
      </c>
      <c r="BB25" s="1622">
        <f t="shared" si="23"/>
        <v>187398.5</v>
      </c>
      <c r="BC25" s="1622">
        <f t="shared" si="24"/>
        <v>39557.288</v>
      </c>
      <c r="BD25" s="1622">
        <f t="shared" si="25"/>
        <v>39557.288</v>
      </c>
      <c r="BE25" s="1622">
        <f t="shared" si="26"/>
        <v>147841.212</v>
      </c>
      <c r="BH25" s="1625" t="s">
        <v>365</v>
      </c>
      <c r="BI25" s="1622">
        <v>984029155</v>
      </c>
      <c r="BJ25" s="1622">
        <f t="shared" si="27"/>
        <v>984029.15500000003</v>
      </c>
      <c r="BM25" s="1625" t="s">
        <v>567</v>
      </c>
      <c r="BN25" s="1627">
        <v>187398500</v>
      </c>
      <c r="BO25" s="1627">
        <v>49446610</v>
      </c>
      <c r="BP25" s="1627">
        <v>49446610</v>
      </c>
      <c r="BQ25" s="1627">
        <v>137951890</v>
      </c>
      <c r="BR25" s="1622">
        <f t="shared" si="28"/>
        <v>187398.5</v>
      </c>
      <c r="BS25" s="1622">
        <f t="shared" si="29"/>
        <v>49446.61</v>
      </c>
      <c r="BT25" s="1622">
        <f t="shared" si="30"/>
        <v>49446.61</v>
      </c>
      <c r="BU25" s="1622">
        <f t="shared" si="31"/>
        <v>137951.89000000001</v>
      </c>
      <c r="BX25" s="1624" t="s">
        <v>568</v>
      </c>
      <c r="BY25" s="1622">
        <v>81914</v>
      </c>
      <c r="BZ25" s="1622">
        <f t="shared" si="32"/>
        <v>81.914000000000001</v>
      </c>
      <c r="CC25" s="1622" t="s">
        <v>567</v>
      </c>
      <c r="CD25" s="1622">
        <v>187398500</v>
      </c>
      <c r="CE25" s="1622">
        <v>59335932</v>
      </c>
      <c r="CF25" s="1622">
        <v>59335932</v>
      </c>
      <c r="CG25" s="1622">
        <v>128062568</v>
      </c>
      <c r="CH25" s="1622">
        <f t="shared" si="33"/>
        <v>187398.5</v>
      </c>
      <c r="CI25" s="1622">
        <f t="shared" si="34"/>
        <v>59335.932000000001</v>
      </c>
      <c r="CJ25" s="1622">
        <f t="shared" si="35"/>
        <v>59335.932000000001</v>
      </c>
      <c r="CK25" s="1622">
        <f t="shared" si="36"/>
        <v>128062.568</v>
      </c>
      <c r="CN25" s="1624" t="s">
        <v>623</v>
      </c>
      <c r="CO25" s="1622">
        <v>220138</v>
      </c>
      <c r="CP25" s="1622">
        <f t="shared" si="37"/>
        <v>220.13800000000001</v>
      </c>
      <c r="CS25" s="1625" t="s">
        <v>567</v>
      </c>
      <c r="CT25" s="891">
        <v>187398500</v>
      </c>
      <c r="CU25" s="891">
        <v>69225254</v>
      </c>
      <c r="CV25" s="891">
        <v>69225254</v>
      </c>
      <c r="CW25" s="891">
        <v>118173246</v>
      </c>
      <c r="CX25" s="1622">
        <f t="shared" si="38"/>
        <v>187398.5</v>
      </c>
      <c r="CY25" s="1622">
        <f t="shared" si="39"/>
        <v>69225.254000000001</v>
      </c>
      <c r="CZ25" s="1622">
        <f t="shared" si="40"/>
        <v>69225.254000000001</v>
      </c>
      <c r="DA25" s="1622">
        <f t="shared" si="41"/>
        <v>118173.246</v>
      </c>
      <c r="DD25" s="1624" t="s">
        <v>366</v>
      </c>
      <c r="DE25" s="1622">
        <v>238879850</v>
      </c>
      <c r="DF25" s="1622">
        <f t="shared" si="42"/>
        <v>238879.85</v>
      </c>
      <c r="DJ25" s="1624" t="s">
        <v>567</v>
      </c>
      <c r="DK25" s="1622">
        <v>187398500</v>
      </c>
      <c r="DL25" s="1622">
        <v>76380622</v>
      </c>
      <c r="DM25" s="1622">
        <v>111017878</v>
      </c>
      <c r="DN25" s="1622">
        <v>76380622</v>
      </c>
      <c r="DO25" s="1622">
        <f t="shared" si="43"/>
        <v>187398.5</v>
      </c>
      <c r="DP25" s="1622">
        <f t="shared" si="44"/>
        <v>76380.622000000003</v>
      </c>
      <c r="DQ25" s="1622">
        <f t="shared" si="45"/>
        <v>111017.878</v>
      </c>
      <c r="DR25" s="1622">
        <f t="shared" si="46"/>
        <v>76380.622000000003</v>
      </c>
      <c r="DV25" s="780" t="s">
        <v>568</v>
      </c>
      <c r="DW25" s="779">
        <v>0</v>
      </c>
      <c r="DX25" s="1626">
        <f t="shared" si="47"/>
        <v>0</v>
      </c>
      <c r="EA25" s="780" t="s">
        <v>567</v>
      </c>
      <c r="EB25" s="779">
        <v>187398500</v>
      </c>
      <c r="EC25" s="779">
        <v>89506734</v>
      </c>
      <c r="ED25" s="779">
        <v>89506734</v>
      </c>
      <c r="EE25" s="779">
        <v>97891766</v>
      </c>
      <c r="EF25" s="166">
        <f t="shared" si="48"/>
        <v>187398.5</v>
      </c>
      <c r="EG25" s="166">
        <f t="shared" si="49"/>
        <v>89506.733999999997</v>
      </c>
      <c r="EH25" s="166">
        <f t="shared" si="50"/>
        <v>89506.733999999997</v>
      </c>
      <c r="EI25" s="166">
        <f t="shared" si="51"/>
        <v>97891.766000000003</v>
      </c>
    </row>
    <row r="26" spans="1:139" ht="15" customHeight="1" x14ac:dyDescent="0.3">
      <c r="A26" s="1625" t="s">
        <v>568</v>
      </c>
      <c r="B26" s="891">
        <v>7599000</v>
      </c>
      <c r="C26" s="891">
        <v>0</v>
      </c>
      <c r="D26" s="891">
        <v>7599000</v>
      </c>
      <c r="E26" s="891">
        <v>0</v>
      </c>
      <c r="F26" s="891">
        <f t="shared" si="8"/>
        <v>7599</v>
      </c>
      <c r="G26" s="891">
        <f t="shared" si="9"/>
        <v>0</v>
      </c>
      <c r="H26" s="891">
        <f t="shared" si="10"/>
        <v>7599</v>
      </c>
      <c r="I26" s="891">
        <f t="shared" si="11"/>
        <v>0</v>
      </c>
      <c r="L26" s="1625" t="s">
        <v>570</v>
      </c>
      <c r="M26" s="891">
        <v>9990594</v>
      </c>
      <c r="N26" s="891">
        <f t="shared" si="12"/>
        <v>9990.5939999999991</v>
      </c>
      <c r="Q26" s="1625" t="s">
        <v>568</v>
      </c>
      <c r="R26" s="891">
        <v>7599000</v>
      </c>
      <c r="S26" s="891">
        <v>29255</v>
      </c>
      <c r="T26" s="891">
        <v>7569745</v>
      </c>
      <c r="U26" s="891">
        <v>29255</v>
      </c>
      <c r="V26" s="1622">
        <f t="shared" si="13"/>
        <v>7599</v>
      </c>
      <c r="W26" s="1622">
        <f t="shared" si="14"/>
        <v>29.254999999999999</v>
      </c>
      <c r="X26" s="1622">
        <f t="shared" si="15"/>
        <v>7569.7449999999999</v>
      </c>
      <c r="Y26" s="1622">
        <f t="shared" si="16"/>
        <v>29.254999999999999</v>
      </c>
      <c r="AB26" s="1625" t="s">
        <v>623</v>
      </c>
      <c r="AC26" s="891">
        <v>534620</v>
      </c>
      <c r="AD26" s="1622">
        <f t="shared" si="17"/>
        <v>534.62</v>
      </c>
      <c r="AG26" s="1625" t="s">
        <v>568</v>
      </c>
      <c r="AH26" s="891">
        <v>7599000</v>
      </c>
      <c r="AI26" s="891">
        <v>70212</v>
      </c>
      <c r="AJ26" s="891">
        <v>70212</v>
      </c>
      <c r="AK26" s="891">
        <v>7528788</v>
      </c>
      <c r="AL26" s="1622">
        <f t="shared" si="18"/>
        <v>7599</v>
      </c>
      <c r="AM26" s="1622">
        <f t="shared" si="19"/>
        <v>70.212000000000003</v>
      </c>
      <c r="AN26" s="1622">
        <f t="shared" si="20"/>
        <v>70.212000000000003</v>
      </c>
      <c r="AO26" s="1622">
        <f t="shared" si="21"/>
        <v>7528.7879999999996</v>
      </c>
      <c r="AR26" s="1625" t="s">
        <v>361</v>
      </c>
      <c r="AS26" s="1622">
        <v>0</v>
      </c>
      <c r="AT26" s="1622">
        <f t="shared" si="22"/>
        <v>0</v>
      </c>
      <c r="AW26" s="1625" t="s">
        <v>568</v>
      </c>
      <c r="AX26" s="891">
        <v>7599000</v>
      </c>
      <c r="AY26" s="891">
        <v>222569</v>
      </c>
      <c r="AZ26" s="891">
        <v>222569</v>
      </c>
      <c r="BA26" s="891">
        <v>7376431</v>
      </c>
      <c r="BB26" s="1622">
        <f t="shared" si="23"/>
        <v>7599</v>
      </c>
      <c r="BC26" s="1622">
        <f t="shared" si="24"/>
        <v>222.56899999999999</v>
      </c>
      <c r="BD26" s="1622">
        <f t="shared" si="25"/>
        <v>222.56899999999999</v>
      </c>
      <c r="BE26" s="1622">
        <f t="shared" si="26"/>
        <v>7376.4309999999996</v>
      </c>
      <c r="BH26" s="1625" t="s">
        <v>366</v>
      </c>
      <c r="BI26" s="1622">
        <v>234249683</v>
      </c>
      <c r="BJ26" s="1622">
        <f t="shared" si="27"/>
        <v>234249.68299999999</v>
      </c>
      <c r="BM26" s="1625" t="s">
        <v>568</v>
      </c>
      <c r="BN26" s="1627">
        <v>7599000</v>
      </c>
      <c r="BO26" s="1627">
        <v>339587</v>
      </c>
      <c r="BP26" s="1627">
        <v>339587</v>
      </c>
      <c r="BQ26" s="1627">
        <v>7259413</v>
      </c>
      <c r="BR26" s="1622">
        <f t="shared" si="28"/>
        <v>7599</v>
      </c>
      <c r="BS26" s="1622">
        <f t="shared" si="29"/>
        <v>339.58699999999999</v>
      </c>
      <c r="BT26" s="1622">
        <f t="shared" si="30"/>
        <v>339.58699999999999</v>
      </c>
      <c r="BU26" s="1622">
        <f t="shared" si="31"/>
        <v>7259.4129999999996</v>
      </c>
      <c r="BX26" s="1624" t="s">
        <v>623</v>
      </c>
      <c r="BY26" s="1622">
        <v>361653</v>
      </c>
      <c r="BZ26" s="1622">
        <f t="shared" si="32"/>
        <v>361.65300000000002</v>
      </c>
      <c r="CC26" s="1622" t="s">
        <v>568</v>
      </c>
      <c r="CD26" s="1622">
        <v>7599000</v>
      </c>
      <c r="CE26" s="1622">
        <v>421501</v>
      </c>
      <c r="CF26" s="1622">
        <v>421501</v>
      </c>
      <c r="CG26" s="1622">
        <v>7177499</v>
      </c>
      <c r="CH26" s="1622">
        <f t="shared" si="33"/>
        <v>7599</v>
      </c>
      <c r="CI26" s="1622">
        <f t="shared" si="34"/>
        <v>421.50099999999998</v>
      </c>
      <c r="CJ26" s="1622">
        <f t="shared" si="35"/>
        <v>421.50099999999998</v>
      </c>
      <c r="CK26" s="1622">
        <f t="shared" si="36"/>
        <v>7177.4989999999998</v>
      </c>
      <c r="CN26" s="1624" t="s">
        <v>361</v>
      </c>
      <c r="CO26" s="1622">
        <v>0</v>
      </c>
      <c r="CP26" s="1622">
        <f t="shared" si="37"/>
        <v>0</v>
      </c>
      <c r="CS26" s="1625" t="s">
        <v>568</v>
      </c>
      <c r="CT26" s="891">
        <v>7599000</v>
      </c>
      <c r="CU26" s="891">
        <v>480011</v>
      </c>
      <c r="CV26" s="891">
        <v>480011</v>
      </c>
      <c r="CW26" s="891">
        <v>7118989</v>
      </c>
      <c r="CX26" s="1622">
        <f t="shared" si="38"/>
        <v>7599</v>
      </c>
      <c r="CY26" s="1622">
        <f t="shared" si="39"/>
        <v>480.01100000000002</v>
      </c>
      <c r="CZ26" s="1622">
        <f t="shared" si="40"/>
        <v>480.01100000000002</v>
      </c>
      <c r="DA26" s="1622">
        <f t="shared" si="41"/>
        <v>7118.9889999999996</v>
      </c>
      <c r="DD26" s="1624" t="s">
        <v>570</v>
      </c>
      <c r="DE26" s="1622">
        <v>10722942</v>
      </c>
      <c r="DF26" s="1622">
        <f t="shared" si="42"/>
        <v>10722.941999999999</v>
      </c>
      <c r="DJ26" s="1624" t="s">
        <v>568</v>
      </c>
      <c r="DK26" s="1622">
        <v>7599000</v>
      </c>
      <c r="DL26" s="1622">
        <v>503415</v>
      </c>
      <c r="DM26" s="1622">
        <v>7095585</v>
      </c>
      <c r="DN26" s="1622">
        <v>503415</v>
      </c>
      <c r="DO26" s="1622">
        <f t="shared" si="43"/>
        <v>7599</v>
      </c>
      <c r="DP26" s="1622">
        <f t="shared" si="44"/>
        <v>503.41500000000002</v>
      </c>
      <c r="DQ26" s="1622">
        <f t="shared" si="45"/>
        <v>7095.585</v>
      </c>
      <c r="DR26" s="1622">
        <f t="shared" si="46"/>
        <v>503.41500000000002</v>
      </c>
      <c r="DV26" s="780" t="s">
        <v>623</v>
      </c>
      <c r="DW26" s="779">
        <v>534620</v>
      </c>
      <c r="DX26" s="1626">
        <f t="shared" si="47"/>
        <v>534.62</v>
      </c>
      <c r="EA26" s="780" t="s">
        <v>568</v>
      </c>
      <c r="EB26" s="779">
        <v>7599000</v>
      </c>
      <c r="EC26" s="779">
        <v>503415</v>
      </c>
      <c r="ED26" s="779">
        <v>503415</v>
      </c>
      <c r="EE26" s="779">
        <v>7095585</v>
      </c>
      <c r="EF26" s="166">
        <f t="shared" si="48"/>
        <v>7599</v>
      </c>
      <c r="EG26" s="166">
        <f t="shared" si="49"/>
        <v>503.41500000000002</v>
      </c>
      <c r="EH26" s="166">
        <f t="shared" si="50"/>
        <v>503.41500000000002</v>
      </c>
      <c r="EI26" s="166">
        <f t="shared" si="51"/>
        <v>7095.585</v>
      </c>
    </row>
    <row r="27" spans="1:139" ht="15" customHeight="1" x14ac:dyDescent="0.3">
      <c r="A27" s="1625" t="s">
        <v>623</v>
      </c>
      <c r="B27" s="891">
        <v>9200007</v>
      </c>
      <c r="C27" s="891">
        <v>503172</v>
      </c>
      <c r="D27" s="891">
        <v>8696835</v>
      </c>
      <c r="E27" s="891">
        <v>503172</v>
      </c>
      <c r="F27" s="891">
        <f t="shared" si="8"/>
        <v>9200.0069999999996</v>
      </c>
      <c r="G27" s="891">
        <f t="shared" si="9"/>
        <v>503.17200000000003</v>
      </c>
      <c r="H27" s="891">
        <f t="shared" si="10"/>
        <v>8696.8349999999991</v>
      </c>
      <c r="I27" s="891">
        <f t="shared" si="11"/>
        <v>503.17200000000003</v>
      </c>
      <c r="L27" s="1625" t="s">
        <v>367</v>
      </c>
      <c r="M27" s="891">
        <v>164750169</v>
      </c>
      <c r="N27" s="891">
        <f t="shared" si="12"/>
        <v>164750.16899999999</v>
      </c>
      <c r="Q27" s="1625" t="s">
        <v>623</v>
      </c>
      <c r="R27" s="891">
        <v>9000006</v>
      </c>
      <c r="S27" s="891">
        <v>2814625</v>
      </c>
      <c r="T27" s="891">
        <v>6185381</v>
      </c>
      <c r="U27" s="891">
        <v>2814625</v>
      </c>
      <c r="V27" s="1622">
        <f t="shared" si="13"/>
        <v>9000.0059999999994</v>
      </c>
      <c r="W27" s="1622">
        <f t="shared" si="14"/>
        <v>2814.625</v>
      </c>
      <c r="X27" s="1622">
        <f t="shared" si="15"/>
        <v>6185.3810000000003</v>
      </c>
      <c r="Y27" s="1622">
        <f t="shared" si="16"/>
        <v>2814.625</v>
      </c>
      <c r="AB27" s="1625" t="s">
        <v>361</v>
      </c>
      <c r="AC27" s="891">
        <v>157932</v>
      </c>
      <c r="AD27" s="1622">
        <f t="shared" si="17"/>
        <v>157.93199999999999</v>
      </c>
      <c r="AG27" s="1625" t="s">
        <v>623</v>
      </c>
      <c r="AH27" s="891">
        <v>8700006</v>
      </c>
      <c r="AI27" s="891">
        <v>3349245</v>
      </c>
      <c r="AJ27" s="891">
        <v>3349245</v>
      </c>
      <c r="AK27" s="891">
        <v>5350761</v>
      </c>
      <c r="AL27" s="1622">
        <f t="shared" si="18"/>
        <v>8700.0059999999994</v>
      </c>
      <c r="AM27" s="1622">
        <f t="shared" si="19"/>
        <v>3349.2449999999999</v>
      </c>
      <c r="AN27" s="1622">
        <f t="shared" si="20"/>
        <v>3349.2449999999999</v>
      </c>
      <c r="AO27" s="1622">
        <f t="shared" si="21"/>
        <v>5350.7610000000004</v>
      </c>
      <c r="AR27" s="1625" t="s">
        <v>481</v>
      </c>
      <c r="AS27" s="1622">
        <v>0</v>
      </c>
      <c r="AT27" s="1622">
        <f t="shared" si="22"/>
        <v>0</v>
      </c>
      <c r="AW27" s="1625" t="s">
        <v>623</v>
      </c>
      <c r="AX27" s="891">
        <v>7217660</v>
      </c>
      <c r="AY27" s="891">
        <v>3820967</v>
      </c>
      <c r="AZ27" s="891">
        <v>3820967</v>
      </c>
      <c r="BA27" s="891">
        <v>3396693</v>
      </c>
      <c r="BB27" s="1622">
        <f t="shared" si="23"/>
        <v>7217.66</v>
      </c>
      <c r="BC27" s="1622">
        <f t="shared" si="24"/>
        <v>3820.9670000000001</v>
      </c>
      <c r="BD27" s="1622">
        <f t="shared" si="25"/>
        <v>3820.9670000000001</v>
      </c>
      <c r="BE27" s="1622">
        <f t="shared" si="26"/>
        <v>3396.6930000000002</v>
      </c>
      <c r="BH27" s="1625" t="s">
        <v>570</v>
      </c>
      <c r="BI27" s="1622">
        <v>10383011</v>
      </c>
      <c r="BJ27" s="1622">
        <f t="shared" si="27"/>
        <v>10383.011</v>
      </c>
      <c r="BM27" s="1625" t="s">
        <v>623</v>
      </c>
      <c r="BN27" s="1627">
        <v>4590725</v>
      </c>
      <c r="BO27" s="1627">
        <v>4198345</v>
      </c>
      <c r="BP27" s="1627">
        <v>4198345</v>
      </c>
      <c r="BQ27" s="1627">
        <v>392380</v>
      </c>
      <c r="BR27" s="1622">
        <f t="shared" si="28"/>
        <v>4590.7250000000004</v>
      </c>
      <c r="BS27" s="1622">
        <f t="shared" si="29"/>
        <v>4198.3450000000003</v>
      </c>
      <c r="BT27" s="1622">
        <f t="shared" si="30"/>
        <v>4198.3450000000003</v>
      </c>
      <c r="BU27" s="1622">
        <f t="shared" si="31"/>
        <v>392.38</v>
      </c>
      <c r="BX27" s="1624" t="s">
        <v>361</v>
      </c>
      <c r="BY27" s="1622">
        <v>157932</v>
      </c>
      <c r="BZ27" s="1622">
        <f t="shared" si="32"/>
        <v>157.93199999999999</v>
      </c>
      <c r="CC27" s="1622" t="s">
        <v>623</v>
      </c>
      <c r="CD27" s="1622">
        <v>9710069</v>
      </c>
      <c r="CE27" s="1622">
        <v>4559998</v>
      </c>
      <c r="CF27" s="1622">
        <v>4559998</v>
      </c>
      <c r="CG27" s="1622">
        <v>5150071</v>
      </c>
      <c r="CH27" s="1622">
        <f t="shared" si="33"/>
        <v>9710.0689999999995</v>
      </c>
      <c r="CI27" s="1622">
        <f t="shared" si="34"/>
        <v>4559.9979999999996</v>
      </c>
      <c r="CJ27" s="1622">
        <f t="shared" si="35"/>
        <v>4559.9979999999996</v>
      </c>
      <c r="CK27" s="1622">
        <f t="shared" si="36"/>
        <v>5150.0709999999999</v>
      </c>
      <c r="CN27" s="1624" t="s">
        <v>481</v>
      </c>
      <c r="CO27" s="1622">
        <v>0</v>
      </c>
      <c r="CP27" s="1622">
        <f t="shared" si="37"/>
        <v>0</v>
      </c>
      <c r="CS27" s="1625" t="s">
        <v>623</v>
      </c>
      <c r="CT27" s="891">
        <v>9710069</v>
      </c>
      <c r="CU27" s="891">
        <v>4780136</v>
      </c>
      <c r="CV27" s="891">
        <v>4780136</v>
      </c>
      <c r="CW27" s="891">
        <v>4929933</v>
      </c>
      <c r="CX27" s="1622">
        <f t="shared" si="38"/>
        <v>9710.0689999999995</v>
      </c>
      <c r="CY27" s="1622">
        <f t="shared" si="39"/>
        <v>4780.1360000000004</v>
      </c>
      <c r="CZ27" s="1622">
        <f t="shared" si="40"/>
        <v>4780.1360000000004</v>
      </c>
      <c r="DA27" s="1622">
        <f t="shared" si="41"/>
        <v>4929.933</v>
      </c>
      <c r="DD27" s="1624" t="s">
        <v>367</v>
      </c>
      <c r="DE27" s="1622">
        <v>168207463</v>
      </c>
      <c r="DF27" s="1622">
        <f t="shared" si="42"/>
        <v>168207.46299999999</v>
      </c>
      <c r="DJ27" s="1624" t="s">
        <v>623</v>
      </c>
      <c r="DK27" s="1622">
        <v>9710069</v>
      </c>
      <c r="DL27" s="1622">
        <v>4968824</v>
      </c>
      <c r="DM27" s="1622">
        <v>4741245</v>
      </c>
      <c r="DN27" s="1622">
        <v>4968824</v>
      </c>
      <c r="DO27" s="1622">
        <f t="shared" si="43"/>
        <v>9710.0689999999995</v>
      </c>
      <c r="DP27" s="1622">
        <f t="shared" si="44"/>
        <v>4968.8239999999996</v>
      </c>
      <c r="DQ27" s="1622">
        <f t="shared" si="45"/>
        <v>4741.2449999999999</v>
      </c>
      <c r="DR27" s="1622">
        <f t="shared" si="46"/>
        <v>4968.8239999999996</v>
      </c>
      <c r="DV27" s="780" t="s">
        <v>361</v>
      </c>
      <c r="DW27" s="779">
        <v>193926</v>
      </c>
      <c r="DX27" s="1626">
        <f t="shared" si="47"/>
        <v>193.92599999999999</v>
      </c>
      <c r="EA27" s="780" t="s">
        <v>623</v>
      </c>
      <c r="EB27" s="779">
        <v>9710069</v>
      </c>
      <c r="EC27" s="779">
        <v>5503444</v>
      </c>
      <c r="ED27" s="779">
        <v>5503444</v>
      </c>
      <c r="EE27" s="779">
        <v>4206625</v>
      </c>
      <c r="EF27" s="166">
        <f t="shared" si="48"/>
        <v>9710.0689999999995</v>
      </c>
      <c r="EG27" s="166">
        <f t="shared" si="49"/>
        <v>5503.4440000000004</v>
      </c>
      <c r="EH27" s="166">
        <f t="shared" si="50"/>
        <v>5503.4440000000004</v>
      </c>
      <c r="EI27" s="166">
        <f t="shared" si="51"/>
        <v>4206.625</v>
      </c>
    </row>
    <row r="28" spans="1:139" ht="15" customHeight="1" x14ac:dyDescent="0.3">
      <c r="A28" s="1625" t="s">
        <v>569</v>
      </c>
      <c r="B28" s="891">
        <v>2500000</v>
      </c>
      <c r="C28" s="891">
        <v>0</v>
      </c>
      <c r="D28" s="891">
        <v>2500000</v>
      </c>
      <c r="E28" s="891">
        <v>0</v>
      </c>
      <c r="F28" s="891">
        <f t="shared" si="8"/>
        <v>2500</v>
      </c>
      <c r="G28" s="891">
        <f t="shared" si="9"/>
        <v>0</v>
      </c>
      <c r="H28" s="891">
        <f t="shared" si="10"/>
        <v>2500</v>
      </c>
      <c r="I28" s="891">
        <f t="shared" si="11"/>
        <v>0</v>
      </c>
      <c r="L28" s="1625" t="s">
        <v>368</v>
      </c>
      <c r="M28" s="891">
        <v>22604443</v>
      </c>
      <c r="N28" s="891">
        <f t="shared" si="12"/>
        <v>22604.442999999999</v>
      </c>
      <c r="Q28" s="1625" t="s">
        <v>569</v>
      </c>
      <c r="R28" s="891">
        <v>2500000</v>
      </c>
      <c r="S28" s="891">
        <v>0</v>
      </c>
      <c r="T28" s="891">
        <v>2500000</v>
      </c>
      <c r="U28" s="891">
        <v>0</v>
      </c>
      <c r="V28" s="1622">
        <f t="shared" si="13"/>
        <v>2500</v>
      </c>
      <c r="W28" s="1622">
        <f t="shared" si="14"/>
        <v>0</v>
      </c>
      <c r="X28" s="1622">
        <f t="shared" si="15"/>
        <v>2500</v>
      </c>
      <c r="Y28" s="1622">
        <f t="shared" si="16"/>
        <v>0</v>
      </c>
      <c r="AB28" s="1625" t="s">
        <v>481</v>
      </c>
      <c r="AC28" s="891">
        <v>157932</v>
      </c>
      <c r="AD28" s="1622">
        <f t="shared" si="17"/>
        <v>157.93199999999999</v>
      </c>
      <c r="AG28" s="1625" t="s">
        <v>569</v>
      </c>
      <c r="AH28" s="891">
        <v>2500000</v>
      </c>
      <c r="AI28" s="891">
        <v>0</v>
      </c>
      <c r="AJ28" s="891">
        <v>0</v>
      </c>
      <c r="AK28" s="891">
        <v>2500000</v>
      </c>
      <c r="AL28" s="1622">
        <f t="shared" si="18"/>
        <v>2500</v>
      </c>
      <c r="AM28" s="1622">
        <f t="shared" si="19"/>
        <v>0</v>
      </c>
      <c r="AN28" s="1622">
        <f t="shared" si="20"/>
        <v>0</v>
      </c>
      <c r="AO28" s="1622">
        <f t="shared" si="21"/>
        <v>2500</v>
      </c>
      <c r="AR28" s="1625" t="s">
        <v>364</v>
      </c>
      <c r="AS28" s="1622">
        <v>1076451519</v>
      </c>
      <c r="AT28" s="1622">
        <f t="shared" si="22"/>
        <v>1076451.5190000001</v>
      </c>
      <c r="AW28" s="1625" t="s">
        <v>569</v>
      </c>
      <c r="AX28" s="891">
        <v>2500000</v>
      </c>
      <c r="AY28" s="891">
        <v>0</v>
      </c>
      <c r="AZ28" s="891">
        <v>0</v>
      </c>
      <c r="BA28" s="891">
        <v>2500000</v>
      </c>
      <c r="BB28" s="1622">
        <f t="shared" si="23"/>
        <v>2500</v>
      </c>
      <c r="BC28" s="1622">
        <f t="shared" si="24"/>
        <v>0</v>
      </c>
      <c r="BD28" s="1622">
        <f t="shared" si="25"/>
        <v>0</v>
      </c>
      <c r="BE28" s="1622">
        <f t="shared" si="26"/>
        <v>2500</v>
      </c>
      <c r="BH28" s="1625" t="s">
        <v>367</v>
      </c>
      <c r="BI28" s="1622">
        <v>164148879</v>
      </c>
      <c r="BJ28" s="1622">
        <f t="shared" si="27"/>
        <v>164148.87899999999</v>
      </c>
      <c r="BM28" s="1625" t="s">
        <v>569</v>
      </c>
      <c r="BN28" s="1627">
        <v>2500000</v>
      </c>
      <c r="BO28" s="1627">
        <v>172920</v>
      </c>
      <c r="BP28" s="1627">
        <v>172920</v>
      </c>
      <c r="BQ28" s="1627">
        <v>2327080</v>
      </c>
      <c r="BR28" s="1622">
        <f t="shared" si="28"/>
        <v>2500</v>
      </c>
      <c r="BS28" s="1622">
        <f t="shared" si="29"/>
        <v>172.92</v>
      </c>
      <c r="BT28" s="1622">
        <f t="shared" si="30"/>
        <v>172.92</v>
      </c>
      <c r="BU28" s="1622">
        <f t="shared" si="31"/>
        <v>2327.08</v>
      </c>
      <c r="BX28" s="1624" t="s">
        <v>481</v>
      </c>
      <c r="BY28" s="1622">
        <v>157932</v>
      </c>
      <c r="BZ28" s="1622">
        <f t="shared" si="32"/>
        <v>157.93199999999999</v>
      </c>
      <c r="CC28" s="1622" t="s">
        <v>569</v>
      </c>
      <c r="CD28" s="1622">
        <v>2500000</v>
      </c>
      <c r="CE28" s="1622">
        <v>172920</v>
      </c>
      <c r="CF28" s="1622">
        <v>172920</v>
      </c>
      <c r="CG28" s="1622">
        <v>2327080</v>
      </c>
      <c r="CH28" s="1622">
        <f t="shared" si="33"/>
        <v>2500</v>
      </c>
      <c r="CI28" s="1622">
        <f t="shared" si="34"/>
        <v>172.92</v>
      </c>
      <c r="CJ28" s="1622">
        <f t="shared" si="35"/>
        <v>172.92</v>
      </c>
      <c r="CK28" s="1622">
        <f t="shared" si="36"/>
        <v>2327.08</v>
      </c>
      <c r="CN28" s="1624" t="s">
        <v>364</v>
      </c>
      <c r="CO28" s="1622">
        <v>1068160707</v>
      </c>
      <c r="CP28" s="1622">
        <f t="shared" si="37"/>
        <v>1068160.7069999999</v>
      </c>
      <c r="CS28" s="1625" t="s">
        <v>569</v>
      </c>
      <c r="CT28" s="891">
        <v>2500000</v>
      </c>
      <c r="CU28" s="891">
        <v>172920</v>
      </c>
      <c r="CV28" s="891">
        <v>172920</v>
      </c>
      <c r="CW28" s="891">
        <v>2327080</v>
      </c>
      <c r="CX28" s="1622">
        <f t="shared" si="38"/>
        <v>2500</v>
      </c>
      <c r="CY28" s="1622">
        <f t="shared" si="39"/>
        <v>172.92</v>
      </c>
      <c r="CZ28" s="1622">
        <f t="shared" si="40"/>
        <v>172.92</v>
      </c>
      <c r="DA28" s="1622">
        <f t="shared" si="41"/>
        <v>2327.08</v>
      </c>
      <c r="DD28" s="1624" t="s">
        <v>368</v>
      </c>
      <c r="DE28" s="1622">
        <v>22370359</v>
      </c>
      <c r="DF28" s="1622">
        <f t="shared" si="42"/>
        <v>22370.359</v>
      </c>
      <c r="DJ28" s="1624" t="s">
        <v>569</v>
      </c>
      <c r="DK28" s="1622">
        <v>2500000</v>
      </c>
      <c r="DL28" s="1622">
        <v>172920</v>
      </c>
      <c r="DM28" s="1622">
        <v>2327080</v>
      </c>
      <c r="DN28" s="1622">
        <v>172920</v>
      </c>
      <c r="DO28" s="1622">
        <f t="shared" si="43"/>
        <v>2500</v>
      </c>
      <c r="DP28" s="1622">
        <f t="shared" si="44"/>
        <v>172.92</v>
      </c>
      <c r="DQ28" s="1622">
        <f t="shared" si="45"/>
        <v>2327.08</v>
      </c>
      <c r="DR28" s="1622">
        <f t="shared" si="46"/>
        <v>172.92</v>
      </c>
      <c r="DV28" s="780" t="s">
        <v>362</v>
      </c>
      <c r="DW28" s="779">
        <v>193926</v>
      </c>
      <c r="DX28" s="1626">
        <f t="shared" si="47"/>
        <v>193.92599999999999</v>
      </c>
      <c r="EA28" s="780" t="s">
        <v>569</v>
      </c>
      <c r="EB28" s="779">
        <v>2500000</v>
      </c>
      <c r="EC28" s="779">
        <v>172920</v>
      </c>
      <c r="ED28" s="779">
        <v>172920</v>
      </c>
      <c r="EE28" s="779">
        <v>2327080</v>
      </c>
      <c r="EF28" s="166">
        <f t="shared" si="48"/>
        <v>2500</v>
      </c>
      <c r="EG28" s="166">
        <f t="shared" si="49"/>
        <v>172.92</v>
      </c>
      <c r="EH28" s="166">
        <f t="shared" si="50"/>
        <v>172.92</v>
      </c>
      <c r="EI28" s="166">
        <f t="shared" si="51"/>
        <v>2327.08</v>
      </c>
    </row>
    <row r="29" spans="1:139" ht="15" customHeight="1" x14ac:dyDescent="0.3">
      <c r="A29" s="1625" t="s">
        <v>361</v>
      </c>
      <c r="B29" s="891">
        <v>4470574</v>
      </c>
      <c r="C29" s="891">
        <v>0</v>
      </c>
      <c r="D29" s="891">
        <v>4470574</v>
      </c>
      <c r="E29" s="891">
        <v>0</v>
      </c>
      <c r="F29" s="891">
        <f t="shared" si="8"/>
        <v>4470.5739999999996</v>
      </c>
      <c r="G29" s="891">
        <f t="shared" si="9"/>
        <v>0</v>
      </c>
      <c r="H29" s="891">
        <f t="shared" si="10"/>
        <v>4470.5739999999996</v>
      </c>
      <c r="I29" s="891">
        <f t="shared" si="11"/>
        <v>0</v>
      </c>
      <c r="L29" s="1625" t="s">
        <v>572</v>
      </c>
      <c r="M29" s="891">
        <v>10836394</v>
      </c>
      <c r="N29" s="891">
        <f t="shared" si="12"/>
        <v>10836.394</v>
      </c>
      <c r="Q29" s="1625" t="s">
        <v>361</v>
      </c>
      <c r="R29" s="891">
        <v>4470574</v>
      </c>
      <c r="S29" s="891">
        <v>0</v>
      </c>
      <c r="T29" s="891">
        <v>4470574</v>
      </c>
      <c r="U29" s="891">
        <v>0</v>
      </c>
      <c r="V29" s="1622">
        <f t="shared" si="13"/>
        <v>4470.5739999999996</v>
      </c>
      <c r="W29" s="1622">
        <f t="shared" si="14"/>
        <v>0</v>
      </c>
      <c r="X29" s="1622">
        <f t="shared" si="15"/>
        <v>4470.5739999999996</v>
      </c>
      <c r="Y29" s="1622">
        <f t="shared" si="16"/>
        <v>0</v>
      </c>
      <c r="AB29" s="1625" t="s">
        <v>364</v>
      </c>
      <c r="AC29" s="891">
        <v>1880957310</v>
      </c>
      <c r="AD29" s="1622">
        <f t="shared" si="17"/>
        <v>1880957.31</v>
      </c>
      <c r="AG29" s="1625" t="s">
        <v>361</v>
      </c>
      <c r="AH29" s="891">
        <v>4470574</v>
      </c>
      <c r="AI29" s="891">
        <v>157932</v>
      </c>
      <c r="AJ29" s="891">
        <v>157932</v>
      </c>
      <c r="AK29" s="891">
        <v>4312642</v>
      </c>
      <c r="AL29" s="1622">
        <f t="shared" si="18"/>
        <v>4470.5739999999996</v>
      </c>
      <c r="AM29" s="1622">
        <f t="shared" si="19"/>
        <v>157.93199999999999</v>
      </c>
      <c r="AN29" s="1622">
        <f t="shared" si="20"/>
        <v>157.93199999999999</v>
      </c>
      <c r="AO29" s="1622">
        <f t="shared" si="21"/>
        <v>4312.6419999999998</v>
      </c>
      <c r="AR29" s="1625" t="s">
        <v>365</v>
      </c>
      <c r="AS29" s="1622">
        <v>998134551</v>
      </c>
      <c r="AT29" s="1622">
        <f t="shared" si="22"/>
        <v>998134.55099999998</v>
      </c>
      <c r="AW29" s="1625" t="s">
        <v>361</v>
      </c>
      <c r="AX29" s="891">
        <v>4470574</v>
      </c>
      <c r="AY29" s="891">
        <v>157932</v>
      </c>
      <c r="AZ29" s="891">
        <v>157932</v>
      </c>
      <c r="BA29" s="891">
        <v>4312642</v>
      </c>
      <c r="BB29" s="1622">
        <f t="shared" si="23"/>
        <v>4470.5739999999996</v>
      </c>
      <c r="BC29" s="1622">
        <f t="shared" si="24"/>
        <v>157.93199999999999</v>
      </c>
      <c r="BD29" s="1622">
        <f t="shared" si="25"/>
        <v>157.93199999999999</v>
      </c>
      <c r="BE29" s="1622">
        <f t="shared" si="26"/>
        <v>4312.6419999999998</v>
      </c>
      <c r="BH29" s="1625" t="s">
        <v>368</v>
      </c>
      <c r="BI29" s="1622">
        <v>21599174</v>
      </c>
      <c r="BJ29" s="1622">
        <f t="shared" si="27"/>
        <v>21599.173999999999</v>
      </c>
      <c r="BM29" s="1625" t="s">
        <v>361</v>
      </c>
      <c r="BN29" s="1627">
        <v>4470574</v>
      </c>
      <c r="BO29" s="1627">
        <v>157932</v>
      </c>
      <c r="BP29" s="1627">
        <v>157932</v>
      </c>
      <c r="BQ29" s="1627">
        <v>4312642</v>
      </c>
      <c r="BR29" s="1622">
        <f t="shared" si="28"/>
        <v>4470.5739999999996</v>
      </c>
      <c r="BS29" s="1622">
        <f t="shared" si="29"/>
        <v>157.93199999999999</v>
      </c>
      <c r="BT29" s="1622">
        <f t="shared" si="30"/>
        <v>157.93199999999999</v>
      </c>
      <c r="BU29" s="1622">
        <f t="shared" si="31"/>
        <v>4312.6419999999998</v>
      </c>
      <c r="BX29" s="1624" t="s">
        <v>364</v>
      </c>
      <c r="BY29" s="1622">
        <v>1886118102</v>
      </c>
      <c r="BZ29" s="1622">
        <f t="shared" si="32"/>
        <v>1886118.102</v>
      </c>
      <c r="CC29" s="1622" t="s">
        <v>361</v>
      </c>
      <c r="CD29" s="1622">
        <v>4470574</v>
      </c>
      <c r="CE29" s="1622">
        <v>315864</v>
      </c>
      <c r="CF29" s="1622">
        <v>315864</v>
      </c>
      <c r="CG29" s="1622">
        <v>4154710</v>
      </c>
      <c r="CH29" s="1622">
        <f t="shared" si="33"/>
        <v>4470.5739999999996</v>
      </c>
      <c r="CI29" s="1622">
        <f t="shared" si="34"/>
        <v>315.86399999999998</v>
      </c>
      <c r="CJ29" s="1622">
        <f t="shared" si="35"/>
        <v>315.86399999999998</v>
      </c>
      <c r="CK29" s="1622">
        <f t="shared" si="36"/>
        <v>4154.71</v>
      </c>
      <c r="CN29" s="1624" t="s">
        <v>365</v>
      </c>
      <c r="CO29" s="1622">
        <v>994291648</v>
      </c>
      <c r="CP29" s="1622">
        <f t="shared" si="37"/>
        <v>994291.64800000004</v>
      </c>
      <c r="CS29" s="1625" t="s">
        <v>361</v>
      </c>
      <c r="CT29" s="891">
        <v>4470574</v>
      </c>
      <c r="CU29" s="891">
        <v>315864</v>
      </c>
      <c r="CV29" s="891">
        <v>315864</v>
      </c>
      <c r="CW29" s="891">
        <v>4154710</v>
      </c>
      <c r="CX29" s="1622">
        <f t="shared" si="38"/>
        <v>4470.5739999999996</v>
      </c>
      <c r="CY29" s="1622">
        <f t="shared" si="39"/>
        <v>315.86399999999998</v>
      </c>
      <c r="CZ29" s="1622">
        <f t="shared" si="40"/>
        <v>315.86399999999998</v>
      </c>
      <c r="DA29" s="1622">
        <f t="shared" si="41"/>
        <v>4154.71</v>
      </c>
      <c r="DD29" s="1624" t="s">
        <v>572</v>
      </c>
      <c r="DE29" s="1622">
        <v>11493020</v>
      </c>
      <c r="DF29" s="1622">
        <f t="shared" si="42"/>
        <v>11493.02</v>
      </c>
      <c r="DJ29" s="1624" t="s">
        <v>361</v>
      </c>
      <c r="DK29" s="1622">
        <v>4470574</v>
      </c>
      <c r="DL29" s="1622">
        <v>315864</v>
      </c>
      <c r="DM29" s="1622">
        <v>4154710</v>
      </c>
      <c r="DN29" s="1622">
        <v>315864</v>
      </c>
      <c r="DO29" s="1622">
        <f t="shared" si="43"/>
        <v>4470.5739999999996</v>
      </c>
      <c r="DP29" s="1622">
        <f t="shared" si="44"/>
        <v>315.86399999999998</v>
      </c>
      <c r="DQ29" s="1622">
        <f t="shared" si="45"/>
        <v>4154.71</v>
      </c>
      <c r="DR29" s="1622">
        <f t="shared" si="46"/>
        <v>315.86399999999998</v>
      </c>
      <c r="DV29" s="780" t="s">
        <v>364</v>
      </c>
      <c r="DW29" s="779">
        <v>1916364824</v>
      </c>
      <c r="DX29" s="1626">
        <f t="shared" si="47"/>
        <v>1916364.824</v>
      </c>
      <c r="EA29" s="780" t="s">
        <v>361</v>
      </c>
      <c r="EB29" s="779">
        <v>4470574</v>
      </c>
      <c r="EC29" s="779">
        <v>509790</v>
      </c>
      <c r="ED29" s="779">
        <v>509790</v>
      </c>
      <c r="EE29" s="779">
        <v>3960784</v>
      </c>
      <c r="EF29" s="166">
        <f t="shared" si="48"/>
        <v>4470.5739999999996</v>
      </c>
      <c r="EG29" s="166">
        <f t="shared" si="49"/>
        <v>509.79</v>
      </c>
      <c r="EH29" s="166">
        <f t="shared" si="50"/>
        <v>509.79</v>
      </c>
      <c r="EI29" s="166">
        <f t="shared" si="51"/>
        <v>3960.7840000000001</v>
      </c>
    </row>
    <row r="30" spans="1:139" ht="15" customHeight="1" x14ac:dyDescent="0.3">
      <c r="A30" s="1625" t="s">
        <v>362</v>
      </c>
      <c r="B30" s="891">
        <v>803736</v>
      </c>
      <c r="C30" s="891">
        <v>0</v>
      </c>
      <c r="D30" s="891">
        <v>803736</v>
      </c>
      <c r="E30" s="891">
        <v>0</v>
      </c>
      <c r="F30" s="891">
        <f t="shared" si="8"/>
        <v>803.73599999999999</v>
      </c>
      <c r="G30" s="891">
        <f t="shared" si="9"/>
        <v>0</v>
      </c>
      <c r="H30" s="891">
        <f t="shared" si="10"/>
        <v>803.73599999999999</v>
      </c>
      <c r="I30" s="891">
        <f t="shared" si="11"/>
        <v>0</v>
      </c>
      <c r="L30" s="1625" t="s">
        <v>573</v>
      </c>
      <c r="M30" s="891">
        <v>158198913</v>
      </c>
      <c r="N30" s="891">
        <f t="shared" si="12"/>
        <v>158198.913</v>
      </c>
      <c r="Q30" s="1625" t="s">
        <v>362</v>
      </c>
      <c r="R30" s="891">
        <v>803736</v>
      </c>
      <c r="S30" s="891">
        <v>0</v>
      </c>
      <c r="T30" s="891">
        <v>803736</v>
      </c>
      <c r="U30" s="891">
        <v>0</v>
      </c>
      <c r="V30" s="1622">
        <f t="shared" si="13"/>
        <v>803.73599999999999</v>
      </c>
      <c r="W30" s="1622">
        <f t="shared" si="14"/>
        <v>0</v>
      </c>
      <c r="X30" s="1622">
        <f t="shared" si="15"/>
        <v>803.73599999999999</v>
      </c>
      <c r="Y30" s="1622">
        <f t="shared" si="16"/>
        <v>0</v>
      </c>
      <c r="AB30" s="1625" t="s">
        <v>365</v>
      </c>
      <c r="AC30" s="891">
        <v>1432801168</v>
      </c>
      <c r="AD30" s="1622">
        <f t="shared" si="17"/>
        <v>1432801.1680000001</v>
      </c>
      <c r="AG30" s="1625" t="s">
        <v>362</v>
      </c>
      <c r="AH30" s="891">
        <v>803736</v>
      </c>
      <c r="AI30" s="891">
        <v>0</v>
      </c>
      <c r="AJ30" s="891">
        <v>0</v>
      </c>
      <c r="AK30" s="891">
        <v>803736</v>
      </c>
      <c r="AL30" s="1622">
        <f t="shared" si="18"/>
        <v>803.73599999999999</v>
      </c>
      <c r="AM30" s="1622">
        <f t="shared" si="19"/>
        <v>0</v>
      </c>
      <c r="AN30" s="1622">
        <f t="shared" si="20"/>
        <v>0</v>
      </c>
      <c r="AO30" s="1622">
        <f t="shared" si="21"/>
        <v>803.73599999999999</v>
      </c>
      <c r="AR30" s="1625" t="s">
        <v>366</v>
      </c>
      <c r="AS30" s="1622">
        <v>237138597</v>
      </c>
      <c r="AT30" s="1622">
        <f t="shared" si="22"/>
        <v>237138.59700000001</v>
      </c>
      <c r="AW30" s="1625" t="s">
        <v>362</v>
      </c>
      <c r="AX30" s="891">
        <v>803736</v>
      </c>
      <c r="AY30" s="891">
        <v>0</v>
      </c>
      <c r="AZ30" s="891">
        <v>0</v>
      </c>
      <c r="BA30" s="891">
        <v>803736</v>
      </c>
      <c r="BB30" s="1622">
        <f t="shared" si="23"/>
        <v>803.73599999999999</v>
      </c>
      <c r="BC30" s="1622">
        <f t="shared" si="24"/>
        <v>0</v>
      </c>
      <c r="BD30" s="1622">
        <f t="shared" si="25"/>
        <v>0</v>
      </c>
      <c r="BE30" s="1622">
        <f t="shared" si="26"/>
        <v>803.73599999999999</v>
      </c>
      <c r="BH30" s="1625" t="s">
        <v>572</v>
      </c>
      <c r="BI30" s="1622">
        <v>10181631</v>
      </c>
      <c r="BJ30" s="1622">
        <f t="shared" si="27"/>
        <v>10181.630999999999</v>
      </c>
      <c r="BM30" s="1625" t="s">
        <v>362</v>
      </c>
      <c r="BN30" s="1627">
        <v>803736</v>
      </c>
      <c r="BO30" s="1627">
        <v>0</v>
      </c>
      <c r="BP30" s="1627">
        <v>0</v>
      </c>
      <c r="BQ30" s="1627">
        <v>803736</v>
      </c>
      <c r="BR30" s="1622">
        <f t="shared" si="28"/>
        <v>803.73599999999999</v>
      </c>
      <c r="BS30" s="1622">
        <f t="shared" si="29"/>
        <v>0</v>
      </c>
      <c r="BT30" s="1622">
        <f t="shared" si="30"/>
        <v>0</v>
      </c>
      <c r="BU30" s="1622">
        <f t="shared" si="31"/>
        <v>803.73599999999999</v>
      </c>
      <c r="BX30" s="1624" t="s">
        <v>365</v>
      </c>
      <c r="BY30" s="1622">
        <v>1438031698</v>
      </c>
      <c r="BZ30" s="1622">
        <f t="shared" si="32"/>
        <v>1438031.6980000001</v>
      </c>
      <c r="CC30" s="1622" t="s">
        <v>362</v>
      </c>
      <c r="CD30" s="1622">
        <v>803736</v>
      </c>
      <c r="CE30" s="1622">
        <v>0</v>
      </c>
      <c r="CF30" s="1622">
        <v>0</v>
      </c>
      <c r="CG30" s="1622">
        <v>803736</v>
      </c>
      <c r="CH30" s="1622">
        <f t="shared" si="33"/>
        <v>803.73599999999999</v>
      </c>
      <c r="CI30" s="1622">
        <f t="shared" si="34"/>
        <v>0</v>
      </c>
      <c r="CJ30" s="1622">
        <f t="shared" si="35"/>
        <v>0</v>
      </c>
      <c r="CK30" s="1622">
        <f t="shared" si="36"/>
        <v>803.73599999999999</v>
      </c>
      <c r="CN30" s="1624" t="s">
        <v>366</v>
      </c>
      <c r="CO30" s="1622">
        <v>236174025</v>
      </c>
      <c r="CP30" s="1622">
        <f t="shared" si="37"/>
        <v>236174.02499999999</v>
      </c>
      <c r="CS30" s="1625" t="s">
        <v>362</v>
      </c>
      <c r="CT30" s="891">
        <v>803736</v>
      </c>
      <c r="CU30" s="891">
        <v>0</v>
      </c>
      <c r="CV30" s="891">
        <v>0</v>
      </c>
      <c r="CW30" s="891">
        <v>803736</v>
      </c>
      <c r="CX30" s="1622">
        <f t="shared" si="38"/>
        <v>803.73599999999999</v>
      </c>
      <c r="CY30" s="1622">
        <f t="shared" si="39"/>
        <v>0</v>
      </c>
      <c r="CZ30" s="1622">
        <f t="shared" si="40"/>
        <v>0</v>
      </c>
      <c r="DA30" s="1622">
        <f t="shared" si="41"/>
        <v>803.73599999999999</v>
      </c>
      <c r="DD30" s="1624" t="s">
        <v>573</v>
      </c>
      <c r="DE30" s="1622">
        <v>161150135</v>
      </c>
      <c r="DF30" s="1622">
        <f t="shared" si="42"/>
        <v>161150.13500000001</v>
      </c>
      <c r="DJ30" s="1624" t="s">
        <v>362</v>
      </c>
      <c r="DK30" s="1622">
        <v>803736</v>
      </c>
      <c r="DL30" s="1622">
        <v>0</v>
      </c>
      <c r="DM30" s="1622">
        <v>803736</v>
      </c>
      <c r="DN30" s="1622">
        <v>0</v>
      </c>
      <c r="DO30" s="1622">
        <f t="shared" si="43"/>
        <v>803.73599999999999</v>
      </c>
      <c r="DP30" s="1622">
        <f t="shared" si="44"/>
        <v>0</v>
      </c>
      <c r="DQ30" s="1622">
        <f t="shared" si="45"/>
        <v>803.73599999999999</v>
      </c>
      <c r="DR30" s="1622">
        <f t="shared" si="46"/>
        <v>0</v>
      </c>
      <c r="DV30" s="780" t="s">
        <v>365</v>
      </c>
      <c r="DW30" s="779">
        <v>1455304847</v>
      </c>
      <c r="DX30" s="1626">
        <f t="shared" si="47"/>
        <v>1455304.8470000001</v>
      </c>
      <c r="EA30" s="780" t="s">
        <v>362</v>
      </c>
      <c r="EB30" s="779">
        <v>803736</v>
      </c>
      <c r="EC30" s="779">
        <v>193926</v>
      </c>
      <c r="ED30" s="779">
        <v>193926</v>
      </c>
      <c r="EE30" s="779">
        <v>609810</v>
      </c>
      <c r="EF30" s="166">
        <f t="shared" si="48"/>
        <v>803.73599999999999</v>
      </c>
      <c r="EG30" s="166">
        <f t="shared" si="49"/>
        <v>193.92599999999999</v>
      </c>
      <c r="EH30" s="166">
        <f t="shared" si="50"/>
        <v>193.92599999999999</v>
      </c>
      <c r="EI30" s="166">
        <f t="shared" si="51"/>
        <v>609.80999999999995</v>
      </c>
    </row>
    <row r="31" spans="1:139" ht="15" customHeight="1" x14ac:dyDescent="0.3">
      <c r="A31" s="1625" t="s">
        <v>481</v>
      </c>
      <c r="B31" s="891">
        <v>545738</v>
      </c>
      <c r="C31" s="891">
        <v>0</v>
      </c>
      <c r="D31" s="891">
        <v>545738</v>
      </c>
      <c r="E31" s="891">
        <v>0</v>
      </c>
      <c r="F31" s="891">
        <f t="shared" si="8"/>
        <v>545.73800000000006</v>
      </c>
      <c r="G31" s="891">
        <f t="shared" si="9"/>
        <v>0</v>
      </c>
      <c r="H31" s="891">
        <f t="shared" si="10"/>
        <v>545.73800000000006</v>
      </c>
      <c r="I31" s="891">
        <f t="shared" si="11"/>
        <v>0</v>
      </c>
      <c r="L31" s="1625" t="s">
        <v>574</v>
      </c>
      <c r="M31" s="891">
        <v>373903053</v>
      </c>
      <c r="N31" s="891">
        <f t="shared" si="12"/>
        <v>373903.05300000001</v>
      </c>
      <c r="Q31" s="1625" t="s">
        <v>481</v>
      </c>
      <c r="R31" s="891">
        <v>545738</v>
      </c>
      <c r="S31" s="891">
        <v>0</v>
      </c>
      <c r="T31" s="891">
        <v>545738</v>
      </c>
      <c r="U31" s="891">
        <v>0</v>
      </c>
      <c r="V31" s="1622">
        <f t="shared" si="13"/>
        <v>545.73800000000006</v>
      </c>
      <c r="W31" s="1622">
        <f t="shared" si="14"/>
        <v>0</v>
      </c>
      <c r="X31" s="1622">
        <f t="shared" si="15"/>
        <v>545.73800000000006</v>
      </c>
      <c r="Y31" s="1622">
        <f t="shared" si="16"/>
        <v>0</v>
      </c>
      <c r="AB31" s="1625" t="s">
        <v>366</v>
      </c>
      <c r="AC31" s="891">
        <v>235453357</v>
      </c>
      <c r="AD31" s="1622">
        <f t="shared" si="17"/>
        <v>235453.35699999999</v>
      </c>
      <c r="AG31" s="1625" t="s">
        <v>481</v>
      </c>
      <c r="AH31" s="891">
        <v>545738</v>
      </c>
      <c r="AI31" s="891">
        <v>157932</v>
      </c>
      <c r="AJ31" s="891">
        <v>157932</v>
      </c>
      <c r="AK31" s="891">
        <v>387806</v>
      </c>
      <c r="AL31" s="1622">
        <f t="shared" si="18"/>
        <v>545.73800000000006</v>
      </c>
      <c r="AM31" s="1622">
        <f t="shared" si="19"/>
        <v>157.93199999999999</v>
      </c>
      <c r="AN31" s="1622">
        <f t="shared" si="20"/>
        <v>157.93199999999999</v>
      </c>
      <c r="AO31" s="1622">
        <f t="shared" si="21"/>
        <v>387.80599999999998</v>
      </c>
      <c r="AR31" s="1625" t="s">
        <v>570</v>
      </c>
      <c r="AS31" s="1622">
        <v>10293193</v>
      </c>
      <c r="AT31" s="1622">
        <f t="shared" si="22"/>
        <v>10293.192999999999</v>
      </c>
      <c r="AW31" s="1625" t="s">
        <v>481</v>
      </c>
      <c r="AX31" s="891">
        <v>545738</v>
      </c>
      <c r="AY31" s="891">
        <v>157932</v>
      </c>
      <c r="AZ31" s="891">
        <v>157932</v>
      </c>
      <c r="BA31" s="891">
        <v>387806</v>
      </c>
      <c r="BB31" s="1622">
        <f t="shared" si="23"/>
        <v>545.73800000000006</v>
      </c>
      <c r="BC31" s="1622">
        <f t="shared" si="24"/>
        <v>157.93199999999999</v>
      </c>
      <c r="BD31" s="1622">
        <f t="shared" si="25"/>
        <v>157.93199999999999</v>
      </c>
      <c r="BE31" s="1622">
        <f t="shared" si="26"/>
        <v>387.80599999999998</v>
      </c>
      <c r="BH31" s="1625" t="s">
        <v>573</v>
      </c>
      <c r="BI31" s="1622">
        <v>157806628</v>
      </c>
      <c r="BJ31" s="1622">
        <f t="shared" si="27"/>
        <v>157806.628</v>
      </c>
      <c r="BM31" s="1625" t="s">
        <v>481</v>
      </c>
      <c r="BN31" s="1627">
        <v>545738</v>
      </c>
      <c r="BO31" s="1627">
        <v>157932</v>
      </c>
      <c r="BP31" s="1627">
        <v>157932</v>
      </c>
      <c r="BQ31" s="1627">
        <v>387806</v>
      </c>
      <c r="BR31" s="1622">
        <f t="shared" si="28"/>
        <v>545.73800000000006</v>
      </c>
      <c r="BS31" s="1622">
        <f t="shared" si="29"/>
        <v>157.93199999999999</v>
      </c>
      <c r="BT31" s="1622">
        <f t="shared" si="30"/>
        <v>157.93199999999999</v>
      </c>
      <c r="BU31" s="1622">
        <f t="shared" si="31"/>
        <v>387.80599999999998</v>
      </c>
      <c r="BX31" s="1624" t="s">
        <v>366</v>
      </c>
      <c r="BY31" s="1622">
        <v>235691223</v>
      </c>
      <c r="BZ31" s="1622">
        <f t="shared" si="32"/>
        <v>235691.223</v>
      </c>
      <c r="CC31" s="1622" t="s">
        <v>481</v>
      </c>
      <c r="CD31" s="1622">
        <v>545738</v>
      </c>
      <c r="CE31" s="1622">
        <v>315864</v>
      </c>
      <c r="CF31" s="1622">
        <v>315864</v>
      </c>
      <c r="CG31" s="1622">
        <v>229874</v>
      </c>
      <c r="CH31" s="1622">
        <f t="shared" si="33"/>
        <v>545.73800000000006</v>
      </c>
      <c r="CI31" s="1622">
        <f t="shared" si="34"/>
        <v>315.86399999999998</v>
      </c>
      <c r="CJ31" s="1622">
        <f t="shared" si="35"/>
        <v>315.86399999999998</v>
      </c>
      <c r="CK31" s="1622">
        <f t="shared" si="36"/>
        <v>229.874</v>
      </c>
      <c r="CN31" s="1624" t="s">
        <v>570</v>
      </c>
      <c r="CO31" s="1622">
        <v>10638509</v>
      </c>
      <c r="CP31" s="1622">
        <f t="shared" si="37"/>
        <v>10638.509</v>
      </c>
      <c r="CS31" s="1625" t="s">
        <v>481</v>
      </c>
      <c r="CT31" s="891">
        <v>545738</v>
      </c>
      <c r="CU31" s="891">
        <v>315864</v>
      </c>
      <c r="CV31" s="891">
        <v>315864</v>
      </c>
      <c r="CW31" s="891">
        <v>229874</v>
      </c>
      <c r="CX31" s="1622">
        <f t="shared" si="38"/>
        <v>545.73800000000006</v>
      </c>
      <c r="CY31" s="1622">
        <f t="shared" si="39"/>
        <v>315.86399999999998</v>
      </c>
      <c r="CZ31" s="1622">
        <f t="shared" si="40"/>
        <v>315.86399999999998</v>
      </c>
      <c r="DA31" s="1622">
        <f t="shared" si="41"/>
        <v>229.874</v>
      </c>
      <c r="DD31" s="1624" t="s">
        <v>574</v>
      </c>
      <c r="DE31" s="1622">
        <v>380752164</v>
      </c>
      <c r="DF31" s="1622">
        <f t="shared" si="42"/>
        <v>380752.16399999999</v>
      </c>
      <c r="DJ31" s="1624" t="s">
        <v>481</v>
      </c>
      <c r="DK31" s="1622">
        <v>545738</v>
      </c>
      <c r="DL31" s="1622">
        <v>315864</v>
      </c>
      <c r="DM31" s="1622">
        <v>229874</v>
      </c>
      <c r="DN31" s="1622">
        <v>315864</v>
      </c>
      <c r="DO31" s="1622">
        <f t="shared" si="43"/>
        <v>545.73800000000006</v>
      </c>
      <c r="DP31" s="1622">
        <f t="shared" si="44"/>
        <v>315.86399999999998</v>
      </c>
      <c r="DQ31" s="1622">
        <f t="shared" si="45"/>
        <v>229.874</v>
      </c>
      <c r="DR31" s="1622">
        <f t="shared" si="46"/>
        <v>315.86399999999998</v>
      </c>
      <c r="DV31" s="780" t="s">
        <v>366</v>
      </c>
      <c r="DW31" s="779">
        <v>241366195</v>
      </c>
      <c r="DX31" s="1626">
        <f t="shared" si="47"/>
        <v>241366.19500000001</v>
      </c>
      <c r="EA31" s="780" t="s">
        <v>481</v>
      </c>
      <c r="EB31" s="779">
        <v>545738</v>
      </c>
      <c r="EC31" s="779">
        <v>315864</v>
      </c>
      <c r="ED31" s="779">
        <v>315864</v>
      </c>
      <c r="EE31" s="779">
        <v>229874</v>
      </c>
      <c r="EF31" s="166">
        <f t="shared" si="48"/>
        <v>545.73800000000006</v>
      </c>
      <c r="EG31" s="166">
        <f t="shared" si="49"/>
        <v>315.86399999999998</v>
      </c>
      <c r="EH31" s="166">
        <f t="shared" si="50"/>
        <v>315.86399999999998</v>
      </c>
      <c r="EI31" s="166">
        <f t="shared" si="51"/>
        <v>229.874</v>
      </c>
    </row>
    <row r="32" spans="1:139" ht="15" customHeight="1" x14ac:dyDescent="0.3">
      <c r="A32" s="1625" t="s">
        <v>363</v>
      </c>
      <c r="B32" s="891">
        <v>3121100</v>
      </c>
      <c r="C32" s="891">
        <v>0</v>
      </c>
      <c r="D32" s="891">
        <v>3121100</v>
      </c>
      <c r="E32" s="891">
        <v>0</v>
      </c>
      <c r="F32" s="891">
        <f t="shared" si="8"/>
        <v>3121.1</v>
      </c>
      <c r="G32" s="891">
        <f t="shared" si="9"/>
        <v>0</v>
      </c>
      <c r="H32" s="891">
        <f t="shared" si="10"/>
        <v>3121.1</v>
      </c>
      <c r="I32" s="891">
        <f t="shared" si="11"/>
        <v>0</v>
      </c>
      <c r="L32" s="1625" t="s">
        <v>992</v>
      </c>
      <c r="M32" s="891">
        <v>13076800</v>
      </c>
      <c r="N32" s="891">
        <f t="shared" si="12"/>
        <v>13076.8</v>
      </c>
      <c r="Q32" s="1625" t="s">
        <v>363</v>
      </c>
      <c r="R32" s="891">
        <v>3121100</v>
      </c>
      <c r="S32" s="891">
        <v>0</v>
      </c>
      <c r="T32" s="891">
        <v>3121100</v>
      </c>
      <c r="U32" s="891">
        <v>0</v>
      </c>
      <c r="V32" s="1622">
        <f t="shared" si="13"/>
        <v>3121.1</v>
      </c>
      <c r="W32" s="1622">
        <f t="shared" si="14"/>
        <v>0</v>
      </c>
      <c r="X32" s="1622">
        <f t="shared" si="15"/>
        <v>3121.1</v>
      </c>
      <c r="Y32" s="1622">
        <f t="shared" si="16"/>
        <v>0</v>
      </c>
      <c r="AB32" s="1625" t="s">
        <v>570</v>
      </c>
      <c r="AC32" s="891">
        <v>10184384</v>
      </c>
      <c r="AD32" s="1622">
        <f t="shared" si="17"/>
        <v>10184.384</v>
      </c>
      <c r="AG32" s="1625" t="s">
        <v>363</v>
      </c>
      <c r="AH32" s="891">
        <v>3121100</v>
      </c>
      <c r="AI32" s="891">
        <v>0</v>
      </c>
      <c r="AJ32" s="891">
        <v>0</v>
      </c>
      <c r="AK32" s="891">
        <v>3121100</v>
      </c>
      <c r="AL32" s="1622">
        <f t="shared" si="18"/>
        <v>3121.1</v>
      </c>
      <c r="AM32" s="1622">
        <f t="shared" si="19"/>
        <v>0</v>
      </c>
      <c r="AN32" s="1622">
        <f t="shared" si="20"/>
        <v>0</v>
      </c>
      <c r="AO32" s="1622">
        <f t="shared" si="21"/>
        <v>3121.1</v>
      </c>
      <c r="AR32" s="1625" t="s">
        <v>367</v>
      </c>
      <c r="AS32" s="1622">
        <v>166452664</v>
      </c>
      <c r="AT32" s="1622">
        <f t="shared" si="22"/>
        <v>166452.66399999999</v>
      </c>
      <c r="AW32" s="1625" t="s">
        <v>363</v>
      </c>
      <c r="AX32" s="891">
        <v>3121100</v>
      </c>
      <c r="AY32" s="891">
        <v>0</v>
      </c>
      <c r="AZ32" s="891">
        <v>0</v>
      </c>
      <c r="BA32" s="891">
        <v>3121100</v>
      </c>
      <c r="BB32" s="1622">
        <f t="shared" si="23"/>
        <v>3121.1</v>
      </c>
      <c r="BC32" s="1622">
        <f t="shared" si="24"/>
        <v>0</v>
      </c>
      <c r="BD32" s="1622">
        <f t="shared" si="25"/>
        <v>0</v>
      </c>
      <c r="BE32" s="1622">
        <f t="shared" si="26"/>
        <v>3121.1</v>
      </c>
      <c r="BH32" s="1625" t="s">
        <v>574</v>
      </c>
      <c r="BI32" s="1622">
        <v>373304949</v>
      </c>
      <c r="BJ32" s="1622">
        <f t="shared" si="27"/>
        <v>373304.94900000002</v>
      </c>
      <c r="BM32" s="1625" t="s">
        <v>363</v>
      </c>
      <c r="BN32" s="1627">
        <v>3121100</v>
      </c>
      <c r="BO32" s="1627">
        <v>0</v>
      </c>
      <c r="BP32" s="1627">
        <v>0</v>
      </c>
      <c r="BQ32" s="1627">
        <v>3121100</v>
      </c>
      <c r="BR32" s="1622">
        <f t="shared" si="28"/>
        <v>3121.1</v>
      </c>
      <c r="BS32" s="1622">
        <f t="shared" si="29"/>
        <v>0</v>
      </c>
      <c r="BT32" s="1622">
        <f t="shared" si="30"/>
        <v>0</v>
      </c>
      <c r="BU32" s="1622">
        <f t="shared" si="31"/>
        <v>3121.1</v>
      </c>
      <c r="BX32" s="1624" t="s">
        <v>570</v>
      </c>
      <c r="BY32" s="1622">
        <v>10617868</v>
      </c>
      <c r="BZ32" s="1622">
        <f t="shared" si="32"/>
        <v>10617.868</v>
      </c>
      <c r="CC32" s="1622" t="s">
        <v>363</v>
      </c>
      <c r="CD32" s="1622">
        <v>3121100</v>
      </c>
      <c r="CE32" s="1622">
        <v>0</v>
      </c>
      <c r="CF32" s="1622">
        <v>0</v>
      </c>
      <c r="CG32" s="1622">
        <v>3121100</v>
      </c>
      <c r="CH32" s="1622">
        <f t="shared" si="33"/>
        <v>3121.1</v>
      </c>
      <c r="CI32" s="1622">
        <f t="shared" si="34"/>
        <v>0</v>
      </c>
      <c r="CJ32" s="1622">
        <f t="shared" si="35"/>
        <v>0</v>
      </c>
      <c r="CK32" s="1622">
        <f t="shared" si="36"/>
        <v>3121.1</v>
      </c>
      <c r="CN32" s="1624" t="s">
        <v>367</v>
      </c>
      <c r="CO32" s="1622">
        <v>166081687</v>
      </c>
      <c r="CP32" s="1622">
        <f t="shared" si="37"/>
        <v>166081.68700000001</v>
      </c>
      <c r="CS32" s="1625" t="s">
        <v>363</v>
      </c>
      <c r="CT32" s="891">
        <v>3121100</v>
      </c>
      <c r="CU32" s="891">
        <v>0</v>
      </c>
      <c r="CV32" s="891">
        <v>0</v>
      </c>
      <c r="CW32" s="891">
        <v>3121100</v>
      </c>
      <c r="CX32" s="1622">
        <f t="shared" si="38"/>
        <v>3121.1</v>
      </c>
      <c r="CY32" s="1622">
        <f t="shared" si="39"/>
        <v>0</v>
      </c>
      <c r="CZ32" s="1622">
        <f t="shared" si="40"/>
        <v>0</v>
      </c>
      <c r="DA32" s="1622">
        <f t="shared" si="41"/>
        <v>3121.1</v>
      </c>
      <c r="DD32" s="1624" t="s">
        <v>992</v>
      </c>
      <c r="DE32" s="1622">
        <v>13103200</v>
      </c>
      <c r="DF32" s="1622">
        <f t="shared" si="42"/>
        <v>13103.2</v>
      </c>
      <c r="DJ32" s="1624" t="s">
        <v>363</v>
      </c>
      <c r="DK32" s="1622">
        <v>3121100</v>
      </c>
      <c r="DL32" s="1622">
        <v>0</v>
      </c>
      <c r="DM32" s="1622">
        <v>3121100</v>
      </c>
      <c r="DN32" s="1622">
        <v>0</v>
      </c>
      <c r="DO32" s="1622">
        <f t="shared" si="43"/>
        <v>3121.1</v>
      </c>
      <c r="DP32" s="1622">
        <f t="shared" si="44"/>
        <v>0</v>
      </c>
      <c r="DQ32" s="1622">
        <f t="shared" si="45"/>
        <v>3121.1</v>
      </c>
      <c r="DR32" s="1622">
        <f t="shared" si="46"/>
        <v>0</v>
      </c>
      <c r="DV32" s="780" t="s">
        <v>570</v>
      </c>
      <c r="DW32" s="779">
        <v>10824245</v>
      </c>
      <c r="DX32" s="1626">
        <f t="shared" si="47"/>
        <v>10824.245000000001</v>
      </c>
      <c r="EA32" s="780" t="s">
        <v>363</v>
      </c>
      <c r="EB32" s="779">
        <v>3121100</v>
      </c>
      <c r="EC32" s="779">
        <v>0</v>
      </c>
      <c r="ED32" s="779">
        <v>0</v>
      </c>
      <c r="EE32" s="779">
        <v>3121100</v>
      </c>
      <c r="EF32" s="166">
        <f t="shared" si="48"/>
        <v>3121.1</v>
      </c>
      <c r="EG32" s="166">
        <f t="shared" si="49"/>
        <v>0</v>
      </c>
      <c r="EH32" s="166">
        <f t="shared" si="50"/>
        <v>0</v>
      </c>
      <c r="EI32" s="166">
        <f t="shared" si="51"/>
        <v>3121.1</v>
      </c>
    </row>
    <row r="33" spans="1:139" ht="15" customHeight="1" x14ac:dyDescent="0.3">
      <c r="A33" s="1625" t="s">
        <v>364</v>
      </c>
      <c r="B33" s="891">
        <v>14824050877</v>
      </c>
      <c r="C33" s="891">
        <v>1046906383</v>
      </c>
      <c r="D33" s="891">
        <v>13777144494</v>
      </c>
      <c r="E33" s="891">
        <v>1046906383</v>
      </c>
      <c r="F33" s="891">
        <f t="shared" si="8"/>
        <v>14824050.877</v>
      </c>
      <c r="G33" s="891">
        <f t="shared" si="9"/>
        <v>1046906.383</v>
      </c>
      <c r="H33" s="891">
        <f t="shared" si="10"/>
        <v>13777144.494000001</v>
      </c>
      <c r="I33" s="891">
        <f t="shared" si="11"/>
        <v>1046906.383</v>
      </c>
      <c r="L33" s="1625" t="s">
        <v>369</v>
      </c>
      <c r="M33" s="891">
        <v>40059061</v>
      </c>
      <c r="N33" s="891">
        <f t="shared" si="12"/>
        <v>40059.061000000002</v>
      </c>
      <c r="Q33" s="1625" t="s">
        <v>364</v>
      </c>
      <c r="R33" s="891">
        <v>14801018878</v>
      </c>
      <c r="S33" s="891">
        <v>2117368992</v>
      </c>
      <c r="T33" s="891">
        <v>12683649886</v>
      </c>
      <c r="U33" s="891">
        <v>2117368992</v>
      </c>
      <c r="V33" s="1622">
        <f t="shared" si="13"/>
        <v>14801018.878</v>
      </c>
      <c r="W33" s="1622">
        <f t="shared" si="14"/>
        <v>2117368.9920000001</v>
      </c>
      <c r="X33" s="1622">
        <f t="shared" si="15"/>
        <v>12683649.886</v>
      </c>
      <c r="Y33" s="1622">
        <f t="shared" si="16"/>
        <v>2117368.9920000001</v>
      </c>
      <c r="AB33" s="1625" t="s">
        <v>367</v>
      </c>
      <c r="AC33" s="891">
        <v>165216686</v>
      </c>
      <c r="AD33" s="1622">
        <f t="shared" si="17"/>
        <v>165216.68599999999</v>
      </c>
      <c r="AG33" s="1625" t="s">
        <v>364</v>
      </c>
      <c r="AH33" s="891">
        <v>14801518878</v>
      </c>
      <c r="AI33" s="891">
        <v>3998326302</v>
      </c>
      <c r="AJ33" s="891">
        <v>3998326302</v>
      </c>
      <c r="AK33" s="891">
        <v>10803192576</v>
      </c>
      <c r="AL33" s="1622">
        <f t="shared" si="18"/>
        <v>14801518.878</v>
      </c>
      <c r="AM33" s="1622">
        <f t="shared" si="19"/>
        <v>3998326.3020000001</v>
      </c>
      <c r="AN33" s="1622">
        <f t="shared" si="20"/>
        <v>3998326.3020000001</v>
      </c>
      <c r="AO33" s="1622">
        <f t="shared" si="21"/>
        <v>10803192.575999999</v>
      </c>
      <c r="AR33" s="1625" t="s">
        <v>368</v>
      </c>
      <c r="AS33" s="1622">
        <v>22604443</v>
      </c>
      <c r="AT33" s="1622">
        <f t="shared" si="22"/>
        <v>22604.442999999999</v>
      </c>
      <c r="AW33" s="1625" t="s">
        <v>364</v>
      </c>
      <c r="AX33" s="891">
        <v>14802801224</v>
      </c>
      <c r="AY33" s="891">
        <v>5074777821</v>
      </c>
      <c r="AZ33" s="891">
        <v>5074777821</v>
      </c>
      <c r="BA33" s="891">
        <v>9728023403</v>
      </c>
      <c r="BB33" s="1622">
        <f t="shared" si="23"/>
        <v>14802801.223999999</v>
      </c>
      <c r="BC33" s="1622">
        <f t="shared" si="24"/>
        <v>5074777.8210000005</v>
      </c>
      <c r="BD33" s="1622">
        <f t="shared" si="25"/>
        <v>5074777.8210000005</v>
      </c>
      <c r="BE33" s="1622">
        <f t="shared" si="26"/>
        <v>9728023.4030000009</v>
      </c>
      <c r="BH33" s="1625" t="s">
        <v>992</v>
      </c>
      <c r="BI33" s="1622">
        <v>12355200</v>
      </c>
      <c r="BJ33" s="1622">
        <f t="shared" si="27"/>
        <v>12355.2</v>
      </c>
      <c r="BM33" s="1625" t="s">
        <v>364</v>
      </c>
      <c r="BN33" s="1627">
        <v>14760612159</v>
      </c>
      <c r="BO33" s="1627">
        <v>6134924927</v>
      </c>
      <c r="BP33" s="1627">
        <v>6134924927</v>
      </c>
      <c r="BQ33" s="1627">
        <v>8625687232</v>
      </c>
      <c r="BR33" s="1622">
        <f t="shared" si="28"/>
        <v>14760612.159</v>
      </c>
      <c r="BS33" s="1622">
        <f t="shared" si="29"/>
        <v>6134924.9270000001</v>
      </c>
      <c r="BT33" s="1622">
        <f t="shared" si="30"/>
        <v>6134924.9270000001</v>
      </c>
      <c r="BU33" s="1622">
        <f t="shared" si="31"/>
        <v>8625687.2320000008</v>
      </c>
      <c r="BX33" s="1624" t="s">
        <v>367</v>
      </c>
      <c r="BY33" s="1622">
        <v>165701097</v>
      </c>
      <c r="BZ33" s="1622">
        <f t="shared" si="32"/>
        <v>165701.09700000001</v>
      </c>
      <c r="CC33" s="1622" t="s">
        <v>364</v>
      </c>
      <c r="CD33" s="1622">
        <v>14755492815</v>
      </c>
      <c r="CE33" s="1622">
        <v>8021043029</v>
      </c>
      <c r="CF33" s="1622">
        <v>8021043029</v>
      </c>
      <c r="CG33" s="1622">
        <v>6734449786</v>
      </c>
      <c r="CH33" s="1622">
        <f t="shared" si="33"/>
        <v>14755492.814999999</v>
      </c>
      <c r="CI33" s="1622">
        <f t="shared" si="34"/>
        <v>8021043.0290000001</v>
      </c>
      <c r="CJ33" s="1622">
        <f t="shared" si="35"/>
        <v>8021043.0290000001</v>
      </c>
      <c r="CK33" s="1622">
        <f t="shared" si="36"/>
        <v>6734449.7860000003</v>
      </c>
      <c r="CN33" s="1624" t="s">
        <v>368</v>
      </c>
      <c r="CO33" s="1622">
        <v>21975362</v>
      </c>
      <c r="CP33" s="1622">
        <f t="shared" si="37"/>
        <v>21975.362000000001</v>
      </c>
      <c r="CS33" s="1625" t="s">
        <v>364</v>
      </c>
      <c r="CT33" s="891">
        <v>14755492815</v>
      </c>
      <c r="CU33" s="891">
        <v>9089203736</v>
      </c>
      <c r="CV33" s="891">
        <v>9089203736</v>
      </c>
      <c r="CW33" s="891">
        <v>5666289079</v>
      </c>
      <c r="CX33" s="1622">
        <f t="shared" si="38"/>
        <v>14755492.814999999</v>
      </c>
      <c r="CY33" s="1622">
        <f t="shared" si="39"/>
        <v>9089203.7359999996</v>
      </c>
      <c r="CZ33" s="1622">
        <f t="shared" si="40"/>
        <v>9089203.7359999996</v>
      </c>
      <c r="DA33" s="1622">
        <f t="shared" si="41"/>
        <v>5666289.0789999999</v>
      </c>
      <c r="DD33" s="1624" t="s">
        <v>369</v>
      </c>
      <c r="DE33" s="1622">
        <v>43643567</v>
      </c>
      <c r="DF33" s="1622">
        <f t="shared" si="42"/>
        <v>43643.567000000003</v>
      </c>
      <c r="DJ33" s="1624" t="s">
        <v>364</v>
      </c>
      <c r="DK33" s="1622">
        <v>14755492815</v>
      </c>
      <c r="DL33" s="1622">
        <v>10175249454</v>
      </c>
      <c r="DM33" s="1622">
        <v>4580243361</v>
      </c>
      <c r="DN33" s="1622">
        <v>10175249454</v>
      </c>
      <c r="DO33" s="1622">
        <f t="shared" si="43"/>
        <v>14755492.814999999</v>
      </c>
      <c r="DP33" s="1622">
        <f t="shared" si="44"/>
        <v>10175249.454</v>
      </c>
      <c r="DQ33" s="1622">
        <f t="shared" si="45"/>
        <v>4580243.3609999996</v>
      </c>
      <c r="DR33" s="1622">
        <f t="shared" si="46"/>
        <v>10175249.454</v>
      </c>
      <c r="DV33" s="780" t="s">
        <v>367</v>
      </c>
      <c r="DW33" s="779">
        <v>170272837</v>
      </c>
      <c r="DX33" s="1626">
        <f t="shared" si="47"/>
        <v>170272.837</v>
      </c>
      <c r="EA33" s="780" t="s">
        <v>364</v>
      </c>
      <c r="EB33" s="779">
        <v>14755492815</v>
      </c>
      <c r="EC33" s="779">
        <v>12091614278</v>
      </c>
      <c r="ED33" s="779">
        <v>12091614278</v>
      </c>
      <c r="EE33" s="779">
        <v>2663878537</v>
      </c>
      <c r="EF33" s="166">
        <f t="shared" si="48"/>
        <v>14755492.814999999</v>
      </c>
      <c r="EG33" s="166">
        <f t="shared" si="49"/>
        <v>12091614.278000001</v>
      </c>
      <c r="EH33" s="166">
        <f t="shared" si="50"/>
        <v>12091614.278000001</v>
      </c>
      <c r="EI33" s="166">
        <f t="shared" si="51"/>
        <v>2663878.537</v>
      </c>
    </row>
    <row r="34" spans="1:139" ht="15" customHeight="1" x14ac:dyDescent="0.3">
      <c r="A34" s="1625" t="s">
        <v>365</v>
      </c>
      <c r="B34" s="891">
        <v>12418776130</v>
      </c>
      <c r="C34" s="891">
        <v>984236066</v>
      </c>
      <c r="D34" s="891">
        <v>11434540064</v>
      </c>
      <c r="E34" s="891">
        <v>984236066</v>
      </c>
      <c r="F34" s="891">
        <f t="shared" si="8"/>
        <v>12418776.130000001</v>
      </c>
      <c r="G34" s="891">
        <f t="shared" si="9"/>
        <v>984236.06599999999</v>
      </c>
      <c r="H34" s="891">
        <f t="shared" si="10"/>
        <v>11434540.063999999</v>
      </c>
      <c r="I34" s="891">
        <f t="shared" si="11"/>
        <v>984236.06599999999</v>
      </c>
      <c r="L34" s="1625" t="s">
        <v>578</v>
      </c>
      <c r="M34" s="891">
        <v>3291210</v>
      </c>
      <c r="N34" s="891">
        <f t="shared" si="12"/>
        <v>3291.21</v>
      </c>
      <c r="Q34" s="1625" t="s">
        <v>365</v>
      </c>
      <c r="R34" s="891">
        <v>12395544130</v>
      </c>
      <c r="S34" s="891">
        <v>1972418057</v>
      </c>
      <c r="T34" s="891">
        <v>10423126073</v>
      </c>
      <c r="U34" s="891">
        <v>1972418057</v>
      </c>
      <c r="V34" s="1622">
        <f t="shared" si="13"/>
        <v>12395544.130000001</v>
      </c>
      <c r="W34" s="1622">
        <f t="shared" si="14"/>
        <v>1972418.057</v>
      </c>
      <c r="X34" s="1622">
        <f t="shared" si="15"/>
        <v>10423126.073000001</v>
      </c>
      <c r="Y34" s="1622">
        <f t="shared" si="16"/>
        <v>1972418.057</v>
      </c>
      <c r="AB34" s="1625" t="s">
        <v>368</v>
      </c>
      <c r="AC34" s="891">
        <v>22623252</v>
      </c>
      <c r="AD34" s="1622">
        <f t="shared" si="17"/>
        <v>22623.252</v>
      </c>
      <c r="AG34" s="1625" t="s">
        <v>365</v>
      </c>
      <c r="AH34" s="891">
        <v>12395544130</v>
      </c>
      <c r="AI34" s="891">
        <v>3405219225</v>
      </c>
      <c r="AJ34" s="891">
        <v>3405219225</v>
      </c>
      <c r="AK34" s="891">
        <v>8990324905</v>
      </c>
      <c r="AL34" s="1622">
        <f t="shared" si="18"/>
        <v>12395544.130000001</v>
      </c>
      <c r="AM34" s="1622">
        <f t="shared" si="19"/>
        <v>3405219.2250000001</v>
      </c>
      <c r="AN34" s="1622">
        <f t="shared" si="20"/>
        <v>3405219.2250000001</v>
      </c>
      <c r="AO34" s="1622">
        <f t="shared" si="21"/>
        <v>8990324.9049999993</v>
      </c>
      <c r="AR34" s="1625" t="s">
        <v>572</v>
      </c>
      <c r="AS34" s="1622">
        <v>10836394</v>
      </c>
      <c r="AT34" s="1622">
        <f t="shared" si="22"/>
        <v>10836.394</v>
      </c>
      <c r="AW34" s="1625" t="s">
        <v>365</v>
      </c>
      <c r="AX34" s="891">
        <v>12395344130</v>
      </c>
      <c r="AY34" s="891">
        <v>4403353776</v>
      </c>
      <c r="AZ34" s="891">
        <v>4403353776</v>
      </c>
      <c r="BA34" s="891">
        <v>7991990354</v>
      </c>
      <c r="BB34" s="1622">
        <f t="shared" si="23"/>
        <v>12395344.130000001</v>
      </c>
      <c r="BC34" s="1622">
        <f t="shared" si="24"/>
        <v>4403353.7759999996</v>
      </c>
      <c r="BD34" s="1622">
        <f t="shared" si="25"/>
        <v>4403353.7759999996</v>
      </c>
      <c r="BE34" s="1622">
        <f t="shared" si="26"/>
        <v>7991990.3540000003</v>
      </c>
      <c r="BH34" s="1625" t="s">
        <v>369</v>
      </c>
      <c r="BI34" s="1622">
        <v>40674858</v>
      </c>
      <c r="BJ34" s="1622">
        <f t="shared" si="27"/>
        <v>40674.858</v>
      </c>
      <c r="BM34" s="1625" t="s">
        <v>365</v>
      </c>
      <c r="BN34" s="1627">
        <v>12350728169</v>
      </c>
      <c r="BO34" s="1627">
        <v>5387382931</v>
      </c>
      <c r="BP34" s="1627">
        <v>5387382931</v>
      </c>
      <c r="BQ34" s="1627">
        <v>6963345238</v>
      </c>
      <c r="BR34" s="1622">
        <f t="shared" si="28"/>
        <v>12350728.169</v>
      </c>
      <c r="BS34" s="1622">
        <f t="shared" si="29"/>
        <v>5387382.9309999999</v>
      </c>
      <c r="BT34" s="1622">
        <f t="shared" si="30"/>
        <v>5387382.9309999999</v>
      </c>
      <c r="BU34" s="1622">
        <f t="shared" si="31"/>
        <v>6963345.2379999999</v>
      </c>
      <c r="BX34" s="1624" t="s">
        <v>368</v>
      </c>
      <c r="BY34" s="1622">
        <v>21956553</v>
      </c>
      <c r="BZ34" s="1622">
        <f t="shared" si="32"/>
        <v>21956.553</v>
      </c>
      <c r="CC34" s="1622" t="s">
        <v>365</v>
      </c>
      <c r="CD34" s="1622">
        <v>12275728169</v>
      </c>
      <c r="CE34" s="1622">
        <v>6825414629</v>
      </c>
      <c r="CF34" s="1622">
        <v>6825414629</v>
      </c>
      <c r="CG34" s="1622">
        <v>5450313540</v>
      </c>
      <c r="CH34" s="1622">
        <f t="shared" si="33"/>
        <v>12275728.169</v>
      </c>
      <c r="CI34" s="1622">
        <f t="shared" si="34"/>
        <v>6825414.6289999997</v>
      </c>
      <c r="CJ34" s="1622">
        <f t="shared" si="35"/>
        <v>6825414.6289999997</v>
      </c>
      <c r="CK34" s="1622">
        <f t="shared" si="36"/>
        <v>5450313.54</v>
      </c>
      <c r="CN34" s="1624" t="s">
        <v>572</v>
      </c>
      <c r="CO34" s="1622">
        <v>11614805</v>
      </c>
      <c r="CP34" s="1622">
        <f t="shared" si="37"/>
        <v>11614.805</v>
      </c>
      <c r="CS34" s="1625" t="s">
        <v>365</v>
      </c>
      <c r="CT34" s="891">
        <v>12275728169</v>
      </c>
      <c r="CU34" s="891">
        <v>7819706277</v>
      </c>
      <c r="CV34" s="891">
        <v>7819706277</v>
      </c>
      <c r="CW34" s="891">
        <v>4456021892</v>
      </c>
      <c r="CX34" s="1622">
        <f t="shared" si="38"/>
        <v>12275728.169</v>
      </c>
      <c r="CY34" s="1622">
        <f t="shared" si="39"/>
        <v>7819706.2769999998</v>
      </c>
      <c r="CZ34" s="1622">
        <f t="shared" si="40"/>
        <v>7819706.2769999998</v>
      </c>
      <c r="DA34" s="1622">
        <f t="shared" si="41"/>
        <v>4456021.892</v>
      </c>
      <c r="DD34" s="1624" t="s">
        <v>578</v>
      </c>
      <c r="DE34" s="1622">
        <v>3455140</v>
      </c>
      <c r="DF34" s="1622">
        <f t="shared" si="42"/>
        <v>3455.14</v>
      </c>
      <c r="DJ34" s="1624" t="s">
        <v>365</v>
      </c>
      <c r="DK34" s="1622">
        <v>12275728169</v>
      </c>
      <c r="DL34" s="1622">
        <v>8826385410</v>
      </c>
      <c r="DM34" s="1622">
        <v>3449342759</v>
      </c>
      <c r="DN34" s="1622">
        <v>8826385410</v>
      </c>
      <c r="DO34" s="1622">
        <f t="shared" si="43"/>
        <v>12275728.169</v>
      </c>
      <c r="DP34" s="1622">
        <f t="shared" si="44"/>
        <v>8826385.4100000001</v>
      </c>
      <c r="DQ34" s="1622">
        <f t="shared" si="45"/>
        <v>3449342.7590000001</v>
      </c>
      <c r="DR34" s="1622">
        <f t="shared" si="46"/>
        <v>8826385.4100000001</v>
      </c>
      <c r="DV34" s="780" t="s">
        <v>368</v>
      </c>
      <c r="DW34" s="779">
        <v>22370361</v>
      </c>
      <c r="DX34" s="1626">
        <f t="shared" si="47"/>
        <v>22370.361000000001</v>
      </c>
      <c r="EA34" s="780" t="s">
        <v>365</v>
      </c>
      <c r="EB34" s="779">
        <v>12275728169</v>
      </c>
      <c r="EC34" s="779">
        <v>10281690257</v>
      </c>
      <c r="ED34" s="779">
        <v>10281690257</v>
      </c>
      <c r="EE34" s="779">
        <v>1994037912</v>
      </c>
      <c r="EF34" s="166">
        <f t="shared" si="48"/>
        <v>12275728.169</v>
      </c>
      <c r="EG34" s="166">
        <f t="shared" si="49"/>
        <v>10281690.256999999</v>
      </c>
      <c r="EH34" s="166">
        <f t="shared" si="50"/>
        <v>10281690.256999999</v>
      </c>
      <c r="EI34" s="166">
        <f t="shared" si="51"/>
        <v>1994037.912</v>
      </c>
    </row>
    <row r="35" spans="1:139" ht="15" customHeight="1" x14ac:dyDescent="0.3">
      <c r="A35" s="1625" t="s">
        <v>366</v>
      </c>
      <c r="B35" s="891">
        <v>2971337700</v>
      </c>
      <c r="C35" s="891">
        <v>234118868</v>
      </c>
      <c r="D35" s="891">
        <v>2737218832</v>
      </c>
      <c r="E35" s="891">
        <v>234118868</v>
      </c>
      <c r="F35" s="891">
        <f t="shared" si="8"/>
        <v>2971337.7</v>
      </c>
      <c r="G35" s="891">
        <f t="shared" si="9"/>
        <v>234118.86799999999</v>
      </c>
      <c r="H35" s="891">
        <f t="shared" si="10"/>
        <v>2737218.8319999999</v>
      </c>
      <c r="I35" s="891">
        <f t="shared" si="11"/>
        <v>234118.86799999999</v>
      </c>
      <c r="L35" s="1625" t="s">
        <v>579</v>
      </c>
      <c r="M35" s="891">
        <v>36767851</v>
      </c>
      <c r="N35" s="891">
        <f t="shared" si="12"/>
        <v>36767.851000000002</v>
      </c>
      <c r="Q35" s="1625" t="s">
        <v>366</v>
      </c>
      <c r="R35" s="891">
        <v>2804260900</v>
      </c>
      <c r="S35" s="891">
        <v>468940493</v>
      </c>
      <c r="T35" s="891">
        <v>2335320407</v>
      </c>
      <c r="U35" s="891">
        <v>468940493</v>
      </c>
      <c r="V35" s="1622">
        <f t="shared" si="13"/>
        <v>2804260.9</v>
      </c>
      <c r="W35" s="1622">
        <f t="shared" si="14"/>
        <v>468940.49300000002</v>
      </c>
      <c r="X35" s="1622">
        <f t="shared" si="15"/>
        <v>2335320.4070000001</v>
      </c>
      <c r="Y35" s="1622">
        <f t="shared" si="16"/>
        <v>468940.49300000002</v>
      </c>
      <c r="AB35" s="1625" t="s">
        <v>572</v>
      </c>
      <c r="AC35" s="891">
        <v>10836394</v>
      </c>
      <c r="AD35" s="1622">
        <f t="shared" si="17"/>
        <v>10836.394</v>
      </c>
      <c r="AG35" s="1625" t="s">
        <v>366</v>
      </c>
      <c r="AH35" s="891">
        <v>2804260900</v>
      </c>
      <c r="AI35" s="891">
        <v>704393850</v>
      </c>
      <c r="AJ35" s="891">
        <v>704393850</v>
      </c>
      <c r="AK35" s="891">
        <v>2099867050</v>
      </c>
      <c r="AL35" s="1622">
        <f t="shared" si="18"/>
        <v>2804260.9</v>
      </c>
      <c r="AM35" s="1622">
        <f t="shared" si="19"/>
        <v>704393.85</v>
      </c>
      <c r="AN35" s="1622">
        <f t="shared" si="20"/>
        <v>704393.85</v>
      </c>
      <c r="AO35" s="1622">
        <f t="shared" si="21"/>
        <v>2099867.0499999998</v>
      </c>
      <c r="AR35" s="1625" t="s">
        <v>573</v>
      </c>
      <c r="AS35" s="1622">
        <v>159791294</v>
      </c>
      <c r="AT35" s="1622">
        <f t="shared" si="22"/>
        <v>159791.29399999999</v>
      </c>
      <c r="AW35" s="1625" t="s">
        <v>366</v>
      </c>
      <c r="AX35" s="891">
        <v>2804060900</v>
      </c>
      <c r="AY35" s="891">
        <v>941532447</v>
      </c>
      <c r="AZ35" s="891">
        <v>941532447</v>
      </c>
      <c r="BA35" s="891">
        <v>1862528453</v>
      </c>
      <c r="BB35" s="1622">
        <f t="shared" si="23"/>
        <v>2804060.9</v>
      </c>
      <c r="BC35" s="1622">
        <f t="shared" si="24"/>
        <v>941532.44700000004</v>
      </c>
      <c r="BD35" s="1622">
        <f t="shared" si="25"/>
        <v>941532.44700000004</v>
      </c>
      <c r="BE35" s="1622">
        <f t="shared" si="26"/>
        <v>1862528.453</v>
      </c>
      <c r="BH35" s="1625" t="s">
        <v>578</v>
      </c>
      <c r="BI35" s="1622">
        <v>3404700</v>
      </c>
      <c r="BJ35" s="1622">
        <f t="shared" si="27"/>
        <v>3404.7</v>
      </c>
      <c r="BM35" s="1625" t="s">
        <v>366</v>
      </c>
      <c r="BN35" s="1627">
        <v>2759444939</v>
      </c>
      <c r="BO35" s="1627">
        <v>1175782130</v>
      </c>
      <c r="BP35" s="1627">
        <v>1175782130</v>
      </c>
      <c r="BQ35" s="1627">
        <v>1583662809</v>
      </c>
      <c r="BR35" s="1622">
        <f t="shared" si="28"/>
        <v>2759444.9389999998</v>
      </c>
      <c r="BS35" s="1622">
        <f t="shared" si="29"/>
        <v>1175782.1299999999</v>
      </c>
      <c r="BT35" s="1622">
        <f t="shared" si="30"/>
        <v>1175782.1299999999</v>
      </c>
      <c r="BU35" s="1622">
        <f t="shared" si="31"/>
        <v>1583662.8089999999</v>
      </c>
      <c r="BX35" s="1624" t="s">
        <v>572</v>
      </c>
      <c r="BY35" s="1622">
        <v>11614805</v>
      </c>
      <c r="BZ35" s="1622">
        <f t="shared" si="32"/>
        <v>11614.805</v>
      </c>
      <c r="CC35" s="1622" t="s">
        <v>366</v>
      </c>
      <c r="CD35" s="1622">
        <v>2684444939</v>
      </c>
      <c r="CE35" s="1622">
        <v>1411473353</v>
      </c>
      <c r="CF35" s="1622">
        <v>1411473353</v>
      </c>
      <c r="CG35" s="1622">
        <v>1272971586</v>
      </c>
      <c r="CH35" s="1622">
        <f t="shared" si="33"/>
        <v>2684444.9389999998</v>
      </c>
      <c r="CI35" s="1622">
        <f t="shared" si="34"/>
        <v>1411473.3529999999</v>
      </c>
      <c r="CJ35" s="1622">
        <f t="shared" si="35"/>
        <v>1411473.3529999999</v>
      </c>
      <c r="CK35" s="1622">
        <f t="shared" si="36"/>
        <v>1272971.5859999999</v>
      </c>
      <c r="CN35" s="1624" t="s">
        <v>573</v>
      </c>
      <c r="CO35" s="1622">
        <v>159437716</v>
      </c>
      <c r="CP35" s="1622">
        <f t="shared" si="37"/>
        <v>159437.71599999999</v>
      </c>
      <c r="CS35" s="1625" t="s">
        <v>366</v>
      </c>
      <c r="CT35" s="891">
        <v>2684444939</v>
      </c>
      <c r="CU35" s="891">
        <v>1647647378</v>
      </c>
      <c r="CV35" s="891">
        <v>1647647378</v>
      </c>
      <c r="CW35" s="891">
        <v>1036797561</v>
      </c>
      <c r="CX35" s="1622">
        <f t="shared" si="38"/>
        <v>2684444.9389999998</v>
      </c>
      <c r="CY35" s="1622">
        <f t="shared" si="39"/>
        <v>1647647.378</v>
      </c>
      <c r="CZ35" s="1622">
        <f t="shared" si="40"/>
        <v>1647647.378</v>
      </c>
      <c r="DA35" s="1622">
        <f t="shared" si="41"/>
        <v>1036797.561</v>
      </c>
      <c r="DD35" s="1624" t="s">
        <v>579</v>
      </c>
      <c r="DE35" s="1622">
        <v>40188427</v>
      </c>
      <c r="DF35" s="1622">
        <f t="shared" si="42"/>
        <v>40188.427000000003</v>
      </c>
      <c r="DJ35" s="1624" t="s">
        <v>366</v>
      </c>
      <c r="DK35" s="1622">
        <v>2684444939</v>
      </c>
      <c r="DL35" s="1622">
        <v>1886527228</v>
      </c>
      <c r="DM35" s="1622">
        <v>797917711</v>
      </c>
      <c r="DN35" s="1622">
        <v>1886527228</v>
      </c>
      <c r="DO35" s="1622">
        <f t="shared" si="43"/>
        <v>2684444.9389999998</v>
      </c>
      <c r="DP35" s="1622">
        <f t="shared" si="44"/>
        <v>1886527.2279999999</v>
      </c>
      <c r="DQ35" s="1622">
        <f t="shared" si="45"/>
        <v>797917.71100000001</v>
      </c>
      <c r="DR35" s="1622">
        <f t="shared" si="46"/>
        <v>1886527.2279999999</v>
      </c>
      <c r="DV35" s="780" t="s">
        <v>572</v>
      </c>
      <c r="DW35" s="779">
        <v>12805926</v>
      </c>
      <c r="DX35" s="1626">
        <f t="shared" si="47"/>
        <v>12805.925999999999</v>
      </c>
      <c r="EA35" s="780" t="s">
        <v>366</v>
      </c>
      <c r="EB35" s="779">
        <v>2284444939</v>
      </c>
      <c r="EC35" s="779">
        <v>2127893423</v>
      </c>
      <c r="ED35" s="779">
        <v>2127893423</v>
      </c>
      <c r="EE35" s="779">
        <v>156551516</v>
      </c>
      <c r="EF35" s="166">
        <f t="shared" si="48"/>
        <v>2284444.9389999998</v>
      </c>
      <c r="EG35" s="166">
        <f t="shared" si="49"/>
        <v>2127893.423</v>
      </c>
      <c r="EH35" s="166">
        <f t="shared" si="50"/>
        <v>2127893.423</v>
      </c>
      <c r="EI35" s="166">
        <f t="shared" si="51"/>
        <v>156551.516</v>
      </c>
    </row>
    <row r="36" spans="1:139" ht="15" customHeight="1" x14ac:dyDescent="0.3">
      <c r="A36" s="1625" t="s">
        <v>570</v>
      </c>
      <c r="B36" s="891">
        <v>126648201</v>
      </c>
      <c r="C36" s="891">
        <v>9785930</v>
      </c>
      <c r="D36" s="891">
        <v>116862271</v>
      </c>
      <c r="E36" s="891">
        <v>9785930</v>
      </c>
      <c r="F36" s="891">
        <f t="shared" si="8"/>
        <v>126648.201</v>
      </c>
      <c r="G36" s="891">
        <f t="shared" si="9"/>
        <v>9785.93</v>
      </c>
      <c r="H36" s="891">
        <f t="shared" si="10"/>
        <v>116862.27099999999</v>
      </c>
      <c r="I36" s="891">
        <f t="shared" si="11"/>
        <v>9785.93</v>
      </c>
      <c r="L36" s="1625" t="s">
        <v>371</v>
      </c>
      <c r="M36" s="891">
        <v>42221557</v>
      </c>
      <c r="N36" s="891">
        <f t="shared" si="12"/>
        <v>42221.557000000001</v>
      </c>
      <c r="Q36" s="1625" t="s">
        <v>570</v>
      </c>
      <c r="R36" s="891">
        <v>126648201</v>
      </c>
      <c r="S36" s="891">
        <v>19776524</v>
      </c>
      <c r="T36" s="891">
        <v>106871677</v>
      </c>
      <c r="U36" s="891">
        <v>19776524</v>
      </c>
      <c r="V36" s="1622">
        <f t="shared" si="13"/>
        <v>126648.201</v>
      </c>
      <c r="W36" s="1622">
        <f t="shared" si="14"/>
        <v>19776.524000000001</v>
      </c>
      <c r="X36" s="1622">
        <f t="shared" si="15"/>
        <v>106871.677</v>
      </c>
      <c r="Y36" s="1622">
        <f t="shared" si="16"/>
        <v>19776.524000000001</v>
      </c>
      <c r="AB36" s="1625" t="s">
        <v>573</v>
      </c>
      <c r="AC36" s="891">
        <v>234434317</v>
      </c>
      <c r="AD36" s="1622">
        <f t="shared" si="17"/>
        <v>234434.31700000001</v>
      </c>
      <c r="AG36" s="1625" t="s">
        <v>570</v>
      </c>
      <c r="AH36" s="891">
        <v>126648201</v>
      </c>
      <c r="AI36" s="891">
        <v>29960908</v>
      </c>
      <c r="AJ36" s="891">
        <v>29960908</v>
      </c>
      <c r="AK36" s="891">
        <v>96687293</v>
      </c>
      <c r="AL36" s="1622">
        <f t="shared" si="18"/>
        <v>126648.201</v>
      </c>
      <c r="AM36" s="1622">
        <f t="shared" si="19"/>
        <v>29960.907999999999</v>
      </c>
      <c r="AN36" s="1622">
        <f t="shared" si="20"/>
        <v>29960.907999999999</v>
      </c>
      <c r="AO36" s="1622">
        <f t="shared" si="21"/>
        <v>96687.293000000005</v>
      </c>
      <c r="AR36" s="1625" t="s">
        <v>574</v>
      </c>
      <c r="AS36" s="1622">
        <v>377817966</v>
      </c>
      <c r="AT36" s="1622">
        <f t="shared" si="22"/>
        <v>377817.96600000001</v>
      </c>
      <c r="AW36" s="1625" t="s">
        <v>570</v>
      </c>
      <c r="AX36" s="891">
        <v>126648201</v>
      </c>
      <c r="AY36" s="891">
        <v>40254101</v>
      </c>
      <c r="AZ36" s="891">
        <v>40254101</v>
      </c>
      <c r="BA36" s="891">
        <v>86394100</v>
      </c>
      <c r="BB36" s="1622">
        <f t="shared" si="23"/>
        <v>126648.201</v>
      </c>
      <c r="BC36" s="1622">
        <f t="shared" si="24"/>
        <v>40254.101000000002</v>
      </c>
      <c r="BD36" s="1622">
        <f t="shared" si="25"/>
        <v>40254.101000000002</v>
      </c>
      <c r="BE36" s="1622">
        <f t="shared" si="26"/>
        <v>86394.1</v>
      </c>
      <c r="BH36" s="1625" t="s">
        <v>579</v>
      </c>
      <c r="BI36" s="1622">
        <v>37270158</v>
      </c>
      <c r="BJ36" s="1622">
        <f t="shared" si="27"/>
        <v>37270.158000000003</v>
      </c>
      <c r="BM36" s="1625" t="s">
        <v>570</v>
      </c>
      <c r="BN36" s="1627">
        <v>126648201</v>
      </c>
      <c r="BO36" s="1627">
        <v>50637112</v>
      </c>
      <c r="BP36" s="1627">
        <v>50637112</v>
      </c>
      <c r="BQ36" s="1627">
        <v>76011089</v>
      </c>
      <c r="BR36" s="1622">
        <f t="shared" si="28"/>
        <v>126648.201</v>
      </c>
      <c r="BS36" s="1622">
        <f t="shared" si="29"/>
        <v>50637.112000000001</v>
      </c>
      <c r="BT36" s="1622">
        <f t="shared" si="30"/>
        <v>50637.112000000001</v>
      </c>
      <c r="BU36" s="1622">
        <f t="shared" si="31"/>
        <v>76011.089000000007</v>
      </c>
      <c r="BX36" s="1624" t="s">
        <v>573</v>
      </c>
      <c r="BY36" s="1622">
        <v>238877048</v>
      </c>
      <c r="BZ36" s="1622">
        <f t="shared" si="32"/>
        <v>238877.04800000001</v>
      </c>
      <c r="CC36" s="1622" t="s">
        <v>570</v>
      </c>
      <c r="CD36" s="1622">
        <v>126648201</v>
      </c>
      <c r="CE36" s="1622">
        <v>61254980</v>
      </c>
      <c r="CF36" s="1622">
        <v>61254980</v>
      </c>
      <c r="CG36" s="1622">
        <v>65393221</v>
      </c>
      <c r="CH36" s="1622">
        <f t="shared" si="33"/>
        <v>126648.201</v>
      </c>
      <c r="CI36" s="1622">
        <f t="shared" si="34"/>
        <v>61254.98</v>
      </c>
      <c r="CJ36" s="1622">
        <f t="shared" si="35"/>
        <v>61254.98</v>
      </c>
      <c r="CK36" s="1622">
        <f t="shared" si="36"/>
        <v>65393.220999999998</v>
      </c>
      <c r="CN36" s="1624" t="s">
        <v>574</v>
      </c>
      <c r="CO36" s="1622">
        <v>375697544</v>
      </c>
      <c r="CP36" s="1622">
        <f t="shared" si="37"/>
        <v>375697.54399999999</v>
      </c>
      <c r="CS36" s="1625" t="s">
        <v>570</v>
      </c>
      <c r="CT36" s="891">
        <v>126648201</v>
      </c>
      <c r="CU36" s="891">
        <v>71893489</v>
      </c>
      <c r="CV36" s="891">
        <v>71893489</v>
      </c>
      <c r="CW36" s="891">
        <v>54754712</v>
      </c>
      <c r="CX36" s="1622">
        <f t="shared" si="38"/>
        <v>126648.201</v>
      </c>
      <c r="CY36" s="1622">
        <f t="shared" si="39"/>
        <v>71893.489000000001</v>
      </c>
      <c r="CZ36" s="1622">
        <f t="shared" si="40"/>
        <v>71893.489000000001</v>
      </c>
      <c r="DA36" s="1622">
        <f t="shared" si="41"/>
        <v>54754.712</v>
      </c>
      <c r="DD36" s="1624" t="s">
        <v>371</v>
      </c>
      <c r="DE36" s="1622">
        <v>35723018</v>
      </c>
      <c r="DF36" s="1622">
        <f t="shared" si="42"/>
        <v>35723.017999999996</v>
      </c>
      <c r="DJ36" s="1624" t="s">
        <v>570</v>
      </c>
      <c r="DK36" s="1622">
        <v>126648201</v>
      </c>
      <c r="DL36" s="1622">
        <v>82616431</v>
      </c>
      <c r="DM36" s="1622">
        <v>44031770</v>
      </c>
      <c r="DN36" s="1622">
        <v>82616431</v>
      </c>
      <c r="DO36" s="1622">
        <f t="shared" si="43"/>
        <v>126648.201</v>
      </c>
      <c r="DP36" s="1622">
        <f t="shared" si="44"/>
        <v>82616.430999999997</v>
      </c>
      <c r="DQ36" s="1622">
        <f t="shared" si="45"/>
        <v>44031.77</v>
      </c>
      <c r="DR36" s="1622">
        <f t="shared" si="46"/>
        <v>82616.430999999997</v>
      </c>
      <c r="DV36" s="780" t="s">
        <v>573</v>
      </c>
      <c r="DW36" s="779">
        <v>243442785</v>
      </c>
      <c r="DX36" s="1626">
        <f t="shared" si="47"/>
        <v>243442.785</v>
      </c>
      <c r="EA36" s="780" t="s">
        <v>570</v>
      </c>
      <c r="EB36" s="779">
        <v>126648201</v>
      </c>
      <c r="EC36" s="779">
        <v>93440676</v>
      </c>
      <c r="ED36" s="779">
        <v>93440676</v>
      </c>
      <c r="EE36" s="779">
        <v>33207525</v>
      </c>
      <c r="EF36" s="166">
        <f t="shared" si="48"/>
        <v>126648.201</v>
      </c>
      <c r="EG36" s="166">
        <f t="shared" si="49"/>
        <v>93440.676000000007</v>
      </c>
      <c r="EH36" s="166">
        <f t="shared" si="50"/>
        <v>93440.676000000007</v>
      </c>
      <c r="EI36" s="166">
        <f t="shared" si="51"/>
        <v>33207.525000000001</v>
      </c>
    </row>
    <row r="37" spans="1:139" ht="15" customHeight="1" x14ac:dyDescent="0.3">
      <c r="A37" s="1625" t="s">
        <v>367</v>
      </c>
      <c r="B37" s="891">
        <v>1992107137</v>
      </c>
      <c r="C37" s="891">
        <v>163949740</v>
      </c>
      <c r="D37" s="891">
        <v>1828157397</v>
      </c>
      <c r="E37" s="891">
        <v>163949740</v>
      </c>
      <c r="F37" s="891">
        <f t="shared" si="8"/>
        <v>1992107.1370000001</v>
      </c>
      <c r="G37" s="891">
        <f t="shared" si="9"/>
        <v>163949.74</v>
      </c>
      <c r="H37" s="891">
        <f t="shared" si="10"/>
        <v>1828157.3970000001</v>
      </c>
      <c r="I37" s="891">
        <f t="shared" si="11"/>
        <v>163949.74</v>
      </c>
      <c r="L37" s="1625" t="s">
        <v>582</v>
      </c>
      <c r="M37" s="891">
        <v>20003036</v>
      </c>
      <c r="N37" s="891">
        <f t="shared" si="12"/>
        <v>20003.036</v>
      </c>
      <c r="Q37" s="1625" t="s">
        <v>367</v>
      </c>
      <c r="R37" s="891">
        <v>1992107137</v>
      </c>
      <c r="S37" s="891">
        <v>328699909</v>
      </c>
      <c r="T37" s="891">
        <v>1663407228</v>
      </c>
      <c r="U37" s="891">
        <v>328699909</v>
      </c>
      <c r="V37" s="1622">
        <f t="shared" si="13"/>
        <v>1992107.1370000001</v>
      </c>
      <c r="W37" s="1622">
        <f t="shared" si="14"/>
        <v>328699.90899999999</v>
      </c>
      <c r="X37" s="1622">
        <f t="shared" si="15"/>
        <v>1663407.2279999999</v>
      </c>
      <c r="Y37" s="1622">
        <f t="shared" si="16"/>
        <v>328699.90899999999</v>
      </c>
      <c r="AB37" s="1625" t="s">
        <v>574</v>
      </c>
      <c r="AC37" s="891">
        <v>374990855</v>
      </c>
      <c r="AD37" s="1622">
        <f t="shared" si="17"/>
        <v>374990.85499999998</v>
      </c>
      <c r="AG37" s="1625" t="s">
        <v>367</v>
      </c>
      <c r="AH37" s="891">
        <v>1992107137</v>
      </c>
      <c r="AI37" s="891">
        <v>493916595</v>
      </c>
      <c r="AJ37" s="891">
        <v>493916595</v>
      </c>
      <c r="AK37" s="891">
        <v>1498190542</v>
      </c>
      <c r="AL37" s="1622">
        <f t="shared" si="18"/>
        <v>1992107.1370000001</v>
      </c>
      <c r="AM37" s="1622">
        <f t="shared" si="19"/>
        <v>493916.59499999997</v>
      </c>
      <c r="AN37" s="1622">
        <f t="shared" si="20"/>
        <v>493916.59499999997</v>
      </c>
      <c r="AO37" s="1622">
        <f t="shared" si="21"/>
        <v>1498190.5419999999</v>
      </c>
      <c r="AR37" s="1625" t="s">
        <v>575</v>
      </c>
      <c r="AS37" s="1622">
        <v>0</v>
      </c>
      <c r="AT37" s="1622">
        <f t="shared" si="22"/>
        <v>0</v>
      </c>
      <c r="AW37" s="1625" t="s">
        <v>367</v>
      </c>
      <c r="AX37" s="891">
        <v>1992107137</v>
      </c>
      <c r="AY37" s="891">
        <v>660369259</v>
      </c>
      <c r="AZ37" s="891">
        <v>660369259</v>
      </c>
      <c r="BA37" s="891">
        <v>1331737878</v>
      </c>
      <c r="BB37" s="1622">
        <f t="shared" si="23"/>
        <v>1992107.1370000001</v>
      </c>
      <c r="BC37" s="1622">
        <f t="shared" si="24"/>
        <v>660369.25899999996</v>
      </c>
      <c r="BD37" s="1622">
        <f t="shared" si="25"/>
        <v>660369.25899999996</v>
      </c>
      <c r="BE37" s="1622">
        <f t="shared" si="26"/>
        <v>1331737.878</v>
      </c>
      <c r="BH37" s="1625" t="s">
        <v>371</v>
      </c>
      <c r="BI37" s="1622">
        <v>35443093</v>
      </c>
      <c r="BJ37" s="1622">
        <f t="shared" si="27"/>
        <v>35443.093000000001</v>
      </c>
      <c r="BM37" s="1625" t="s">
        <v>367</v>
      </c>
      <c r="BN37" s="1627">
        <v>1992107137</v>
      </c>
      <c r="BO37" s="1627">
        <v>824518138</v>
      </c>
      <c r="BP37" s="1627">
        <v>824518138</v>
      </c>
      <c r="BQ37" s="1627">
        <v>1167588999</v>
      </c>
      <c r="BR37" s="1622">
        <f t="shared" si="28"/>
        <v>1992107.1370000001</v>
      </c>
      <c r="BS37" s="1622">
        <f t="shared" si="29"/>
        <v>824518.13800000004</v>
      </c>
      <c r="BT37" s="1622">
        <f t="shared" si="30"/>
        <v>824518.13800000004</v>
      </c>
      <c r="BU37" s="1622">
        <f t="shared" si="31"/>
        <v>1167588.9990000001</v>
      </c>
      <c r="BX37" s="1624" t="s">
        <v>574</v>
      </c>
      <c r="BY37" s="1622">
        <v>374844089</v>
      </c>
      <c r="BZ37" s="1622">
        <f t="shared" si="32"/>
        <v>374844.08899999998</v>
      </c>
      <c r="CC37" s="1622" t="s">
        <v>367</v>
      </c>
      <c r="CD37" s="1622">
        <v>1992107137</v>
      </c>
      <c r="CE37" s="1622">
        <v>990219235</v>
      </c>
      <c r="CF37" s="1622">
        <v>990219235</v>
      </c>
      <c r="CG37" s="1622">
        <v>1001887902</v>
      </c>
      <c r="CH37" s="1622">
        <f t="shared" si="33"/>
        <v>1992107.1370000001</v>
      </c>
      <c r="CI37" s="1622">
        <f t="shared" si="34"/>
        <v>990219.23499999999</v>
      </c>
      <c r="CJ37" s="1622">
        <f t="shared" si="35"/>
        <v>990219.23499999999</v>
      </c>
      <c r="CK37" s="1622">
        <f t="shared" si="36"/>
        <v>1001887.902</v>
      </c>
      <c r="CN37" s="1624" t="s">
        <v>575</v>
      </c>
      <c r="CO37" s="1622">
        <v>0</v>
      </c>
      <c r="CP37" s="1622">
        <f t="shared" si="37"/>
        <v>0</v>
      </c>
      <c r="CS37" s="1625" t="s">
        <v>367</v>
      </c>
      <c r="CT37" s="891">
        <v>1992107137</v>
      </c>
      <c r="CU37" s="891">
        <v>1156300922</v>
      </c>
      <c r="CV37" s="891">
        <v>1156300922</v>
      </c>
      <c r="CW37" s="891">
        <v>835806215</v>
      </c>
      <c r="CX37" s="1622">
        <f t="shared" si="38"/>
        <v>1992107.1370000001</v>
      </c>
      <c r="CY37" s="1622">
        <f t="shared" si="39"/>
        <v>1156300.922</v>
      </c>
      <c r="CZ37" s="1622">
        <f t="shared" si="40"/>
        <v>1156300.922</v>
      </c>
      <c r="DA37" s="1622">
        <f t="shared" si="41"/>
        <v>835806.21499999997</v>
      </c>
      <c r="DD37" s="1624" t="s">
        <v>582</v>
      </c>
      <c r="DE37" s="1622">
        <v>18327028</v>
      </c>
      <c r="DF37" s="1622">
        <f t="shared" si="42"/>
        <v>18327.027999999998</v>
      </c>
      <c r="DJ37" s="1624" t="s">
        <v>367</v>
      </c>
      <c r="DK37" s="1622">
        <v>1992107137</v>
      </c>
      <c r="DL37" s="1622">
        <v>1324508385</v>
      </c>
      <c r="DM37" s="1622">
        <v>667598752</v>
      </c>
      <c r="DN37" s="1622">
        <v>1324508385</v>
      </c>
      <c r="DO37" s="1622">
        <f t="shared" si="43"/>
        <v>1992107.1370000001</v>
      </c>
      <c r="DP37" s="1622">
        <f t="shared" si="44"/>
        <v>1324508.385</v>
      </c>
      <c r="DQ37" s="1622">
        <f t="shared" si="45"/>
        <v>667598.75199999998</v>
      </c>
      <c r="DR37" s="1622">
        <f t="shared" si="46"/>
        <v>1324508.385</v>
      </c>
      <c r="DV37" s="780" t="s">
        <v>574</v>
      </c>
      <c r="DW37" s="779">
        <v>383925048</v>
      </c>
      <c r="DX37" s="1626">
        <f t="shared" si="47"/>
        <v>383925.04800000001</v>
      </c>
      <c r="EA37" s="780" t="s">
        <v>367</v>
      </c>
      <c r="EB37" s="779">
        <v>1992107137</v>
      </c>
      <c r="EC37" s="779">
        <v>1494781222</v>
      </c>
      <c r="ED37" s="779">
        <v>1494781222</v>
      </c>
      <c r="EE37" s="779">
        <v>497325915</v>
      </c>
      <c r="EF37" s="166">
        <f t="shared" si="48"/>
        <v>1992107.1370000001</v>
      </c>
      <c r="EG37" s="166">
        <f t="shared" si="49"/>
        <v>1494781.2220000001</v>
      </c>
      <c r="EH37" s="166">
        <f t="shared" si="50"/>
        <v>1494781.2220000001</v>
      </c>
      <c r="EI37" s="166">
        <f t="shared" si="51"/>
        <v>497325.91499999998</v>
      </c>
    </row>
    <row r="38" spans="1:139" ht="15" customHeight="1" x14ac:dyDescent="0.3">
      <c r="A38" s="1625" t="s">
        <v>368</v>
      </c>
      <c r="B38" s="891">
        <v>278309698</v>
      </c>
      <c r="C38" s="891">
        <v>22604443</v>
      </c>
      <c r="D38" s="891">
        <v>255705255</v>
      </c>
      <c r="E38" s="891">
        <v>22604443</v>
      </c>
      <c r="F38" s="891">
        <f t="shared" si="8"/>
        <v>278309.69799999997</v>
      </c>
      <c r="G38" s="891">
        <f t="shared" si="9"/>
        <v>22604.442999999999</v>
      </c>
      <c r="H38" s="891">
        <f t="shared" si="10"/>
        <v>255705.255</v>
      </c>
      <c r="I38" s="891">
        <f t="shared" si="11"/>
        <v>22604.442999999999</v>
      </c>
      <c r="L38" s="1625" t="s">
        <v>583</v>
      </c>
      <c r="M38" s="891">
        <v>8433027</v>
      </c>
      <c r="N38" s="891">
        <f t="shared" si="12"/>
        <v>8433.027</v>
      </c>
      <c r="Q38" s="1625" t="s">
        <v>368</v>
      </c>
      <c r="R38" s="891">
        <v>278309698</v>
      </c>
      <c r="S38" s="891">
        <v>45208886</v>
      </c>
      <c r="T38" s="891">
        <v>233100812</v>
      </c>
      <c r="U38" s="891">
        <v>45208886</v>
      </c>
      <c r="V38" s="1622">
        <f t="shared" si="13"/>
        <v>278309.69799999997</v>
      </c>
      <c r="W38" s="1622">
        <f t="shared" si="14"/>
        <v>45208.885999999999</v>
      </c>
      <c r="X38" s="1622">
        <f t="shared" si="15"/>
        <v>233100.81200000001</v>
      </c>
      <c r="Y38" s="1622">
        <f t="shared" si="16"/>
        <v>45208.885999999999</v>
      </c>
      <c r="AB38" s="1625" t="s">
        <v>575</v>
      </c>
      <c r="AC38" s="891">
        <v>353260716</v>
      </c>
      <c r="AD38" s="1622">
        <f t="shared" si="17"/>
        <v>353260.71600000001</v>
      </c>
      <c r="AG38" s="1625" t="s">
        <v>368</v>
      </c>
      <c r="AH38" s="891">
        <v>278309698</v>
      </c>
      <c r="AI38" s="891">
        <v>67832138</v>
      </c>
      <c r="AJ38" s="891">
        <v>67832138</v>
      </c>
      <c r="AK38" s="891">
        <v>210477560</v>
      </c>
      <c r="AL38" s="1622">
        <f t="shared" si="18"/>
        <v>278309.69799999997</v>
      </c>
      <c r="AM38" s="1622">
        <f t="shared" si="19"/>
        <v>67832.138000000006</v>
      </c>
      <c r="AN38" s="1622">
        <f t="shared" si="20"/>
        <v>67832.138000000006</v>
      </c>
      <c r="AO38" s="1622">
        <f t="shared" si="21"/>
        <v>210477.56</v>
      </c>
      <c r="AR38" s="1625" t="s">
        <v>576</v>
      </c>
      <c r="AS38" s="1622">
        <v>0</v>
      </c>
      <c r="AT38" s="1622">
        <f t="shared" si="22"/>
        <v>0</v>
      </c>
      <c r="AW38" s="1625" t="s">
        <v>368</v>
      </c>
      <c r="AX38" s="891">
        <v>278309698</v>
      </c>
      <c r="AY38" s="891">
        <v>90436581</v>
      </c>
      <c r="AZ38" s="891">
        <v>90436581</v>
      </c>
      <c r="BA38" s="891">
        <v>187873117</v>
      </c>
      <c r="BB38" s="1622">
        <f t="shared" si="23"/>
        <v>278309.69799999997</v>
      </c>
      <c r="BC38" s="1622">
        <f t="shared" si="24"/>
        <v>90436.581000000006</v>
      </c>
      <c r="BD38" s="1622">
        <f t="shared" si="25"/>
        <v>90436.581000000006</v>
      </c>
      <c r="BE38" s="1622">
        <f t="shared" si="26"/>
        <v>187873.117</v>
      </c>
      <c r="BH38" s="1625" t="s">
        <v>582</v>
      </c>
      <c r="BI38" s="1622">
        <v>20564293</v>
      </c>
      <c r="BJ38" s="1622">
        <f t="shared" si="27"/>
        <v>20564.293000000001</v>
      </c>
      <c r="BM38" s="1625" t="s">
        <v>368</v>
      </c>
      <c r="BN38" s="1627">
        <v>278309698</v>
      </c>
      <c r="BO38" s="1627">
        <v>112035755</v>
      </c>
      <c r="BP38" s="1627">
        <v>112035755</v>
      </c>
      <c r="BQ38" s="1627">
        <v>166273943</v>
      </c>
      <c r="BR38" s="1622">
        <f t="shared" si="28"/>
        <v>278309.69799999997</v>
      </c>
      <c r="BS38" s="1622">
        <f t="shared" si="29"/>
        <v>112035.755</v>
      </c>
      <c r="BT38" s="1622">
        <f t="shared" si="30"/>
        <v>112035.755</v>
      </c>
      <c r="BU38" s="1622">
        <f t="shared" si="31"/>
        <v>166273.943</v>
      </c>
      <c r="BX38" s="1624" t="s">
        <v>575</v>
      </c>
      <c r="BY38" s="1622">
        <v>353897053</v>
      </c>
      <c r="BZ38" s="1622">
        <f t="shared" si="32"/>
        <v>353897.05300000001</v>
      </c>
      <c r="CC38" s="1622" t="s">
        <v>368</v>
      </c>
      <c r="CD38" s="1622">
        <v>278309698</v>
      </c>
      <c r="CE38" s="1622">
        <v>133992308</v>
      </c>
      <c r="CF38" s="1622">
        <v>133992308</v>
      </c>
      <c r="CG38" s="1622">
        <v>144317390</v>
      </c>
      <c r="CH38" s="1622">
        <f t="shared" si="33"/>
        <v>278309.69799999997</v>
      </c>
      <c r="CI38" s="1622">
        <f t="shared" si="34"/>
        <v>133992.30799999999</v>
      </c>
      <c r="CJ38" s="1622">
        <f t="shared" si="35"/>
        <v>133992.30799999999</v>
      </c>
      <c r="CK38" s="1622">
        <f t="shared" si="36"/>
        <v>144317.39000000001</v>
      </c>
      <c r="CN38" s="1624" t="s">
        <v>576</v>
      </c>
      <c r="CO38" s="1622">
        <v>0</v>
      </c>
      <c r="CP38" s="1622">
        <f t="shared" si="37"/>
        <v>0</v>
      </c>
      <c r="CS38" s="1625" t="s">
        <v>368</v>
      </c>
      <c r="CT38" s="891">
        <v>278309698</v>
      </c>
      <c r="CU38" s="891">
        <v>155967670</v>
      </c>
      <c r="CV38" s="891">
        <v>155967670</v>
      </c>
      <c r="CW38" s="891">
        <v>122342028</v>
      </c>
      <c r="CX38" s="1622">
        <f t="shared" si="38"/>
        <v>278309.69799999997</v>
      </c>
      <c r="CY38" s="1622">
        <f t="shared" si="39"/>
        <v>155967.67000000001</v>
      </c>
      <c r="CZ38" s="1622">
        <f t="shared" si="40"/>
        <v>155967.67000000001</v>
      </c>
      <c r="DA38" s="1622">
        <f t="shared" si="41"/>
        <v>122342.02800000001</v>
      </c>
      <c r="DD38" s="1624" t="s">
        <v>583</v>
      </c>
      <c r="DE38" s="1622">
        <v>4335336</v>
      </c>
      <c r="DF38" s="1622">
        <f t="shared" si="42"/>
        <v>4335.3360000000002</v>
      </c>
      <c r="DJ38" s="1624" t="s">
        <v>368</v>
      </c>
      <c r="DK38" s="1622">
        <v>278309698</v>
      </c>
      <c r="DL38" s="1622">
        <v>178338029</v>
      </c>
      <c r="DM38" s="1622">
        <v>99971669</v>
      </c>
      <c r="DN38" s="1622">
        <v>178338029</v>
      </c>
      <c r="DO38" s="1622">
        <f t="shared" si="43"/>
        <v>278309.69799999997</v>
      </c>
      <c r="DP38" s="1622">
        <f t="shared" si="44"/>
        <v>178338.02900000001</v>
      </c>
      <c r="DQ38" s="1622">
        <f t="shared" si="45"/>
        <v>99971.668999999994</v>
      </c>
      <c r="DR38" s="1622">
        <f t="shared" si="46"/>
        <v>178338.02900000001</v>
      </c>
      <c r="DV38" s="780" t="s">
        <v>575</v>
      </c>
      <c r="DW38" s="779">
        <v>358075976</v>
      </c>
      <c r="DX38" s="1626">
        <f t="shared" si="47"/>
        <v>358075.97600000002</v>
      </c>
      <c r="EA38" s="780" t="s">
        <v>368</v>
      </c>
      <c r="EB38" s="779">
        <v>278309698</v>
      </c>
      <c r="EC38" s="779">
        <v>200708390</v>
      </c>
      <c r="ED38" s="779">
        <v>200708390</v>
      </c>
      <c r="EE38" s="779">
        <v>77601308</v>
      </c>
      <c r="EF38" s="166">
        <f t="shared" si="48"/>
        <v>278309.69799999997</v>
      </c>
      <c r="EG38" s="166">
        <f t="shared" si="49"/>
        <v>200708.39</v>
      </c>
      <c r="EH38" s="166">
        <f t="shared" si="50"/>
        <v>200708.39</v>
      </c>
      <c r="EI38" s="166">
        <f t="shared" si="51"/>
        <v>77601.308000000005</v>
      </c>
    </row>
    <row r="39" spans="1:139" ht="15" customHeight="1" x14ac:dyDescent="0.3">
      <c r="A39" s="1625" t="s">
        <v>571</v>
      </c>
      <c r="B39" s="891">
        <v>24742</v>
      </c>
      <c r="C39" s="891">
        <v>0</v>
      </c>
      <c r="D39" s="891">
        <v>24742</v>
      </c>
      <c r="E39" s="891">
        <v>0</v>
      </c>
      <c r="F39" s="891">
        <f t="shared" si="8"/>
        <v>24.742000000000001</v>
      </c>
      <c r="G39" s="891">
        <f t="shared" si="9"/>
        <v>0</v>
      </c>
      <c r="H39" s="891">
        <f t="shared" si="10"/>
        <v>24.742000000000001</v>
      </c>
      <c r="I39" s="891">
        <f t="shared" si="11"/>
        <v>0</v>
      </c>
      <c r="L39" s="1625" t="s">
        <v>624</v>
      </c>
      <c r="M39" s="891">
        <v>13785494</v>
      </c>
      <c r="N39" s="891">
        <f t="shared" si="12"/>
        <v>13785.494000000001</v>
      </c>
      <c r="Q39" s="1625" t="s">
        <v>571</v>
      </c>
      <c r="R39" s="891">
        <v>24742</v>
      </c>
      <c r="S39" s="891">
        <v>0</v>
      </c>
      <c r="T39" s="891">
        <v>24742</v>
      </c>
      <c r="U39" s="891">
        <v>0</v>
      </c>
      <c r="V39" s="1622">
        <f t="shared" si="13"/>
        <v>24.742000000000001</v>
      </c>
      <c r="W39" s="1622">
        <f t="shared" si="14"/>
        <v>0</v>
      </c>
      <c r="X39" s="1622">
        <f t="shared" si="15"/>
        <v>24.742000000000001</v>
      </c>
      <c r="Y39" s="1622">
        <f t="shared" si="16"/>
        <v>0</v>
      </c>
      <c r="AB39" s="1625" t="s">
        <v>576</v>
      </c>
      <c r="AC39" s="891">
        <v>12566007</v>
      </c>
      <c r="AD39" s="1622">
        <f t="shared" si="17"/>
        <v>12566.007</v>
      </c>
      <c r="AG39" s="1625" t="s">
        <v>571</v>
      </c>
      <c r="AH39" s="891">
        <v>24742</v>
      </c>
      <c r="AI39" s="891">
        <v>0</v>
      </c>
      <c r="AJ39" s="891">
        <v>0</v>
      </c>
      <c r="AK39" s="891">
        <v>24742</v>
      </c>
      <c r="AL39" s="1622">
        <f t="shared" si="18"/>
        <v>24.742000000000001</v>
      </c>
      <c r="AM39" s="1622">
        <f t="shared" si="19"/>
        <v>0</v>
      </c>
      <c r="AN39" s="1622">
        <f t="shared" si="20"/>
        <v>0</v>
      </c>
      <c r="AO39" s="1622">
        <f t="shared" si="21"/>
        <v>24.742000000000001</v>
      </c>
      <c r="AR39" s="1625" t="s">
        <v>992</v>
      </c>
      <c r="AS39" s="1622">
        <v>13200000</v>
      </c>
      <c r="AT39" s="1622">
        <f t="shared" si="22"/>
        <v>13200</v>
      </c>
      <c r="AW39" s="1625" t="s">
        <v>571</v>
      </c>
      <c r="AX39" s="891">
        <v>24742</v>
      </c>
      <c r="AY39" s="891">
        <v>0</v>
      </c>
      <c r="AZ39" s="891">
        <v>0</v>
      </c>
      <c r="BA39" s="891">
        <v>24742</v>
      </c>
      <c r="BB39" s="1622">
        <f t="shared" si="23"/>
        <v>24.742000000000001</v>
      </c>
      <c r="BC39" s="1622">
        <f t="shared" si="24"/>
        <v>0</v>
      </c>
      <c r="BD39" s="1622">
        <f t="shared" si="25"/>
        <v>0</v>
      </c>
      <c r="BE39" s="1622">
        <f t="shared" si="26"/>
        <v>24.742000000000001</v>
      </c>
      <c r="BH39" s="1625" t="s">
        <v>583</v>
      </c>
      <c r="BI39" s="1622">
        <v>5000620</v>
      </c>
      <c r="BJ39" s="1622">
        <f t="shared" si="27"/>
        <v>5000.62</v>
      </c>
      <c r="BM39" s="1625" t="s">
        <v>571</v>
      </c>
      <c r="BN39" s="1627">
        <v>24742</v>
      </c>
      <c r="BO39" s="1627">
        <v>0</v>
      </c>
      <c r="BP39" s="1627">
        <v>0</v>
      </c>
      <c r="BQ39" s="1627">
        <v>24742</v>
      </c>
      <c r="BR39" s="1622">
        <f t="shared" si="28"/>
        <v>24.742000000000001</v>
      </c>
      <c r="BS39" s="1622">
        <f t="shared" si="29"/>
        <v>0</v>
      </c>
      <c r="BT39" s="1622">
        <f t="shared" si="30"/>
        <v>0</v>
      </c>
      <c r="BU39" s="1622">
        <f t="shared" si="31"/>
        <v>24.742000000000001</v>
      </c>
      <c r="BX39" s="1624" t="s">
        <v>576</v>
      </c>
      <c r="BY39" s="1622">
        <v>12195162</v>
      </c>
      <c r="BZ39" s="1622">
        <f t="shared" si="32"/>
        <v>12195.162</v>
      </c>
      <c r="CC39" s="1622" t="s">
        <v>571</v>
      </c>
      <c r="CD39" s="1622">
        <v>24742</v>
      </c>
      <c r="CE39" s="1622">
        <v>0</v>
      </c>
      <c r="CF39" s="1622">
        <v>0</v>
      </c>
      <c r="CG39" s="1622">
        <v>24742</v>
      </c>
      <c r="CH39" s="1622">
        <f t="shared" si="33"/>
        <v>24.742000000000001</v>
      </c>
      <c r="CI39" s="1622">
        <f t="shared" si="34"/>
        <v>0</v>
      </c>
      <c r="CJ39" s="1622">
        <f t="shared" si="35"/>
        <v>0</v>
      </c>
      <c r="CK39" s="1622">
        <f t="shared" si="36"/>
        <v>24.742000000000001</v>
      </c>
      <c r="CN39" s="1624" t="s">
        <v>992</v>
      </c>
      <c r="CO39" s="1622">
        <v>12672000</v>
      </c>
      <c r="CP39" s="1622">
        <f t="shared" si="37"/>
        <v>12672</v>
      </c>
      <c r="CS39" s="1625" t="s">
        <v>571</v>
      </c>
      <c r="CT39" s="891">
        <v>24742</v>
      </c>
      <c r="CU39" s="891">
        <v>0</v>
      </c>
      <c r="CV39" s="891">
        <v>0</v>
      </c>
      <c r="CW39" s="891">
        <v>24742</v>
      </c>
      <c r="CX39" s="1622">
        <f t="shared" si="38"/>
        <v>24.742000000000001</v>
      </c>
      <c r="CY39" s="1622">
        <f t="shared" si="39"/>
        <v>0</v>
      </c>
      <c r="CZ39" s="1622">
        <f t="shared" si="40"/>
        <v>0</v>
      </c>
      <c r="DA39" s="1622">
        <f t="shared" si="41"/>
        <v>24.742000000000001</v>
      </c>
      <c r="DD39" s="1624" t="s">
        <v>624</v>
      </c>
      <c r="DE39" s="1622">
        <v>13060654</v>
      </c>
      <c r="DF39" s="1622">
        <f t="shared" si="42"/>
        <v>13060.654</v>
      </c>
      <c r="DJ39" s="1624" t="s">
        <v>571</v>
      </c>
      <c r="DK39" s="1622">
        <v>24742</v>
      </c>
      <c r="DL39" s="1622">
        <v>0</v>
      </c>
      <c r="DM39" s="1622">
        <v>24742</v>
      </c>
      <c r="DN39" s="1622">
        <v>0</v>
      </c>
      <c r="DO39" s="1622">
        <f t="shared" si="43"/>
        <v>24.742000000000001</v>
      </c>
      <c r="DP39" s="1622">
        <f t="shared" si="44"/>
        <v>0</v>
      </c>
      <c r="DQ39" s="1622">
        <f t="shared" si="45"/>
        <v>24.742000000000001</v>
      </c>
      <c r="DR39" s="1622">
        <f t="shared" si="46"/>
        <v>0</v>
      </c>
      <c r="DV39" s="780" t="s">
        <v>576</v>
      </c>
      <c r="DW39" s="779">
        <v>12221474</v>
      </c>
      <c r="DX39" s="1626">
        <f t="shared" si="47"/>
        <v>12221.474</v>
      </c>
      <c r="EA39" s="780" t="s">
        <v>571</v>
      </c>
      <c r="EB39" s="779">
        <v>24742</v>
      </c>
      <c r="EC39" s="779">
        <v>0</v>
      </c>
      <c r="ED39" s="779">
        <v>0</v>
      </c>
      <c r="EE39" s="779">
        <v>24742</v>
      </c>
      <c r="EF39" s="166">
        <f t="shared" si="48"/>
        <v>24.742000000000001</v>
      </c>
      <c r="EG39" s="166">
        <f t="shared" si="49"/>
        <v>0</v>
      </c>
      <c r="EH39" s="166">
        <f t="shared" si="50"/>
        <v>0</v>
      </c>
      <c r="EI39" s="166">
        <f t="shared" si="51"/>
        <v>24.742000000000001</v>
      </c>
    </row>
    <row r="40" spans="1:139" ht="15" customHeight="1" x14ac:dyDescent="0.3">
      <c r="A40" s="1625" t="s">
        <v>572</v>
      </c>
      <c r="B40" s="891">
        <v>144924040</v>
      </c>
      <c r="C40" s="891">
        <v>10836394</v>
      </c>
      <c r="D40" s="891">
        <v>134087646</v>
      </c>
      <c r="E40" s="891">
        <v>10836394</v>
      </c>
      <c r="F40" s="891">
        <f t="shared" si="8"/>
        <v>144924.04</v>
      </c>
      <c r="G40" s="891">
        <f t="shared" si="9"/>
        <v>10836.394</v>
      </c>
      <c r="H40" s="891">
        <f t="shared" si="10"/>
        <v>134087.64600000001</v>
      </c>
      <c r="I40" s="891">
        <f t="shared" si="11"/>
        <v>10836.394</v>
      </c>
      <c r="L40" s="1625" t="s">
        <v>375</v>
      </c>
      <c r="M40" s="891">
        <v>95423415</v>
      </c>
      <c r="N40" s="891">
        <f t="shared" si="12"/>
        <v>95423.414999999994</v>
      </c>
      <c r="Q40" s="1625" t="s">
        <v>572</v>
      </c>
      <c r="R40" s="891">
        <v>144924040</v>
      </c>
      <c r="S40" s="891">
        <v>21672788</v>
      </c>
      <c r="T40" s="891">
        <v>123251252</v>
      </c>
      <c r="U40" s="891">
        <v>21672788</v>
      </c>
      <c r="V40" s="1622">
        <f t="shared" si="13"/>
        <v>144924.04</v>
      </c>
      <c r="W40" s="1622">
        <f t="shared" si="14"/>
        <v>21672.788</v>
      </c>
      <c r="X40" s="1622">
        <f t="shared" si="15"/>
        <v>123251.25199999999</v>
      </c>
      <c r="Y40" s="1622">
        <f t="shared" si="16"/>
        <v>21672.788</v>
      </c>
      <c r="AB40" s="1625" t="s">
        <v>992</v>
      </c>
      <c r="AC40" s="891">
        <v>13235200</v>
      </c>
      <c r="AD40" s="1622">
        <f t="shared" si="17"/>
        <v>13235.2</v>
      </c>
      <c r="AG40" s="1625" t="s">
        <v>572</v>
      </c>
      <c r="AH40" s="891">
        <v>144924040</v>
      </c>
      <c r="AI40" s="891">
        <v>32509182</v>
      </c>
      <c r="AJ40" s="891">
        <v>32509182</v>
      </c>
      <c r="AK40" s="891">
        <v>112414858</v>
      </c>
      <c r="AL40" s="1622">
        <f t="shared" si="18"/>
        <v>144924.04</v>
      </c>
      <c r="AM40" s="1622">
        <f t="shared" si="19"/>
        <v>32509.182000000001</v>
      </c>
      <c r="AN40" s="1622">
        <f t="shared" si="20"/>
        <v>32509.182000000001</v>
      </c>
      <c r="AO40" s="1622">
        <f t="shared" si="21"/>
        <v>112414.85799999999</v>
      </c>
      <c r="AR40" s="1625" t="s">
        <v>369</v>
      </c>
      <c r="AS40" s="1622">
        <v>37734107</v>
      </c>
      <c r="AT40" s="1622">
        <f t="shared" si="22"/>
        <v>37734.107000000004</v>
      </c>
      <c r="AW40" s="1625" t="s">
        <v>572</v>
      </c>
      <c r="AX40" s="891">
        <v>144924040</v>
      </c>
      <c r="AY40" s="891">
        <v>43345576</v>
      </c>
      <c r="AZ40" s="891">
        <v>43345576</v>
      </c>
      <c r="BA40" s="891">
        <v>101578464</v>
      </c>
      <c r="BB40" s="1622">
        <f t="shared" si="23"/>
        <v>144924.04</v>
      </c>
      <c r="BC40" s="1622">
        <f t="shared" si="24"/>
        <v>43345.576000000001</v>
      </c>
      <c r="BD40" s="1622">
        <f t="shared" si="25"/>
        <v>43345.576000000001</v>
      </c>
      <c r="BE40" s="1622">
        <f t="shared" si="26"/>
        <v>101578.46400000001</v>
      </c>
      <c r="BH40" s="1625" t="s">
        <v>624</v>
      </c>
      <c r="BI40" s="1622">
        <v>9878180</v>
      </c>
      <c r="BJ40" s="1622">
        <f t="shared" si="27"/>
        <v>9878.18</v>
      </c>
      <c r="BM40" s="1625" t="s">
        <v>572</v>
      </c>
      <c r="BN40" s="1627">
        <v>144924040</v>
      </c>
      <c r="BO40" s="1627">
        <v>53527207</v>
      </c>
      <c r="BP40" s="1627">
        <v>53527207</v>
      </c>
      <c r="BQ40" s="1627">
        <v>91396833</v>
      </c>
      <c r="BR40" s="1622">
        <f t="shared" si="28"/>
        <v>144924.04</v>
      </c>
      <c r="BS40" s="1622">
        <f t="shared" si="29"/>
        <v>53527.207000000002</v>
      </c>
      <c r="BT40" s="1622">
        <f t="shared" si="30"/>
        <v>53527.207000000002</v>
      </c>
      <c r="BU40" s="1622">
        <f t="shared" si="31"/>
        <v>91396.832999999999</v>
      </c>
      <c r="BX40" s="1624" t="s">
        <v>992</v>
      </c>
      <c r="BY40" s="1622">
        <v>12636800</v>
      </c>
      <c r="BZ40" s="1622">
        <f t="shared" si="32"/>
        <v>12636.8</v>
      </c>
      <c r="CC40" s="1622" t="s">
        <v>572</v>
      </c>
      <c r="CD40" s="1622">
        <v>144924040</v>
      </c>
      <c r="CE40" s="1622">
        <v>65142012</v>
      </c>
      <c r="CF40" s="1622">
        <v>65142012</v>
      </c>
      <c r="CG40" s="1622">
        <v>79782028</v>
      </c>
      <c r="CH40" s="1622">
        <f t="shared" si="33"/>
        <v>144924.04</v>
      </c>
      <c r="CI40" s="1622">
        <f t="shared" si="34"/>
        <v>65142.012000000002</v>
      </c>
      <c r="CJ40" s="1622">
        <f t="shared" si="35"/>
        <v>65142.012000000002</v>
      </c>
      <c r="CK40" s="1622">
        <f t="shared" si="36"/>
        <v>79782.028000000006</v>
      </c>
      <c r="CN40" s="1624" t="s">
        <v>369</v>
      </c>
      <c r="CO40" s="1622">
        <v>40192272</v>
      </c>
      <c r="CP40" s="1622">
        <f t="shared" si="37"/>
        <v>40192.271999999997</v>
      </c>
      <c r="CS40" s="1625" t="s">
        <v>572</v>
      </c>
      <c r="CT40" s="891">
        <v>144924040</v>
      </c>
      <c r="CU40" s="891">
        <v>76756817</v>
      </c>
      <c r="CV40" s="891">
        <v>76756817</v>
      </c>
      <c r="CW40" s="891">
        <v>68167223</v>
      </c>
      <c r="CX40" s="1622">
        <f t="shared" si="38"/>
        <v>144924.04</v>
      </c>
      <c r="CY40" s="1622">
        <f t="shared" si="39"/>
        <v>76756.816999999995</v>
      </c>
      <c r="CZ40" s="1622">
        <f t="shared" si="40"/>
        <v>76756.816999999995</v>
      </c>
      <c r="DA40" s="1622">
        <f t="shared" si="41"/>
        <v>68167.222999999998</v>
      </c>
      <c r="DD40" s="1624" t="s">
        <v>375</v>
      </c>
      <c r="DE40" s="1622">
        <v>92294031</v>
      </c>
      <c r="DF40" s="1622">
        <f t="shared" si="42"/>
        <v>92294.031000000003</v>
      </c>
      <c r="DJ40" s="1624" t="s">
        <v>572</v>
      </c>
      <c r="DK40" s="1622">
        <v>144924040</v>
      </c>
      <c r="DL40" s="1622">
        <v>88249837</v>
      </c>
      <c r="DM40" s="1622">
        <v>56674203</v>
      </c>
      <c r="DN40" s="1622">
        <v>88249837</v>
      </c>
      <c r="DO40" s="1622">
        <f t="shared" si="43"/>
        <v>144924.04</v>
      </c>
      <c r="DP40" s="1622">
        <f t="shared" si="44"/>
        <v>88249.837</v>
      </c>
      <c r="DQ40" s="1622">
        <f t="shared" si="45"/>
        <v>56674.203000000001</v>
      </c>
      <c r="DR40" s="1622">
        <f t="shared" si="46"/>
        <v>88249.837</v>
      </c>
      <c r="DV40" s="780" t="s">
        <v>992</v>
      </c>
      <c r="DW40" s="779">
        <v>0</v>
      </c>
      <c r="DX40" s="1626">
        <f t="shared" si="47"/>
        <v>0</v>
      </c>
      <c r="EA40" s="780" t="s">
        <v>572</v>
      </c>
      <c r="EB40" s="779">
        <v>144924040</v>
      </c>
      <c r="EC40" s="779">
        <v>101055763</v>
      </c>
      <c r="ED40" s="779">
        <v>101055763</v>
      </c>
      <c r="EE40" s="779">
        <v>43868277</v>
      </c>
      <c r="EF40" s="166">
        <f t="shared" si="48"/>
        <v>144924.04</v>
      </c>
      <c r="EG40" s="166">
        <f t="shared" si="49"/>
        <v>101055.76300000001</v>
      </c>
      <c r="EH40" s="166">
        <f t="shared" si="50"/>
        <v>101055.76300000001</v>
      </c>
      <c r="EI40" s="166">
        <f t="shared" si="51"/>
        <v>43868.277000000002</v>
      </c>
    </row>
    <row r="41" spans="1:139" ht="15" customHeight="1" x14ac:dyDescent="0.3">
      <c r="A41" s="1625" t="s">
        <v>573</v>
      </c>
      <c r="B41" s="891">
        <v>2269566595</v>
      </c>
      <c r="C41" s="891">
        <v>157558650</v>
      </c>
      <c r="D41" s="891">
        <v>2112007945</v>
      </c>
      <c r="E41" s="891">
        <v>157558650</v>
      </c>
      <c r="F41" s="891">
        <f t="shared" si="8"/>
        <v>2269566.5950000002</v>
      </c>
      <c r="G41" s="891">
        <f t="shared" si="9"/>
        <v>157558.65</v>
      </c>
      <c r="H41" s="891">
        <f t="shared" si="10"/>
        <v>2112007.9449999998</v>
      </c>
      <c r="I41" s="891">
        <f t="shared" si="11"/>
        <v>157558.65</v>
      </c>
      <c r="L41" s="1625" t="s">
        <v>584</v>
      </c>
      <c r="M41" s="891">
        <v>93783863</v>
      </c>
      <c r="N41" s="891">
        <f t="shared" si="12"/>
        <v>93783.862999999998</v>
      </c>
      <c r="Q41" s="1625" t="s">
        <v>573</v>
      </c>
      <c r="R41" s="891">
        <v>2269566595</v>
      </c>
      <c r="S41" s="891">
        <v>315757563</v>
      </c>
      <c r="T41" s="891">
        <v>1953809032</v>
      </c>
      <c r="U41" s="891">
        <v>315757563</v>
      </c>
      <c r="V41" s="1622">
        <f t="shared" si="13"/>
        <v>2269566.5950000002</v>
      </c>
      <c r="W41" s="1622">
        <f t="shared" si="14"/>
        <v>315757.56300000002</v>
      </c>
      <c r="X41" s="1622">
        <f t="shared" si="15"/>
        <v>1953809.0319999999</v>
      </c>
      <c r="Y41" s="1622">
        <f t="shared" si="16"/>
        <v>315757.56300000002</v>
      </c>
      <c r="AB41" s="1625" t="s">
        <v>369</v>
      </c>
      <c r="AC41" s="891">
        <v>58556413</v>
      </c>
      <c r="AD41" s="1622">
        <f t="shared" si="17"/>
        <v>58556.413</v>
      </c>
      <c r="AG41" s="1625" t="s">
        <v>573</v>
      </c>
      <c r="AH41" s="891">
        <v>2269566595</v>
      </c>
      <c r="AI41" s="891">
        <v>550191880</v>
      </c>
      <c r="AJ41" s="891">
        <v>550191880</v>
      </c>
      <c r="AK41" s="891">
        <v>1719374715</v>
      </c>
      <c r="AL41" s="1622">
        <f t="shared" si="18"/>
        <v>2269566.5950000002</v>
      </c>
      <c r="AM41" s="1622">
        <f t="shared" si="19"/>
        <v>550191.88</v>
      </c>
      <c r="AN41" s="1622">
        <f t="shared" si="20"/>
        <v>550191.88</v>
      </c>
      <c r="AO41" s="1622">
        <f t="shared" si="21"/>
        <v>1719374.7150000001</v>
      </c>
      <c r="AR41" s="1625" t="s">
        <v>579</v>
      </c>
      <c r="AS41" s="1622">
        <v>37734107</v>
      </c>
      <c r="AT41" s="1622">
        <f t="shared" si="22"/>
        <v>37734.107000000004</v>
      </c>
      <c r="AW41" s="1625" t="s">
        <v>573</v>
      </c>
      <c r="AX41" s="891">
        <v>2269566595</v>
      </c>
      <c r="AY41" s="891">
        <v>709983174</v>
      </c>
      <c r="AZ41" s="891">
        <v>709983174</v>
      </c>
      <c r="BA41" s="891">
        <v>1559583421</v>
      </c>
      <c r="BB41" s="1622">
        <f t="shared" si="23"/>
        <v>2269566.5950000002</v>
      </c>
      <c r="BC41" s="1622">
        <f t="shared" si="24"/>
        <v>709983.174</v>
      </c>
      <c r="BD41" s="1622">
        <f t="shared" si="25"/>
        <v>709983.174</v>
      </c>
      <c r="BE41" s="1622">
        <f t="shared" si="26"/>
        <v>1559583.4210000001</v>
      </c>
      <c r="BH41" s="1625" t="s">
        <v>375</v>
      </c>
      <c r="BI41" s="1622">
        <v>106007927</v>
      </c>
      <c r="BJ41" s="1622">
        <f t="shared" si="27"/>
        <v>106007.927</v>
      </c>
      <c r="BM41" s="1625" t="s">
        <v>573</v>
      </c>
      <c r="BN41" s="1627">
        <v>2269566595</v>
      </c>
      <c r="BO41" s="1627">
        <v>867789802</v>
      </c>
      <c r="BP41" s="1627">
        <v>867789802</v>
      </c>
      <c r="BQ41" s="1627">
        <v>1401776793</v>
      </c>
      <c r="BR41" s="1622">
        <f t="shared" si="28"/>
        <v>2269566.5950000002</v>
      </c>
      <c r="BS41" s="1622">
        <f t="shared" si="29"/>
        <v>867789.80200000003</v>
      </c>
      <c r="BT41" s="1622">
        <f t="shared" si="30"/>
        <v>867789.80200000003</v>
      </c>
      <c r="BU41" s="1622">
        <f t="shared" si="31"/>
        <v>1401776.7930000001</v>
      </c>
      <c r="BX41" s="1624" t="s">
        <v>369</v>
      </c>
      <c r="BY41" s="1622">
        <v>60255313</v>
      </c>
      <c r="BZ41" s="1622">
        <f t="shared" si="32"/>
        <v>60255.313000000002</v>
      </c>
      <c r="CC41" s="1622" t="s">
        <v>573</v>
      </c>
      <c r="CD41" s="1622">
        <v>2269566595</v>
      </c>
      <c r="CE41" s="1622">
        <v>1106666850</v>
      </c>
      <c r="CF41" s="1622">
        <v>1106666850</v>
      </c>
      <c r="CG41" s="1622">
        <v>1162899745</v>
      </c>
      <c r="CH41" s="1622">
        <f t="shared" si="33"/>
        <v>2269566.5950000002</v>
      </c>
      <c r="CI41" s="1622">
        <f t="shared" si="34"/>
        <v>1106666.8500000001</v>
      </c>
      <c r="CJ41" s="1622">
        <f t="shared" si="35"/>
        <v>1106666.8500000001</v>
      </c>
      <c r="CK41" s="1622">
        <f t="shared" si="36"/>
        <v>1162899.7450000001</v>
      </c>
      <c r="CN41" s="1624" t="s">
        <v>579</v>
      </c>
      <c r="CO41" s="1622">
        <v>40192272</v>
      </c>
      <c r="CP41" s="1622">
        <f t="shared" si="37"/>
        <v>40192.271999999997</v>
      </c>
      <c r="CS41" s="1625" t="s">
        <v>573</v>
      </c>
      <c r="CT41" s="891">
        <v>2269566595</v>
      </c>
      <c r="CU41" s="891">
        <v>1266104566</v>
      </c>
      <c r="CV41" s="891">
        <v>1266104566</v>
      </c>
      <c r="CW41" s="891">
        <v>1003462029</v>
      </c>
      <c r="CX41" s="1622">
        <f t="shared" si="38"/>
        <v>2269566.5950000002</v>
      </c>
      <c r="CY41" s="1622">
        <f t="shared" si="39"/>
        <v>1266104.5660000001</v>
      </c>
      <c r="CZ41" s="1622">
        <f t="shared" si="40"/>
        <v>1266104.5660000001</v>
      </c>
      <c r="DA41" s="1622">
        <f t="shared" si="41"/>
        <v>1003462.029</v>
      </c>
      <c r="DD41" s="1624" t="s">
        <v>584</v>
      </c>
      <c r="DE41" s="1622">
        <v>87631439</v>
      </c>
      <c r="DF41" s="1622">
        <f t="shared" si="42"/>
        <v>87631.438999999998</v>
      </c>
      <c r="DJ41" s="1624" t="s">
        <v>573</v>
      </c>
      <c r="DK41" s="1622">
        <v>2269566595</v>
      </c>
      <c r="DL41" s="1622">
        <v>1427254701</v>
      </c>
      <c r="DM41" s="1622">
        <v>842311894</v>
      </c>
      <c r="DN41" s="1622">
        <v>1427254701</v>
      </c>
      <c r="DO41" s="1622">
        <f t="shared" si="43"/>
        <v>2269566.5950000002</v>
      </c>
      <c r="DP41" s="1622">
        <f t="shared" si="44"/>
        <v>1427254.7009999999</v>
      </c>
      <c r="DQ41" s="1622">
        <f t="shared" si="45"/>
        <v>842311.89399999997</v>
      </c>
      <c r="DR41" s="1622">
        <f t="shared" si="46"/>
        <v>1427254.7009999999</v>
      </c>
      <c r="DV41" s="780" t="s">
        <v>369</v>
      </c>
      <c r="DW41" s="779">
        <v>61100741</v>
      </c>
      <c r="DX41" s="1626">
        <f t="shared" si="47"/>
        <v>61100.741000000002</v>
      </c>
      <c r="EA41" s="780" t="s">
        <v>573</v>
      </c>
      <c r="EB41" s="779">
        <v>2269566595</v>
      </c>
      <c r="EC41" s="779">
        <v>1670697486</v>
      </c>
      <c r="ED41" s="779">
        <v>1670697486</v>
      </c>
      <c r="EE41" s="779">
        <v>598869109</v>
      </c>
      <c r="EF41" s="166">
        <f t="shared" si="48"/>
        <v>2269566.5950000002</v>
      </c>
      <c r="EG41" s="166">
        <f t="shared" si="49"/>
        <v>1670697.486</v>
      </c>
      <c r="EH41" s="166">
        <f t="shared" si="50"/>
        <v>1670697.486</v>
      </c>
      <c r="EI41" s="166">
        <f t="shared" si="51"/>
        <v>598869.10900000005</v>
      </c>
    </row>
    <row r="42" spans="1:139" ht="15" customHeight="1" x14ac:dyDescent="0.3">
      <c r="A42" s="1625" t="s">
        <v>574</v>
      </c>
      <c r="B42" s="891">
        <v>3085589911</v>
      </c>
      <c r="C42" s="891">
        <v>372446041</v>
      </c>
      <c r="D42" s="891">
        <v>2713143870</v>
      </c>
      <c r="E42" s="891">
        <v>372446041</v>
      </c>
      <c r="F42" s="891">
        <f t="shared" si="8"/>
        <v>3085589.9109999998</v>
      </c>
      <c r="G42" s="891">
        <f t="shared" si="9"/>
        <v>372446.04100000003</v>
      </c>
      <c r="H42" s="891">
        <f t="shared" si="10"/>
        <v>2713143.87</v>
      </c>
      <c r="I42" s="891">
        <f t="shared" si="11"/>
        <v>372446.04100000003</v>
      </c>
      <c r="L42" s="1625" t="s">
        <v>585</v>
      </c>
      <c r="M42" s="891">
        <v>90134707</v>
      </c>
      <c r="N42" s="891">
        <f t="shared" si="12"/>
        <v>90134.706999999995</v>
      </c>
      <c r="Q42" s="1625" t="s">
        <v>574</v>
      </c>
      <c r="R42" s="891">
        <v>3085589911</v>
      </c>
      <c r="S42" s="891">
        <v>746349094</v>
      </c>
      <c r="T42" s="891">
        <v>2339240817</v>
      </c>
      <c r="U42" s="891">
        <v>746349094</v>
      </c>
      <c r="V42" s="1622">
        <f t="shared" si="13"/>
        <v>3085589.9109999998</v>
      </c>
      <c r="W42" s="1622">
        <f t="shared" si="14"/>
        <v>746349.09400000004</v>
      </c>
      <c r="X42" s="1622">
        <f t="shared" si="15"/>
        <v>2339240.8169999998</v>
      </c>
      <c r="Y42" s="1622">
        <f t="shared" si="16"/>
        <v>746349.09400000004</v>
      </c>
      <c r="AB42" s="1625" t="s">
        <v>578</v>
      </c>
      <c r="AC42" s="891">
        <v>6733740</v>
      </c>
      <c r="AD42" s="1622">
        <f t="shared" si="17"/>
        <v>6733.74</v>
      </c>
      <c r="AG42" s="1625" t="s">
        <v>574</v>
      </c>
      <c r="AH42" s="891">
        <v>3085589911</v>
      </c>
      <c r="AI42" s="891">
        <v>1121339949</v>
      </c>
      <c r="AJ42" s="891">
        <v>1121339949</v>
      </c>
      <c r="AK42" s="891">
        <v>1964249962</v>
      </c>
      <c r="AL42" s="1622">
        <f t="shared" si="18"/>
        <v>3085589.9109999998</v>
      </c>
      <c r="AM42" s="1622">
        <f t="shared" si="19"/>
        <v>1121339.949</v>
      </c>
      <c r="AN42" s="1622">
        <f t="shared" si="20"/>
        <v>1121339.949</v>
      </c>
      <c r="AO42" s="1622">
        <f t="shared" si="21"/>
        <v>1964249.9620000001</v>
      </c>
      <c r="AR42" s="1625" t="s">
        <v>580</v>
      </c>
      <c r="AS42" s="1622">
        <v>0</v>
      </c>
      <c r="AT42" s="1622">
        <f t="shared" si="22"/>
        <v>0</v>
      </c>
      <c r="AW42" s="1625" t="s">
        <v>574</v>
      </c>
      <c r="AX42" s="891">
        <v>3085589911</v>
      </c>
      <c r="AY42" s="891">
        <v>1499157915</v>
      </c>
      <c r="AZ42" s="891">
        <v>1499157915</v>
      </c>
      <c r="BA42" s="891">
        <v>1586431996</v>
      </c>
      <c r="BB42" s="1622">
        <f t="shared" si="23"/>
        <v>3085589.9109999998</v>
      </c>
      <c r="BC42" s="1622">
        <f t="shared" si="24"/>
        <v>1499157.915</v>
      </c>
      <c r="BD42" s="1622">
        <f t="shared" si="25"/>
        <v>1499157.915</v>
      </c>
      <c r="BE42" s="1622">
        <f t="shared" si="26"/>
        <v>1586431.996</v>
      </c>
      <c r="BH42" s="1625" t="s">
        <v>584</v>
      </c>
      <c r="BI42" s="1622">
        <v>106007927</v>
      </c>
      <c r="BJ42" s="1622">
        <f t="shared" si="27"/>
        <v>106007.927</v>
      </c>
      <c r="BM42" s="1625" t="s">
        <v>574</v>
      </c>
      <c r="BN42" s="1627">
        <v>3085589911</v>
      </c>
      <c r="BO42" s="1627">
        <v>1872462864</v>
      </c>
      <c r="BP42" s="1627">
        <v>1872462864</v>
      </c>
      <c r="BQ42" s="1627">
        <v>1213127047</v>
      </c>
      <c r="BR42" s="1622">
        <f t="shared" si="28"/>
        <v>3085589.9109999998</v>
      </c>
      <c r="BS42" s="1622">
        <f t="shared" si="29"/>
        <v>1872462.8640000001</v>
      </c>
      <c r="BT42" s="1622">
        <f t="shared" si="30"/>
        <v>1872462.8640000001</v>
      </c>
      <c r="BU42" s="1622">
        <f t="shared" si="31"/>
        <v>1213127.047</v>
      </c>
      <c r="BX42" s="1624" t="s">
        <v>578</v>
      </c>
      <c r="BY42" s="1622">
        <v>6859840</v>
      </c>
      <c r="BZ42" s="1622">
        <f t="shared" si="32"/>
        <v>6859.84</v>
      </c>
      <c r="CC42" s="1622" t="s">
        <v>574</v>
      </c>
      <c r="CD42" s="1622">
        <v>3085589911</v>
      </c>
      <c r="CE42" s="1622">
        <v>2247306953</v>
      </c>
      <c r="CF42" s="1622">
        <v>2247306953</v>
      </c>
      <c r="CG42" s="1622">
        <v>838282958</v>
      </c>
      <c r="CH42" s="1622">
        <f t="shared" si="33"/>
        <v>3085589.9109999998</v>
      </c>
      <c r="CI42" s="1622">
        <f t="shared" si="34"/>
        <v>2247306.9530000002</v>
      </c>
      <c r="CJ42" s="1622">
        <f t="shared" si="35"/>
        <v>2247306.9530000002</v>
      </c>
      <c r="CK42" s="1622">
        <f t="shared" si="36"/>
        <v>838282.95799999998</v>
      </c>
      <c r="CN42" s="1624" t="s">
        <v>580</v>
      </c>
      <c r="CO42" s="1622">
        <v>0</v>
      </c>
      <c r="CP42" s="1622">
        <f t="shared" si="37"/>
        <v>0</v>
      </c>
      <c r="CS42" s="1625" t="s">
        <v>574</v>
      </c>
      <c r="CT42" s="891">
        <v>3085589911</v>
      </c>
      <c r="CU42" s="891">
        <v>2623004497</v>
      </c>
      <c r="CV42" s="891">
        <v>2623004497</v>
      </c>
      <c r="CW42" s="891">
        <v>462585414</v>
      </c>
      <c r="CX42" s="1622">
        <f t="shared" si="38"/>
        <v>3085589.9109999998</v>
      </c>
      <c r="CY42" s="1622">
        <f t="shared" si="39"/>
        <v>2623004.497</v>
      </c>
      <c r="CZ42" s="1622">
        <f t="shared" si="40"/>
        <v>2623004.497</v>
      </c>
      <c r="DA42" s="1622">
        <f t="shared" si="41"/>
        <v>462585.41399999999</v>
      </c>
      <c r="DD42" s="1624" t="s">
        <v>585</v>
      </c>
      <c r="DE42" s="1622">
        <v>87408180</v>
      </c>
      <c r="DF42" s="1622">
        <f t="shared" si="42"/>
        <v>87408.18</v>
      </c>
      <c r="DJ42" s="1624" t="s">
        <v>574</v>
      </c>
      <c r="DK42" s="1622">
        <v>3085589911</v>
      </c>
      <c r="DL42" s="1622">
        <v>3003756661</v>
      </c>
      <c r="DM42" s="1622">
        <v>81833250</v>
      </c>
      <c r="DN42" s="1622">
        <v>3003756661</v>
      </c>
      <c r="DO42" s="1622">
        <f t="shared" si="43"/>
        <v>3085589.9109999998</v>
      </c>
      <c r="DP42" s="1622">
        <f t="shared" si="44"/>
        <v>3003756.6609999998</v>
      </c>
      <c r="DQ42" s="1622">
        <f t="shared" si="45"/>
        <v>81833.25</v>
      </c>
      <c r="DR42" s="1622">
        <f t="shared" si="46"/>
        <v>3003756.6609999998</v>
      </c>
      <c r="DV42" s="780" t="s">
        <v>578</v>
      </c>
      <c r="DW42" s="779">
        <v>3442530</v>
      </c>
      <c r="DX42" s="1626">
        <f t="shared" si="47"/>
        <v>3442.53</v>
      </c>
      <c r="EA42" s="780" t="s">
        <v>574</v>
      </c>
      <c r="EB42" s="779">
        <v>3485589911</v>
      </c>
      <c r="EC42" s="779">
        <v>3387681709</v>
      </c>
      <c r="ED42" s="779">
        <v>3387681709</v>
      </c>
      <c r="EE42" s="779">
        <v>97908202</v>
      </c>
      <c r="EF42" s="166">
        <f t="shared" si="48"/>
        <v>3485589.9109999998</v>
      </c>
      <c r="EG42" s="166">
        <f t="shared" si="49"/>
        <v>3387681.7089999998</v>
      </c>
      <c r="EH42" s="166">
        <f t="shared" si="50"/>
        <v>3387681.7089999998</v>
      </c>
      <c r="EI42" s="166">
        <f t="shared" si="51"/>
        <v>97908.202000000005</v>
      </c>
    </row>
    <row r="43" spans="1:139" ht="15" customHeight="1" x14ac:dyDescent="0.3">
      <c r="A43" s="1625" t="s">
        <v>575</v>
      </c>
      <c r="B43" s="891">
        <v>1431430245</v>
      </c>
      <c r="C43" s="891">
        <v>0</v>
      </c>
      <c r="D43" s="891">
        <v>1431430245</v>
      </c>
      <c r="E43" s="891">
        <v>0</v>
      </c>
      <c r="F43" s="891">
        <f t="shared" si="8"/>
        <v>1431430.2450000001</v>
      </c>
      <c r="G43" s="891">
        <f t="shared" si="9"/>
        <v>0</v>
      </c>
      <c r="H43" s="891">
        <f t="shared" si="10"/>
        <v>1431430.2450000001</v>
      </c>
      <c r="I43" s="891">
        <f t="shared" si="11"/>
        <v>0</v>
      </c>
      <c r="L43" s="1625" t="s">
        <v>586</v>
      </c>
      <c r="M43" s="891">
        <v>3649156</v>
      </c>
      <c r="N43" s="891">
        <f t="shared" si="12"/>
        <v>3649.1559999999999</v>
      </c>
      <c r="Q43" s="1625" t="s">
        <v>575</v>
      </c>
      <c r="R43" s="891">
        <v>1431430245</v>
      </c>
      <c r="S43" s="891">
        <v>0</v>
      </c>
      <c r="T43" s="891">
        <v>1431430245</v>
      </c>
      <c r="U43" s="891">
        <v>0</v>
      </c>
      <c r="V43" s="1622">
        <f t="shared" si="13"/>
        <v>1431430.2450000001</v>
      </c>
      <c r="W43" s="1622">
        <f t="shared" si="14"/>
        <v>0</v>
      </c>
      <c r="X43" s="1622">
        <f t="shared" si="15"/>
        <v>1431430.2450000001</v>
      </c>
      <c r="Y43" s="1622">
        <f t="shared" si="16"/>
        <v>0</v>
      </c>
      <c r="AB43" s="1625" t="s">
        <v>579</v>
      </c>
      <c r="AC43" s="891">
        <v>51822673</v>
      </c>
      <c r="AD43" s="1622">
        <f t="shared" si="17"/>
        <v>51822.673000000003</v>
      </c>
      <c r="AG43" s="1625" t="s">
        <v>575</v>
      </c>
      <c r="AH43" s="891">
        <v>1431430245</v>
      </c>
      <c r="AI43" s="891">
        <v>353260716</v>
      </c>
      <c r="AJ43" s="891">
        <v>353260716</v>
      </c>
      <c r="AK43" s="891">
        <v>1078169529</v>
      </c>
      <c r="AL43" s="1622">
        <f t="shared" si="18"/>
        <v>1431430.2450000001</v>
      </c>
      <c r="AM43" s="1622">
        <f t="shared" si="19"/>
        <v>353260.71600000001</v>
      </c>
      <c r="AN43" s="1622">
        <f t="shared" si="20"/>
        <v>353260.71600000001</v>
      </c>
      <c r="AO43" s="1622">
        <f t="shared" si="21"/>
        <v>1078169.5290000001</v>
      </c>
      <c r="AR43" s="1625" t="s">
        <v>581</v>
      </c>
      <c r="AS43" s="1622">
        <v>0</v>
      </c>
      <c r="AT43" s="1622">
        <f t="shared" si="22"/>
        <v>0</v>
      </c>
      <c r="AW43" s="1625" t="s">
        <v>575</v>
      </c>
      <c r="AX43" s="891">
        <v>1431430245</v>
      </c>
      <c r="AY43" s="891">
        <v>353260716</v>
      </c>
      <c r="AZ43" s="891">
        <v>353260716</v>
      </c>
      <c r="BA43" s="891">
        <v>1078169529</v>
      </c>
      <c r="BB43" s="1622">
        <f t="shared" si="23"/>
        <v>1431430.2450000001</v>
      </c>
      <c r="BC43" s="1622">
        <f t="shared" si="24"/>
        <v>353260.71600000001</v>
      </c>
      <c r="BD43" s="1622">
        <f t="shared" si="25"/>
        <v>353260.71600000001</v>
      </c>
      <c r="BE43" s="1622">
        <f t="shared" si="26"/>
        <v>1078169.5290000001</v>
      </c>
      <c r="BH43" s="1625" t="s">
        <v>585</v>
      </c>
      <c r="BI43" s="1622">
        <v>104682117</v>
      </c>
      <c r="BJ43" s="1622">
        <f t="shared" si="27"/>
        <v>104682.117</v>
      </c>
      <c r="BM43" s="1625" t="s">
        <v>575</v>
      </c>
      <c r="BN43" s="1627">
        <v>1431430245</v>
      </c>
      <c r="BO43" s="1627">
        <v>353260716</v>
      </c>
      <c r="BP43" s="1627">
        <v>353260716</v>
      </c>
      <c r="BQ43" s="1627">
        <v>1078169529</v>
      </c>
      <c r="BR43" s="1622">
        <f t="shared" si="28"/>
        <v>1431430.2450000001</v>
      </c>
      <c r="BS43" s="1622">
        <f t="shared" si="29"/>
        <v>353260.71600000001</v>
      </c>
      <c r="BT43" s="1622">
        <f t="shared" si="30"/>
        <v>353260.71600000001</v>
      </c>
      <c r="BU43" s="1622">
        <f t="shared" si="31"/>
        <v>1078169.5290000001</v>
      </c>
      <c r="BX43" s="1624" t="s">
        <v>579</v>
      </c>
      <c r="BY43" s="1622">
        <v>53395473</v>
      </c>
      <c r="BZ43" s="1622">
        <f t="shared" si="32"/>
        <v>53395.472999999998</v>
      </c>
      <c r="CC43" s="1622" t="s">
        <v>575</v>
      </c>
      <c r="CD43" s="1622">
        <v>1431430245</v>
      </c>
      <c r="CE43" s="1622">
        <v>707157769</v>
      </c>
      <c r="CF43" s="1622">
        <v>707157769</v>
      </c>
      <c r="CG43" s="1622">
        <v>724272476</v>
      </c>
      <c r="CH43" s="1622">
        <f t="shared" si="33"/>
        <v>1431430.2450000001</v>
      </c>
      <c r="CI43" s="1622">
        <f t="shared" si="34"/>
        <v>707157.76899999997</v>
      </c>
      <c r="CJ43" s="1622">
        <f t="shared" si="35"/>
        <v>707157.76899999997</v>
      </c>
      <c r="CK43" s="1622">
        <f t="shared" si="36"/>
        <v>724272.47600000002</v>
      </c>
      <c r="CN43" s="1624" t="s">
        <v>581</v>
      </c>
      <c r="CO43" s="1622">
        <v>0</v>
      </c>
      <c r="CP43" s="1622">
        <f t="shared" si="37"/>
        <v>0</v>
      </c>
      <c r="CS43" s="1625" t="s">
        <v>575</v>
      </c>
      <c r="CT43" s="891">
        <v>1431430245</v>
      </c>
      <c r="CU43" s="891">
        <v>707157769</v>
      </c>
      <c r="CV43" s="891">
        <v>707157769</v>
      </c>
      <c r="CW43" s="891">
        <v>724272476</v>
      </c>
      <c r="CX43" s="1622">
        <f t="shared" si="38"/>
        <v>1431430.2450000001</v>
      </c>
      <c r="CY43" s="1622">
        <f t="shared" si="39"/>
        <v>707157.76899999997</v>
      </c>
      <c r="CZ43" s="1622">
        <f t="shared" si="40"/>
        <v>707157.76899999997</v>
      </c>
      <c r="DA43" s="1622">
        <f t="shared" si="41"/>
        <v>724272.47600000002</v>
      </c>
      <c r="DD43" s="1624" t="s">
        <v>586</v>
      </c>
      <c r="DE43" s="1622">
        <v>223259</v>
      </c>
      <c r="DF43" s="1622">
        <f t="shared" si="42"/>
        <v>223.25899999999999</v>
      </c>
      <c r="DJ43" s="1624" t="s">
        <v>575</v>
      </c>
      <c r="DK43" s="1622">
        <v>1431430245</v>
      </c>
      <c r="DL43" s="1622">
        <v>707157769</v>
      </c>
      <c r="DM43" s="1622">
        <v>724272476</v>
      </c>
      <c r="DN43" s="1622">
        <v>707157769</v>
      </c>
      <c r="DO43" s="1622">
        <f t="shared" si="43"/>
        <v>1431430.2450000001</v>
      </c>
      <c r="DP43" s="1622">
        <f t="shared" si="44"/>
        <v>707157.76899999997</v>
      </c>
      <c r="DQ43" s="1622">
        <f t="shared" si="45"/>
        <v>724272.47600000002</v>
      </c>
      <c r="DR43" s="1622">
        <f t="shared" si="46"/>
        <v>707157.76899999997</v>
      </c>
      <c r="DV43" s="780" t="s">
        <v>579</v>
      </c>
      <c r="DW43" s="779">
        <v>57658211</v>
      </c>
      <c r="DX43" s="1626">
        <f t="shared" si="47"/>
        <v>57658.211000000003</v>
      </c>
      <c r="EA43" s="780" t="s">
        <v>575</v>
      </c>
      <c r="EB43" s="779">
        <v>1431430245</v>
      </c>
      <c r="EC43" s="779">
        <v>1065233745</v>
      </c>
      <c r="ED43" s="779">
        <v>1065233745</v>
      </c>
      <c r="EE43" s="779">
        <v>366196500</v>
      </c>
      <c r="EF43" s="166">
        <f t="shared" si="48"/>
        <v>1431430.2450000001</v>
      </c>
      <c r="EG43" s="166">
        <f t="shared" si="49"/>
        <v>1065233.7450000001</v>
      </c>
      <c r="EH43" s="166">
        <f t="shared" si="50"/>
        <v>1065233.7450000001</v>
      </c>
      <c r="EI43" s="166">
        <f t="shared" si="51"/>
        <v>366196.5</v>
      </c>
    </row>
    <row r="44" spans="1:139" ht="15" customHeight="1" x14ac:dyDescent="0.3">
      <c r="A44" s="1625" t="s">
        <v>576</v>
      </c>
      <c r="B44" s="891">
        <v>50666759</v>
      </c>
      <c r="C44" s="891">
        <v>0</v>
      </c>
      <c r="D44" s="891">
        <v>50666759</v>
      </c>
      <c r="E44" s="891">
        <v>0</v>
      </c>
      <c r="F44" s="891">
        <f t="shared" si="8"/>
        <v>50666.758999999998</v>
      </c>
      <c r="G44" s="891">
        <f t="shared" si="9"/>
        <v>0</v>
      </c>
      <c r="H44" s="891">
        <f t="shared" si="10"/>
        <v>50666.758999999998</v>
      </c>
      <c r="I44" s="891">
        <f t="shared" si="11"/>
        <v>0</v>
      </c>
      <c r="L44" s="1625" t="s">
        <v>376</v>
      </c>
      <c r="M44" s="891">
        <v>1639552</v>
      </c>
      <c r="N44" s="891">
        <f t="shared" si="12"/>
        <v>1639.5519999999999</v>
      </c>
      <c r="Q44" s="1625" t="s">
        <v>576</v>
      </c>
      <c r="R44" s="891">
        <v>50666759</v>
      </c>
      <c r="S44" s="891">
        <v>0</v>
      </c>
      <c r="T44" s="891">
        <v>50666759</v>
      </c>
      <c r="U44" s="891">
        <v>0</v>
      </c>
      <c r="V44" s="1622">
        <f t="shared" si="13"/>
        <v>50666.758999999998</v>
      </c>
      <c r="W44" s="1622">
        <f t="shared" si="14"/>
        <v>0</v>
      </c>
      <c r="X44" s="1622">
        <f t="shared" si="15"/>
        <v>50666.758999999998</v>
      </c>
      <c r="Y44" s="1622">
        <f t="shared" si="16"/>
        <v>0</v>
      </c>
      <c r="AB44" s="1625" t="s">
        <v>580</v>
      </c>
      <c r="AC44" s="891">
        <v>343288252</v>
      </c>
      <c r="AD44" s="1622">
        <f t="shared" si="17"/>
        <v>343288.25199999998</v>
      </c>
      <c r="AG44" s="1625" t="s">
        <v>576</v>
      </c>
      <c r="AH44" s="891">
        <v>50666759</v>
      </c>
      <c r="AI44" s="891">
        <v>12566007</v>
      </c>
      <c r="AJ44" s="891">
        <v>12566007</v>
      </c>
      <c r="AK44" s="891">
        <v>38100752</v>
      </c>
      <c r="AL44" s="1622">
        <f t="shared" si="18"/>
        <v>50666.758999999998</v>
      </c>
      <c r="AM44" s="1622">
        <f t="shared" si="19"/>
        <v>12566.007</v>
      </c>
      <c r="AN44" s="1622">
        <f t="shared" si="20"/>
        <v>12566.007</v>
      </c>
      <c r="AO44" s="1622">
        <f t="shared" si="21"/>
        <v>38100.752</v>
      </c>
      <c r="AR44" s="1625" t="s">
        <v>370</v>
      </c>
      <c r="AS44" s="1622">
        <v>0</v>
      </c>
      <c r="AT44" s="1622">
        <f t="shared" si="22"/>
        <v>0</v>
      </c>
      <c r="AW44" s="1625" t="s">
        <v>576</v>
      </c>
      <c r="AX44" s="891">
        <v>50666759</v>
      </c>
      <c r="AY44" s="891">
        <v>12566007</v>
      </c>
      <c r="AZ44" s="891">
        <v>12566007</v>
      </c>
      <c r="BA44" s="891">
        <v>38100752</v>
      </c>
      <c r="BB44" s="1622">
        <f t="shared" si="23"/>
        <v>50666.758999999998</v>
      </c>
      <c r="BC44" s="1622">
        <f t="shared" si="24"/>
        <v>12566.007</v>
      </c>
      <c r="BD44" s="1622">
        <f t="shared" si="25"/>
        <v>12566.007</v>
      </c>
      <c r="BE44" s="1622">
        <f t="shared" si="26"/>
        <v>38100.752</v>
      </c>
      <c r="BH44" s="1625" t="s">
        <v>586</v>
      </c>
      <c r="BI44" s="1622">
        <v>1325810</v>
      </c>
      <c r="BJ44" s="1622">
        <f t="shared" si="27"/>
        <v>1325.81</v>
      </c>
      <c r="BM44" s="1625" t="s">
        <v>576</v>
      </c>
      <c r="BN44" s="1627">
        <v>50666759</v>
      </c>
      <c r="BO44" s="1627">
        <v>12566007</v>
      </c>
      <c r="BP44" s="1627">
        <v>12566007</v>
      </c>
      <c r="BQ44" s="1627">
        <v>38100752</v>
      </c>
      <c r="BR44" s="1622">
        <f t="shared" si="28"/>
        <v>50666.758999999998</v>
      </c>
      <c r="BS44" s="1622">
        <f t="shared" si="29"/>
        <v>12566.007</v>
      </c>
      <c r="BT44" s="1622">
        <f t="shared" si="30"/>
        <v>12566.007</v>
      </c>
      <c r="BU44" s="1622">
        <f t="shared" si="31"/>
        <v>38100.752</v>
      </c>
      <c r="BX44" s="1624" t="s">
        <v>580</v>
      </c>
      <c r="BY44" s="1622">
        <v>341206097</v>
      </c>
      <c r="BZ44" s="1622">
        <f t="shared" si="32"/>
        <v>341206.09700000001</v>
      </c>
      <c r="CC44" s="1622" t="s">
        <v>576</v>
      </c>
      <c r="CD44" s="1622">
        <v>50666759</v>
      </c>
      <c r="CE44" s="1622">
        <v>24761169</v>
      </c>
      <c r="CF44" s="1622">
        <v>24761169</v>
      </c>
      <c r="CG44" s="1622">
        <v>25905590</v>
      </c>
      <c r="CH44" s="1622">
        <f t="shared" si="33"/>
        <v>50666.758999999998</v>
      </c>
      <c r="CI44" s="1622">
        <f t="shared" si="34"/>
        <v>24761.169000000002</v>
      </c>
      <c r="CJ44" s="1622">
        <f t="shared" si="35"/>
        <v>24761.169000000002</v>
      </c>
      <c r="CK44" s="1622">
        <f t="shared" si="36"/>
        <v>25905.59</v>
      </c>
      <c r="CN44" s="1624" t="s">
        <v>370</v>
      </c>
      <c r="CO44" s="1622">
        <v>0</v>
      </c>
      <c r="CP44" s="1622">
        <f t="shared" si="37"/>
        <v>0</v>
      </c>
      <c r="CS44" s="1625" t="s">
        <v>576</v>
      </c>
      <c r="CT44" s="891">
        <v>50666759</v>
      </c>
      <c r="CU44" s="891">
        <v>24761169</v>
      </c>
      <c r="CV44" s="891">
        <v>24761169</v>
      </c>
      <c r="CW44" s="891">
        <v>25905590</v>
      </c>
      <c r="CX44" s="1622">
        <f t="shared" si="38"/>
        <v>50666.758999999998</v>
      </c>
      <c r="CY44" s="1622">
        <f t="shared" si="39"/>
        <v>24761.169000000002</v>
      </c>
      <c r="CZ44" s="1622">
        <f t="shared" si="40"/>
        <v>24761.169000000002</v>
      </c>
      <c r="DA44" s="1622">
        <f t="shared" si="41"/>
        <v>25905.59</v>
      </c>
      <c r="DD44" s="1624" t="s">
        <v>376</v>
      </c>
      <c r="DE44" s="1622">
        <v>4662592</v>
      </c>
      <c r="DF44" s="1622">
        <f t="shared" si="42"/>
        <v>4662.5919999999996</v>
      </c>
      <c r="DJ44" s="1624" t="s">
        <v>576</v>
      </c>
      <c r="DK44" s="1622">
        <v>50666759</v>
      </c>
      <c r="DL44" s="1622">
        <v>24761169</v>
      </c>
      <c r="DM44" s="1622">
        <v>25905590</v>
      </c>
      <c r="DN44" s="1622">
        <v>24761169</v>
      </c>
      <c r="DO44" s="1622">
        <f t="shared" si="43"/>
        <v>50666.758999999998</v>
      </c>
      <c r="DP44" s="1622">
        <f t="shared" si="44"/>
        <v>24761.169000000002</v>
      </c>
      <c r="DQ44" s="1622">
        <f t="shared" si="45"/>
        <v>25905.59</v>
      </c>
      <c r="DR44" s="1622">
        <f t="shared" si="46"/>
        <v>24761.169000000002</v>
      </c>
      <c r="DV44" s="780" t="s">
        <v>580</v>
      </c>
      <c r="DW44" s="779">
        <v>342299470</v>
      </c>
      <c r="DX44" s="1626">
        <f t="shared" si="47"/>
        <v>342299.47</v>
      </c>
      <c r="EA44" s="780" t="s">
        <v>576</v>
      </c>
      <c r="EB44" s="779">
        <v>50666759</v>
      </c>
      <c r="EC44" s="779">
        <v>36982643</v>
      </c>
      <c r="ED44" s="779">
        <v>36982643</v>
      </c>
      <c r="EE44" s="779">
        <v>13684116</v>
      </c>
      <c r="EF44" s="166">
        <f t="shared" si="48"/>
        <v>50666.758999999998</v>
      </c>
      <c r="EG44" s="166">
        <f t="shared" si="49"/>
        <v>36982.642999999996</v>
      </c>
      <c r="EH44" s="166">
        <f t="shared" si="50"/>
        <v>36982.642999999996</v>
      </c>
      <c r="EI44" s="166">
        <f t="shared" si="51"/>
        <v>13684.116</v>
      </c>
    </row>
    <row r="45" spans="1:139" ht="15" customHeight="1" x14ac:dyDescent="0.3">
      <c r="A45" s="1625" t="s">
        <v>577</v>
      </c>
      <c r="B45" s="891">
        <v>55235102</v>
      </c>
      <c r="C45" s="891">
        <v>0</v>
      </c>
      <c r="D45" s="891">
        <v>55235102</v>
      </c>
      <c r="E45" s="891">
        <v>0</v>
      </c>
      <c r="F45" s="891">
        <f t="shared" si="8"/>
        <v>55235.101999999999</v>
      </c>
      <c r="G45" s="891">
        <f t="shared" si="9"/>
        <v>0</v>
      </c>
      <c r="H45" s="891">
        <f t="shared" si="10"/>
        <v>55235.101999999999</v>
      </c>
      <c r="I45" s="891">
        <f t="shared" si="11"/>
        <v>0</v>
      </c>
      <c r="L45" s="1625" t="s">
        <v>378</v>
      </c>
      <c r="M45" s="891">
        <v>81155466</v>
      </c>
      <c r="N45" s="891">
        <f t="shared" si="12"/>
        <v>81155.466</v>
      </c>
      <c r="Q45" s="1625" t="s">
        <v>577</v>
      </c>
      <c r="R45" s="891">
        <v>55235102</v>
      </c>
      <c r="S45" s="891">
        <v>0</v>
      </c>
      <c r="T45" s="891">
        <v>55235102</v>
      </c>
      <c r="U45" s="891">
        <v>0</v>
      </c>
      <c r="V45" s="1622">
        <f t="shared" si="13"/>
        <v>55235.101999999999</v>
      </c>
      <c r="W45" s="1622">
        <f t="shared" si="14"/>
        <v>0</v>
      </c>
      <c r="X45" s="1622">
        <f t="shared" si="15"/>
        <v>55235.101999999999</v>
      </c>
      <c r="Y45" s="1622">
        <f t="shared" si="16"/>
        <v>0</v>
      </c>
      <c r="AB45" s="1625" t="s">
        <v>581</v>
      </c>
      <c r="AC45" s="891">
        <v>178985287</v>
      </c>
      <c r="AD45" s="1622">
        <f t="shared" si="17"/>
        <v>178985.28700000001</v>
      </c>
      <c r="AG45" s="1625" t="s">
        <v>577</v>
      </c>
      <c r="AH45" s="891">
        <v>55235102</v>
      </c>
      <c r="AI45" s="891">
        <v>0</v>
      </c>
      <c r="AJ45" s="891">
        <v>0</v>
      </c>
      <c r="AK45" s="891">
        <v>55235102</v>
      </c>
      <c r="AL45" s="1622">
        <f t="shared" si="18"/>
        <v>55235.101999999999</v>
      </c>
      <c r="AM45" s="1622">
        <f t="shared" si="19"/>
        <v>0</v>
      </c>
      <c r="AN45" s="1622">
        <f t="shared" si="20"/>
        <v>0</v>
      </c>
      <c r="AO45" s="1622">
        <f t="shared" si="21"/>
        <v>55235.101999999999</v>
      </c>
      <c r="AR45" s="1625" t="s">
        <v>371</v>
      </c>
      <c r="AS45" s="1622">
        <v>40582861</v>
      </c>
      <c r="AT45" s="1622">
        <f t="shared" si="22"/>
        <v>40582.860999999997</v>
      </c>
      <c r="AW45" s="1625" t="s">
        <v>577</v>
      </c>
      <c r="AX45" s="891">
        <v>55235102</v>
      </c>
      <c r="AY45" s="891">
        <v>0</v>
      </c>
      <c r="AZ45" s="891">
        <v>0</v>
      </c>
      <c r="BA45" s="891">
        <v>55235102</v>
      </c>
      <c r="BB45" s="1622">
        <f t="shared" si="23"/>
        <v>55235.101999999999</v>
      </c>
      <c r="BC45" s="1622">
        <f t="shared" si="24"/>
        <v>0</v>
      </c>
      <c r="BD45" s="1622">
        <f t="shared" si="25"/>
        <v>0</v>
      </c>
      <c r="BE45" s="1622">
        <f t="shared" si="26"/>
        <v>55235.101999999999</v>
      </c>
      <c r="BH45" s="1625" t="s">
        <v>378</v>
      </c>
      <c r="BI45" s="1622">
        <v>158665057</v>
      </c>
      <c r="BJ45" s="1622">
        <f t="shared" si="27"/>
        <v>158665.057</v>
      </c>
      <c r="BM45" s="1625" t="s">
        <v>577</v>
      </c>
      <c r="BN45" s="1627">
        <v>55235102</v>
      </c>
      <c r="BO45" s="1627">
        <v>0</v>
      </c>
      <c r="BP45" s="1627">
        <v>0</v>
      </c>
      <c r="BQ45" s="1627">
        <v>55235102</v>
      </c>
      <c r="BR45" s="1622">
        <f t="shared" si="28"/>
        <v>55235.101999999999</v>
      </c>
      <c r="BS45" s="1622">
        <f t="shared" si="29"/>
        <v>0</v>
      </c>
      <c r="BT45" s="1622">
        <f t="shared" si="30"/>
        <v>0</v>
      </c>
      <c r="BU45" s="1622">
        <f t="shared" si="31"/>
        <v>55235.101999999999</v>
      </c>
      <c r="BX45" s="1624" t="s">
        <v>581</v>
      </c>
      <c r="BY45" s="1622">
        <v>179307698</v>
      </c>
      <c r="BZ45" s="1622">
        <f t="shared" si="32"/>
        <v>179307.698</v>
      </c>
      <c r="CC45" s="1622" t="s">
        <v>577</v>
      </c>
      <c r="CD45" s="1622">
        <v>55235102</v>
      </c>
      <c r="CE45" s="1622">
        <v>0</v>
      </c>
      <c r="CF45" s="1622">
        <v>0</v>
      </c>
      <c r="CG45" s="1622">
        <v>55235102</v>
      </c>
      <c r="CH45" s="1622">
        <f t="shared" si="33"/>
        <v>55235.101999999999</v>
      </c>
      <c r="CI45" s="1622">
        <f t="shared" si="34"/>
        <v>0</v>
      </c>
      <c r="CJ45" s="1622">
        <f t="shared" si="35"/>
        <v>0</v>
      </c>
      <c r="CK45" s="1622">
        <f t="shared" si="36"/>
        <v>55235.101999999999</v>
      </c>
      <c r="CN45" s="1624" t="s">
        <v>371</v>
      </c>
      <c r="CO45" s="1622">
        <v>33676787</v>
      </c>
      <c r="CP45" s="1622">
        <f t="shared" si="37"/>
        <v>33676.786999999997</v>
      </c>
      <c r="CS45" s="1625" t="s">
        <v>577</v>
      </c>
      <c r="CT45" s="891">
        <v>55235102</v>
      </c>
      <c r="CU45" s="891">
        <v>0</v>
      </c>
      <c r="CV45" s="891">
        <v>0</v>
      </c>
      <c r="CW45" s="891">
        <v>55235102</v>
      </c>
      <c r="CX45" s="1622">
        <f t="shared" si="38"/>
        <v>55235.101999999999</v>
      </c>
      <c r="CY45" s="1622">
        <f t="shared" si="39"/>
        <v>0</v>
      </c>
      <c r="CZ45" s="1622">
        <f t="shared" si="40"/>
        <v>0</v>
      </c>
      <c r="DA45" s="1622">
        <f t="shared" si="41"/>
        <v>55235.101999999999</v>
      </c>
      <c r="DD45" s="1624" t="s">
        <v>378</v>
      </c>
      <c r="DE45" s="1622">
        <v>637910981</v>
      </c>
      <c r="DF45" s="1622">
        <f t="shared" si="42"/>
        <v>637910.98100000003</v>
      </c>
      <c r="DJ45" s="1624" t="s">
        <v>577</v>
      </c>
      <c r="DK45" s="1622">
        <v>55235102</v>
      </c>
      <c r="DL45" s="1622">
        <v>0</v>
      </c>
      <c r="DM45" s="1622">
        <v>55235102</v>
      </c>
      <c r="DN45" s="1622">
        <v>0</v>
      </c>
      <c r="DO45" s="1622">
        <f t="shared" si="43"/>
        <v>55235.101999999999</v>
      </c>
      <c r="DP45" s="1622">
        <f t="shared" si="44"/>
        <v>0</v>
      </c>
      <c r="DQ45" s="1622">
        <f t="shared" si="45"/>
        <v>55235.101999999999</v>
      </c>
      <c r="DR45" s="1622">
        <f t="shared" si="46"/>
        <v>0</v>
      </c>
      <c r="DV45" s="780" t="s">
        <v>581</v>
      </c>
      <c r="DW45" s="779">
        <v>181425089</v>
      </c>
      <c r="DX45" s="1626">
        <f t="shared" si="47"/>
        <v>181425.08900000001</v>
      </c>
      <c r="EA45" s="780" t="s">
        <v>577</v>
      </c>
      <c r="EB45" s="779">
        <v>55235102</v>
      </c>
      <c r="EC45" s="779">
        <v>0</v>
      </c>
      <c r="ED45" s="779">
        <v>0</v>
      </c>
      <c r="EE45" s="779">
        <v>55235102</v>
      </c>
      <c r="EF45" s="166">
        <f t="shared" si="48"/>
        <v>55235.101999999999</v>
      </c>
      <c r="EG45" s="166">
        <f t="shared" si="49"/>
        <v>0</v>
      </c>
      <c r="EH45" s="166">
        <f t="shared" si="50"/>
        <v>0</v>
      </c>
      <c r="EI45" s="166">
        <f t="shared" si="51"/>
        <v>55235.101999999999</v>
      </c>
    </row>
    <row r="46" spans="1:139" ht="15" customHeight="1" x14ac:dyDescent="0.3">
      <c r="A46" s="1625" t="s">
        <v>992</v>
      </c>
      <c r="B46" s="891">
        <v>12936000</v>
      </c>
      <c r="C46" s="891">
        <v>12936000</v>
      </c>
      <c r="D46" s="891">
        <v>0</v>
      </c>
      <c r="E46" s="891">
        <v>12936000</v>
      </c>
      <c r="F46" s="891">
        <f t="shared" si="8"/>
        <v>12936</v>
      </c>
      <c r="G46" s="891">
        <f t="shared" si="9"/>
        <v>12936</v>
      </c>
      <c r="H46" s="891">
        <f t="shared" si="10"/>
        <v>0</v>
      </c>
      <c r="I46" s="891">
        <f t="shared" si="11"/>
        <v>12936</v>
      </c>
      <c r="L46" s="1625" t="s">
        <v>379</v>
      </c>
      <c r="M46" s="891">
        <v>7043385</v>
      </c>
      <c r="N46" s="891">
        <f t="shared" si="12"/>
        <v>7043.3850000000002</v>
      </c>
      <c r="Q46" s="1625" t="s">
        <v>992</v>
      </c>
      <c r="R46" s="891">
        <v>156780800</v>
      </c>
      <c r="S46" s="891">
        <v>26012800</v>
      </c>
      <c r="T46" s="891">
        <v>130768000</v>
      </c>
      <c r="U46" s="891">
        <v>26012800</v>
      </c>
      <c r="V46" s="1622">
        <f t="shared" si="13"/>
        <v>156780.79999999999</v>
      </c>
      <c r="W46" s="1622">
        <f t="shared" si="14"/>
        <v>26012.799999999999</v>
      </c>
      <c r="X46" s="1622">
        <f t="shared" si="15"/>
        <v>130768</v>
      </c>
      <c r="Y46" s="1622">
        <f t="shared" si="16"/>
        <v>26012.799999999999</v>
      </c>
      <c r="AB46" s="1625" t="s">
        <v>370</v>
      </c>
      <c r="AC46" s="891">
        <v>164302965</v>
      </c>
      <c r="AD46" s="1622">
        <f t="shared" si="17"/>
        <v>164302.965</v>
      </c>
      <c r="AG46" s="1625" t="s">
        <v>992</v>
      </c>
      <c r="AH46" s="891">
        <v>156780800</v>
      </c>
      <c r="AI46" s="891">
        <v>39248000</v>
      </c>
      <c r="AJ46" s="891">
        <v>39248000</v>
      </c>
      <c r="AK46" s="891">
        <v>117532800</v>
      </c>
      <c r="AL46" s="1622">
        <f t="shared" si="18"/>
        <v>156780.79999999999</v>
      </c>
      <c r="AM46" s="1622">
        <f t="shared" si="19"/>
        <v>39248</v>
      </c>
      <c r="AN46" s="1622">
        <f t="shared" si="20"/>
        <v>39248</v>
      </c>
      <c r="AO46" s="1622">
        <f t="shared" si="21"/>
        <v>117532.8</v>
      </c>
      <c r="AR46" s="1625" t="s">
        <v>582</v>
      </c>
      <c r="AS46" s="1622">
        <v>20792567</v>
      </c>
      <c r="AT46" s="1622">
        <f t="shared" si="22"/>
        <v>20792.566999999999</v>
      </c>
      <c r="AW46" s="1625" t="s">
        <v>992</v>
      </c>
      <c r="AX46" s="891">
        <v>156780800</v>
      </c>
      <c r="AY46" s="891">
        <v>52448000</v>
      </c>
      <c r="AZ46" s="891">
        <v>52448000</v>
      </c>
      <c r="BA46" s="891">
        <v>104332800</v>
      </c>
      <c r="BB46" s="1622">
        <f t="shared" si="23"/>
        <v>156780.79999999999</v>
      </c>
      <c r="BC46" s="1622">
        <f t="shared" si="24"/>
        <v>52448</v>
      </c>
      <c r="BD46" s="1622">
        <f t="shared" si="25"/>
        <v>52448</v>
      </c>
      <c r="BE46" s="1622">
        <f t="shared" si="26"/>
        <v>104332.8</v>
      </c>
      <c r="BH46" s="1625" t="s">
        <v>379</v>
      </c>
      <c r="BI46" s="1622">
        <v>3829192</v>
      </c>
      <c r="BJ46" s="1622">
        <f t="shared" si="27"/>
        <v>3829.192</v>
      </c>
      <c r="BM46" s="1625" t="s">
        <v>992</v>
      </c>
      <c r="BN46" s="1627">
        <v>156780800</v>
      </c>
      <c r="BO46" s="1627">
        <v>64803200</v>
      </c>
      <c r="BP46" s="1627">
        <v>64803200</v>
      </c>
      <c r="BQ46" s="1627">
        <v>91977600</v>
      </c>
      <c r="BR46" s="1622">
        <f t="shared" si="28"/>
        <v>156780.79999999999</v>
      </c>
      <c r="BS46" s="1622">
        <f t="shared" si="29"/>
        <v>64803.199999999997</v>
      </c>
      <c r="BT46" s="1622">
        <f t="shared" si="30"/>
        <v>64803.199999999997</v>
      </c>
      <c r="BU46" s="1622">
        <f t="shared" si="31"/>
        <v>91977.600000000006</v>
      </c>
      <c r="BX46" s="1624" t="s">
        <v>370</v>
      </c>
      <c r="BY46" s="1622">
        <v>161898399</v>
      </c>
      <c r="BZ46" s="1622">
        <f t="shared" si="32"/>
        <v>161898.399</v>
      </c>
      <c r="CC46" s="1622" t="s">
        <v>992</v>
      </c>
      <c r="CD46" s="1622">
        <v>156780800</v>
      </c>
      <c r="CE46" s="1622">
        <v>77440000</v>
      </c>
      <c r="CF46" s="1622">
        <v>77440000</v>
      </c>
      <c r="CG46" s="1622">
        <v>79340800</v>
      </c>
      <c r="CH46" s="1622">
        <f t="shared" si="33"/>
        <v>156780.79999999999</v>
      </c>
      <c r="CI46" s="1622">
        <f t="shared" si="34"/>
        <v>77440</v>
      </c>
      <c r="CJ46" s="1622">
        <f t="shared" si="35"/>
        <v>77440</v>
      </c>
      <c r="CK46" s="1622">
        <f t="shared" si="36"/>
        <v>79340.800000000003</v>
      </c>
      <c r="CN46" s="1624" t="s">
        <v>582</v>
      </c>
      <c r="CO46" s="1622">
        <v>20564293</v>
      </c>
      <c r="CP46" s="1622">
        <f t="shared" si="37"/>
        <v>20564.293000000001</v>
      </c>
      <c r="CS46" s="1625" t="s">
        <v>992</v>
      </c>
      <c r="CT46" s="891">
        <v>156780800</v>
      </c>
      <c r="CU46" s="891">
        <v>90112000</v>
      </c>
      <c r="CV46" s="891">
        <v>90112000</v>
      </c>
      <c r="CW46" s="891">
        <v>66668800</v>
      </c>
      <c r="CX46" s="1622">
        <f t="shared" si="38"/>
        <v>156780.79999999999</v>
      </c>
      <c r="CY46" s="1622">
        <f t="shared" si="39"/>
        <v>90112</v>
      </c>
      <c r="CZ46" s="1622">
        <f t="shared" si="40"/>
        <v>90112</v>
      </c>
      <c r="DA46" s="1622">
        <f t="shared" si="41"/>
        <v>66668.800000000003</v>
      </c>
      <c r="DD46" s="1624" t="s">
        <v>379</v>
      </c>
      <c r="DE46" s="1622">
        <v>2032422</v>
      </c>
      <c r="DF46" s="1622">
        <f t="shared" si="42"/>
        <v>2032.422</v>
      </c>
      <c r="DJ46" s="1624" t="s">
        <v>992</v>
      </c>
      <c r="DK46" s="1622">
        <v>156780800</v>
      </c>
      <c r="DL46" s="1622">
        <v>103215200</v>
      </c>
      <c r="DM46" s="1622">
        <v>53565600</v>
      </c>
      <c r="DN46" s="1622">
        <v>103215200</v>
      </c>
      <c r="DO46" s="1622">
        <f t="shared" si="43"/>
        <v>156780.79999999999</v>
      </c>
      <c r="DP46" s="1622">
        <f t="shared" si="44"/>
        <v>103215.2</v>
      </c>
      <c r="DQ46" s="1622">
        <f t="shared" si="45"/>
        <v>53565.599999999999</v>
      </c>
      <c r="DR46" s="1622">
        <f t="shared" si="46"/>
        <v>103215.2</v>
      </c>
      <c r="DV46" s="780" t="s">
        <v>370</v>
      </c>
      <c r="DW46" s="779">
        <v>160874381</v>
      </c>
      <c r="DX46" s="1626">
        <f t="shared" si="47"/>
        <v>160874.38099999999</v>
      </c>
      <c r="EA46" s="780" t="s">
        <v>992</v>
      </c>
      <c r="EB46" s="779">
        <v>156780800</v>
      </c>
      <c r="EC46" s="779">
        <v>103215200</v>
      </c>
      <c r="ED46" s="779">
        <v>103215200</v>
      </c>
      <c r="EE46" s="779">
        <v>53565600</v>
      </c>
      <c r="EF46" s="166">
        <f t="shared" si="48"/>
        <v>156780.79999999999</v>
      </c>
      <c r="EG46" s="166">
        <f t="shared" si="49"/>
        <v>103215.2</v>
      </c>
      <c r="EH46" s="166">
        <f t="shared" si="50"/>
        <v>103215.2</v>
      </c>
      <c r="EI46" s="166">
        <f t="shared" si="51"/>
        <v>53565.599999999999</v>
      </c>
    </row>
    <row r="47" spans="1:139" ht="15" customHeight="1" x14ac:dyDescent="0.3">
      <c r="A47" s="1625" t="s">
        <v>925</v>
      </c>
      <c r="B47" s="891">
        <v>0</v>
      </c>
      <c r="C47" s="891">
        <v>0</v>
      </c>
      <c r="D47" s="891">
        <v>0</v>
      </c>
      <c r="E47" s="891">
        <v>0</v>
      </c>
      <c r="F47" s="891">
        <f t="shared" si="8"/>
        <v>0</v>
      </c>
      <c r="G47" s="891">
        <f t="shared" si="9"/>
        <v>0</v>
      </c>
      <c r="H47" s="891">
        <f t="shared" si="10"/>
        <v>0</v>
      </c>
      <c r="I47" s="891">
        <f t="shared" si="11"/>
        <v>0</v>
      </c>
      <c r="L47" s="1625" t="s">
        <v>588</v>
      </c>
      <c r="M47" s="891">
        <v>750280</v>
      </c>
      <c r="N47" s="891">
        <f t="shared" si="12"/>
        <v>750.28</v>
      </c>
      <c r="Q47" s="1625" t="s">
        <v>925</v>
      </c>
      <c r="R47" s="891">
        <v>0</v>
      </c>
      <c r="S47" s="891">
        <v>0</v>
      </c>
      <c r="T47" s="891">
        <v>0</v>
      </c>
      <c r="U47" s="891">
        <v>0</v>
      </c>
      <c r="V47" s="1622">
        <f t="shared" si="13"/>
        <v>0</v>
      </c>
      <c r="W47" s="1622">
        <f t="shared" si="14"/>
        <v>0</v>
      </c>
      <c r="X47" s="1622">
        <f t="shared" si="15"/>
        <v>0</v>
      </c>
      <c r="Y47" s="1622">
        <f t="shared" si="16"/>
        <v>0</v>
      </c>
      <c r="AB47" s="1625" t="s">
        <v>371</v>
      </c>
      <c r="AC47" s="891">
        <v>38651775</v>
      </c>
      <c r="AD47" s="1622">
        <f t="shared" si="17"/>
        <v>38651.775000000001</v>
      </c>
      <c r="AG47" s="1625" t="s">
        <v>925</v>
      </c>
      <c r="AH47" s="891">
        <v>0</v>
      </c>
      <c r="AI47" s="891">
        <v>0</v>
      </c>
      <c r="AJ47" s="891">
        <v>0</v>
      </c>
      <c r="AK47" s="891">
        <v>0</v>
      </c>
      <c r="AL47" s="1622">
        <f t="shared" si="18"/>
        <v>0</v>
      </c>
      <c r="AM47" s="1622">
        <f t="shared" si="19"/>
        <v>0</v>
      </c>
      <c r="AN47" s="1622">
        <f t="shared" si="20"/>
        <v>0</v>
      </c>
      <c r="AO47" s="1622">
        <f t="shared" si="21"/>
        <v>0</v>
      </c>
      <c r="AR47" s="1625" t="s">
        <v>583</v>
      </c>
      <c r="AS47" s="1622">
        <v>7324087</v>
      </c>
      <c r="AT47" s="1622">
        <f t="shared" si="22"/>
        <v>7324.0870000000004</v>
      </c>
      <c r="AW47" s="1625" t="s">
        <v>925</v>
      </c>
      <c r="AX47" s="891">
        <v>0</v>
      </c>
      <c r="AY47" s="891">
        <v>0</v>
      </c>
      <c r="AZ47" s="891">
        <v>0</v>
      </c>
      <c r="BA47" s="891">
        <v>0</v>
      </c>
      <c r="BB47" s="1622">
        <f t="shared" si="23"/>
        <v>0</v>
      </c>
      <c r="BC47" s="1622">
        <f t="shared" si="24"/>
        <v>0</v>
      </c>
      <c r="BD47" s="1622">
        <f t="shared" si="25"/>
        <v>0</v>
      </c>
      <c r="BE47" s="1622">
        <f t="shared" si="26"/>
        <v>0</v>
      </c>
      <c r="BH47" s="1625" t="s">
        <v>588</v>
      </c>
      <c r="BI47" s="1622">
        <v>3829192</v>
      </c>
      <c r="BJ47" s="1622">
        <f t="shared" si="27"/>
        <v>3829.192</v>
      </c>
      <c r="BM47" s="1625" t="s">
        <v>925</v>
      </c>
      <c r="BN47" s="1627">
        <v>0</v>
      </c>
      <c r="BO47" s="1627">
        <v>0</v>
      </c>
      <c r="BP47" s="1627">
        <v>0</v>
      </c>
      <c r="BQ47" s="1627">
        <v>0</v>
      </c>
      <c r="BR47" s="1622">
        <f t="shared" si="28"/>
        <v>0</v>
      </c>
      <c r="BS47" s="1622">
        <f t="shared" si="29"/>
        <v>0</v>
      </c>
      <c r="BT47" s="1622">
        <f t="shared" si="30"/>
        <v>0</v>
      </c>
      <c r="BU47" s="1622">
        <f t="shared" si="31"/>
        <v>0</v>
      </c>
      <c r="BX47" s="1624" t="s">
        <v>371</v>
      </c>
      <c r="BY47" s="1622">
        <v>37188557</v>
      </c>
      <c r="BZ47" s="1622">
        <f t="shared" si="32"/>
        <v>37188.557000000001</v>
      </c>
      <c r="CC47" s="1622" t="s">
        <v>925</v>
      </c>
      <c r="CD47" s="1622">
        <v>0</v>
      </c>
      <c r="CE47" s="1622">
        <v>0</v>
      </c>
      <c r="CF47" s="1622">
        <v>0</v>
      </c>
      <c r="CG47" s="1622">
        <v>0</v>
      </c>
      <c r="CH47" s="1622">
        <f t="shared" si="33"/>
        <v>0</v>
      </c>
      <c r="CI47" s="1622">
        <f t="shared" si="34"/>
        <v>0</v>
      </c>
      <c r="CJ47" s="1622">
        <f t="shared" si="35"/>
        <v>0</v>
      </c>
      <c r="CK47" s="1622">
        <f t="shared" si="36"/>
        <v>0</v>
      </c>
      <c r="CN47" s="1624" t="s">
        <v>583</v>
      </c>
      <c r="CO47" s="1622">
        <v>5830708</v>
      </c>
      <c r="CP47" s="1622">
        <f t="shared" si="37"/>
        <v>5830.7079999999996</v>
      </c>
      <c r="CS47" s="1625" t="s">
        <v>925</v>
      </c>
      <c r="CT47" s="891">
        <v>0</v>
      </c>
      <c r="CU47" s="891">
        <v>0</v>
      </c>
      <c r="CV47" s="891">
        <v>0</v>
      </c>
      <c r="CW47" s="891">
        <v>0</v>
      </c>
      <c r="CX47" s="1622">
        <f t="shared" si="38"/>
        <v>0</v>
      </c>
      <c r="CY47" s="1622">
        <f t="shared" si="39"/>
        <v>0</v>
      </c>
      <c r="CZ47" s="1622">
        <f t="shared" si="40"/>
        <v>0</v>
      </c>
      <c r="DA47" s="1622">
        <f t="shared" si="41"/>
        <v>0</v>
      </c>
      <c r="DD47" s="1624" t="s">
        <v>588</v>
      </c>
      <c r="DE47" s="1622">
        <v>831411</v>
      </c>
      <c r="DF47" s="1622">
        <f t="shared" si="42"/>
        <v>831.41099999999994</v>
      </c>
      <c r="DJ47" s="1624" t="s">
        <v>925</v>
      </c>
      <c r="DK47" s="1622">
        <v>0</v>
      </c>
      <c r="DL47" s="1622">
        <v>0</v>
      </c>
      <c r="DM47" s="1622">
        <v>0</v>
      </c>
      <c r="DN47" s="1622">
        <v>0</v>
      </c>
      <c r="DO47" s="1622">
        <f t="shared" si="43"/>
        <v>0</v>
      </c>
      <c r="DP47" s="1622">
        <f t="shared" si="44"/>
        <v>0</v>
      </c>
      <c r="DQ47" s="1622">
        <f t="shared" si="45"/>
        <v>0</v>
      </c>
      <c r="DR47" s="1622">
        <f t="shared" si="46"/>
        <v>0</v>
      </c>
      <c r="DV47" s="780" t="s">
        <v>371</v>
      </c>
      <c r="DW47" s="779">
        <v>36305355</v>
      </c>
      <c r="DX47" s="1626">
        <f t="shared" si="47"/>
        <v>36305.355000000003</v>
      </c>
      <c r="EA47" s="780" t="s">
        <v>925</v>
      </c>
      <c r="EB47" s="779">
        <v>0</v>
      </c>
      <c r="EC47" s="779">
        <v>0</v>
      </c>
      <c r="ED47" s="779">
        <v>0</v>
      </c>
      <c r="EE47" s="779">
        <v>0</v>
      </c>
      <c r="EF47" s="166">
        <f t="shared" si="48"/>
        <v>0</v>
      </c>
      <c r="EG47" s="166">
        <f t="shared" si="49"/>
        <v>0</v>
      </c>
      <c r="EH47" s="166">
        <f t="shared" si="50"/>
        <v>0</v>
      </c>
      <c r="EI47" s="166">
        <f t="shared" si="51"/>
        <v>0</v>
      </c>
    </row>
    <row r="48" spans="1:139" ht="15" customHeight="1" x14ac:dyDescent="0.3">
      <c r="A48" s="1625" t="s">
        <v>369</v>
      </c>
      <c r="B48" s="891">
        <v>584702254</v>
      </c>
      <c r="C48" s="891">
        <v>36536023</v>
      </c>
      <c r="D48" s="891">
        <v>548166231</v>
      </c>
      <c r="E48" s="891">
        <v>36536023</v>
      </c>
      <c r="F48" s="891">
        <f t="shared" si="8"/>
        <v>584702.25399999996</v>
      </c>
      <c r="G48" s="891">
        <f t="shared" si="9"/>
        <v>36536.023000000001</v>
      </c>
      <c r="H48" s="891">
        <f t="shared" si="10"/>
        <v>548166.23100000003</v>
      </c>
      <c r="I48" s="891">
        <f t="shared" si="11"/>
        <v>36536.023000000001</v>
      </c>
      <c r="L48" s="1625" t="s">
        <v>380</v>
      </c>
      <c r="M48" s="891">
        <v>6293105</v>
      </c>
      <c r="N48" s="891">
        <f t="shared" si="12"/>
        <v>6293.1049999999996</v>
      </c>
      <c r="Q48" s="1625" t="s">
        <v>369</v>
      </c>
      <c r="R48" s="891">
        <v>584702254</v>
      </c>
      <c r="S48" s="891">
        <v>76595084</v>
      </c>
      <c r="T48" s="891">
        <v>508107170</v>
      </c>
      <c r="U48" s="891">
        <v>76595084</v>
      </c>
      <c r="V48" s="1622">
        <f t="shared" si="13"/>
        <v>584702.25399999996</v>
      </c>
      <c r="W48" s="1622">
        <f t="shared" si="14"/>
        <v>76595.084000000003</v>
      </c>
      <c r="X48" s="1622">
        <f t="shared" si="15"/>
        <v>508107.17</v>
      </c>
      <c r="Y48" s="1622">
        <f t="shared" si="16"/>
        <v>76595.084000000003</v>
      </c>
      <c r="AB48" s="1625" t="s">
        <v>582</v>
      </c>
      <c r="AC48" s="891">
        <v>20792567</v>
      </c>
      <c r="AD48" s="1622">
        <f t="shared" si="17"/>
        <v>20792.566999999999</v>
      </c>
      <c r="AG48" s="1625" t="s">
        <v>369</v>
      </c>
      <c r="AH48" s="891">
        <v>584702254</v>
      </c>
      <c r="AI48" s="891">
        <v>135151497</v>
      </c>
      <c r="AJ48" s="891">
        <v>135151497</v>
      </c>
      <c r="AK48" s="891">
        <v>449550757</v>
      </c>
      <c r="AL48" s="1622">
        <f t="shared" si="18"/>
        <v>584702.25399999996</v>
      </c>
      <c r="AM48" s="1622">
        <f t="shared" si="19"/>
        <v>135151.497</v>
      </c>
      <c r="AN48" s="1622">
        <f t="shared" si="20"/>
        <v>135151.497</v>
      </c>
      <c r="AO48" s="1622">
        <f t="shared" si="21"/>
        <v>449550.75699999998</v>
      </c>
      <c r="AR48" s="1625" t="s">
        <v>624</v>
      </c>
      <c r="AS48" s="1622">
        <v>12466207</v>
      </c>
      <c r="AT48" s="1622">
        <f t="shared" si="22"/>
        <v>12466.207</v>
      </c>
      <c r="AW48" s="1625" t="s">
        <v>369</v>
      </c>
      <c r="AX48" s="891">
        <v>584702254</v>
      </c>
      <c r="AY48" s="891">
        <v>172885604</v>
      </c>
      <c r="AZ48" s="891">
        <v>172885604</v>
      </c>
      <c r="BA48" s="891">
        <v>411816650</v>
      </c>
      <c r="BB48" s="1622">
        <f t="shared" si="23"/>
        <v>584702.25399999996</v>
      </c>
      <c r="BC48" s="1622">
        <f t="shared" si="24"/>
        <v>172885.60399999999</v>
      </c>
      <c r="BD48" s="1622">
        <f t="shared" si="25"/>
        <v>172885.60399999999</v>
      </c>
      <c r="BE48" s="1622">
        <f t="shared" si="26"/>
        <v>411816.65</v>
      </c>
      <c r="BH48" s="1625" t="s">
        <v>380</v>
      </c>
      <c r="BI48" s="1622">
        <v>0</v>
      </c>
      <c r="BJ48" s="1622">
        <f t="shared" si="27"/>
        <v>0</v>
      </c>
      <c r="BM48" s="1625" t="s">
        <v>369</v>
      </c>
      <c r="BN48" s="1627">
        <v>584702254</v>
      </c>
      <c r="BO48" s="1627">
        <v>213560462</v>
      </c>
      <c r="BP48" s="1627">
        <v>213560462</v>
      </c>
      <c r="BQ48" s="1627">
        <v>371141792</v>
      </c>
      <c r="BR48" s="1622">
        <f t="shared" si="28"/>
        <v>584702.25399999996</v>
      </c>
      <c r="BS48" s="1622">
        <f t="shared" si="29"/>
        <v>213560.462</v>
      </c>
      <c r="BT48" s="1622">
        <f t="shared" si="30"/>
        <v>213560.462</v>
      </c>
      <c r="BU48" s="1622">
        <f t="shared" si="31"/>
        <v>371141.79200000002</v>
      </c>
      <c r="BX48" s="1624" t="s">
        <v>582</v>
      </c>
      <c r="BY48" s="1622">
        <v>20564293</v>
      </c>
      <c r="BZ48" s="1622">
        <f t="shared" si="32"/>
        <v>20564.293000000001</v>
      </c>
      <c r="CC48" s="1622" t="s">
        <v>369</v>
      </c>
      <c r="CD48" s="1622">
        <v>584702254</v>
      </c>
      <c r="CE48" s="1622">
        <v>273815775</v>
      </c>
      <c r="CF48" s="1622">
        <v>273815775</v>
      </c>
      <c r="CG48" s="1622">
        <v>310886479</v>
      </c>
      <c r="CH48" s="1622">
        <f t="shared" si="33"/>
        <v>584702.25399999996</v>
      </c>
      <c r="CI48" s="1622">
        <f t="shared" si="34"/>
        <v>273815.77500000002</v>
      </c>
      <c r="CJ48" s="1622">
        <f t="shared" si="35"/>
        <v>273815.77500000002</v>
      </c>
      <c r="CK48" s="1622">
        <f t="shared" si="36"/>
        <v>310886.47899999999</v>
      </c>
      <c r="CN48" s="1624" t="s">
        <v>624</v>
      </c>
      <c r="CO48" s="1622">
        <v>7281786</v>
      </c>
      <c r="CP48" s="1622">
        <f t="shared" si="37"/>
        <v>7281.7860000000001</v>
      </c>
      <c r="CS48" s="1625" t="s">
        <v>369</v>
      </c>
      <c r="CT48" s="891">
        <v>584702254</v>
      </c>
      <c r="CU48" s="891">
        <v>314008047</v>
      </c>
      <c r="CV48" s="891">
        <v>314008047</v>
      </c>
      <c r="CW48" s="891">
        <v>270694207</v>
      </c>
      <c r="CX48" s="1622">
        <f t="shared" si="38"/>
        <v>584702.25399999996</v>
      </c>
      <c r="CY48" s="1622">
        <f t="shared" si="39"/>
        <v>314008.04700000002</v>
      </c>
      <c r="CZ48" s="1622">
        <f t="shared" si="40"/>
        <v>314008.04700000002</v>
      </c>
      <c r="DA48" s="1622">
        <f t="shared" si="41"/>
        <v>270694.20699999999</v>
      </c>
      <c r="DD48" s="1624" t="s">
        <v>380</v>
      </c>
      <c r="DE48" s="1622">
        <v>1201011</v>
      </c>
      <c r="DF48" s="1622">
        <f t="shared" si="42"/>
        <v>1201.011</v>
      </c>
      <c r="DJ48" s="1624" t="s">
        <v>369</v>
      </c>
      <c r="DK48" s="1622">
        <v>584702254</v>
      </c>
      <c r="DL48" s="1622">
        <v>357651614</v>
      </c>
      <c r="DM48" s="1622">
        <v>227050640</v>
      </c>
      <c r="DN48" s="1622">
        <v>357651614</v>
      </c>
      <c r="DO48" s="1622">
        <f t="shared" si="43"/>
        <v>584702.25399999996</v>
      </c>
      <c r="DP48" s="1622">
        <f t="shared" si="44"/>
        <v>357651.614</v>
      </c>
      <c r="DQ48" s="1622">
        <f t="shared" si="45"/>
        <v>227050.64</v>
      </c>
      <c r="DR48" s="1622">
        <f t="shared" si="46"/>
        <v>357651.614</v>
      </c>
      <c r="DV48" s="780" t="s">
        <v>582</v>
      </c>
      <c r="DW48" s="779">
        <v>23230113</v>
      </c>
      <c r="DX48" s="1626">
        <f t="shared" si="47"/>
        <v>23230.113000000001</v>
      </c>
      <c r="EA48" s="780" t="s">
        <v>369</v>
      </c>
      <c r="EB48" s="779">
        <v>584702254</v>
      </c>
      <c r="EC48" s="779">
        <v>418752355</v>
      </c>
      <c r="ED48" s="779">
        <v>418752355</v>
      </c>
      <c r="EE48" s="779">
        <v>165949899</v>
      </c>
      <c r="EF48" s="166">
        <f t="shared" si="48"/>
        <v>584702.25399999996</v>
      </c>
      <c r="EG48" s="166">
        <f t="shared" si="49"/>
        <v>418752.35499999998</v>
      </c>
      <c r="EH48" s="166">
        <f t="shared" si="50"/>
        <v>418752.35499999998</v>
      </c>
      <c r="EI48" s="166">
        <f t="shared" si="51"/>
        <v>165949.899</v>
      </c>
    </row>
    <row r="49" spans="1:139" ht="15" customHeight="1" x14ac:dyDescent="0.3">
      <c r="A49" s="1625" t="s">
        <v>578</v>
      </c>
      <c r="B49" s="891">
        <v>45733139</v>
      </c>
      <c r="C49" s="891">
        <v>0</v>
      </c>
      <c r="D49" s="891">
        <v>45733139</v>
      </c>
      <c r="E49" s="891">
        <v>0</v>
      </c>
      <c r="F49" s="891">
        <f t="shared" si="8"/>
        <v>45733.139000000003</v>
      </c>
      <c r="G49" s="891">
        <f t="shared" si="9"/>
        <v>0</v>
      </c>
      <c r="H49" s="891">
        <f t="shared" si="10"/>
        <v>45733.139000000003</v>
      </c>
      <c r="I49" s="891">
        <f t="shared" si="11"/>
        <v>0</v>
      </c>
      <c r="L49" s="1625" t="s">
        <v>381</v>
      </c>
      <c r="M49" s="891">
        <v>4658933</v>
      </c>
      <c r="N49" s="891">
        <f t="shared" si="12"/>
        <v>4658.933</v>
      </c>
      <c r="Q49" s="1625" t="s">
        <v>578</v>
      </c>
      <c r="R49" s="891">
        <v>45733139</v>
      </c>
      <c r="S49" s="891">
        <v>3291210</v>
      </c>
      <c r="T49" s="891">
        <v>42441929</v>
      </c>
      <c r="U49" s="891">
        <v>3291210</v>
      </c>
      <c r="V49" s="1622">
        <f t="shared" si="13"/>
        <v>45733.139000000003</v>
      </c>
      <c r="W49" s="1622">
        <f t="shared" si="14"/>
        <v>3291.21</v>
      </c>
      <c r="X49" s="1622">
        <f t="shared" si="15"/>
        <v>42441.928999999996</v>
      </c>
      <c r="Y49" s="1622">
        <f t="shared" si="16"/>
        <v>3291.21</v>
      </c>
      <c r="AB49" s="1625" t="s">
        <v>583</v>
      </c>
      <c r="AC49" s="891">
        <v>5680934</v>
      </c>
      <c r="AD49" s="1622">
        <f t="shared" si="17"/>
        <v>5680.9340000000002</v>
      </c>
      <c r="AG49" s="1625" t="s">
        <v>578</v>
      </c>
      <c r="AH49" s="891">
        <v>45733139</v>
      </c>
      <c r="AI49" s="891">
        <v>10024950</v>
      </c>
      <c r="AJ49" s="891">
        <v>10024950</v>
      </c>
      <c r="AK49" s="891">
        <v>35708189</v>
      </c>
      <c r="AL49" s="1622">
        <f t="shared" si="18"/>
        <v>45733.139000000003</v>
      </c>
      <c r="AM49" s="1622">
        <f t="shared" si="19"/>
        <v>10024.950000000001</v>
      </c>
      <c r="AN49" s="1622">
        <f t="shared" si="20"/>
        <v>10024.950000000001</v>
      </c>
      <c r="AO49" s="1622">
        <f t="shared" si="21"/>
        <v>35708.188999999998</v>
      </c>
      <c r="AR49" s="1625" t="s">
        <v>372</v>
      </c>
      <c r="AS49" s="1622">
        <v>0</v>
      </c>
      <c r="AT49" s="1622">
        <f t="shared" si="22"/>
        <v>0</v>
      </c>
      <c r="AW49" s="1625" t="s">
        <v>578</v>
      </c>
      <c r="AX49" s="891">
        <v>45733139</v>
      </c>
      <c r="AY49" s="891">
        <v>10024950</v>
      </c>
      <c r="AZ49" s="891">
        <v>10024950</v>
      </c>
      <c r="BA49" s="891">
        <v>35708189</v>
      </c>
      <c r="BB49" s="1622">
        <f t="shared" si="23"/>
        <v>45733.139000000003</v>
      </c>
      <c r="BC49" s="1622">
        <f t="shared" si="24"/>
        <v>10024.950000000001</v>
      </c>
      <c r="BD49" s="1622">
        <f t="shared" si="25"/>
        <v>10024.950000000001</v>
      </c>
      <c r="BE49" s="1622">
        <f t="shared" si="26"/>
        <v>35708.188999999998</v>
      </c>
      <c r="BH49" s="1625" t="s">
        <v>381</v>
      </c>
      <c r="BI49" s="1622">
        <v>13038783</v>
      </c>
      <c r="BJ49" s="1622">
        <f t="shared" si="27"/>
        <v>13038.782999999999</v>
      </c>
      <c r="BM49" s="1625" t="s">
        <v>578</v>
      </c>
      <c r="BN49" s="1627">
        <v>45733139</v>
      </c>
      <c r="BO49" s="1627">
        <v>13429650</v>
      </c>
      <c r="BP49" s="1627">
        <v>13429650</v>
      </c>
      <c r="BQ49" s="1627">
        <v>32303489</v>
      </c>
      <c r="BR49" s="1622">
        <f t="shared" si="28"/>
        <v>45733.139000000003</v>
      </c>
      <c r="BS49" s="1622">
        <f t="shared" si="29"/>
        <v>13429.65</v>
      </c>
      <c r="BT49" s="1622">
        <f t="shared" si="30"/>
        <v>13429.65</v>
      </c>
      <c r="BU49" s="1622">
        <f t="shared" si="31"/>
        <v>32303.489000000001</v>
      </c>
      <c r="BX49" s="1624" t="s">
        <v>583</v>
      </c>
      <c r="BY49" s="1622">
        <v>4322836</v>
      </c>
      <c r="BZ49" s="1622">
        <f t="shared" si="32"/>
        <v>4322.8360000000002</v>
      </c>
      <c r="CC49" s="1622" t="s">
        <v>578</v>
      </c>
      <c r="CD49" s="1622">
        <v>45733139</v>
      </c>
      <c r="CE49" s="1622">
        <v>20289490</v>
      </c>
      <c r="CF49" s="1622">
        <v>20289490</v>
      </c>
      <c r="CG49" s="1622">
        <v>25443649</v>
      </c>
      <c r="CH49" s="1622">
        <f t="shared" si="33"/>
        <v>45733.139000000003</v>
      </c>
      <c r="CI49" s="1622">
        <f t="shared" si="34"/>
        <v>20289.490000000002</v>
      </c>
      <c r="CJ49" s="1622">
        <f t="shared" si="35"/>
        <v>20289.490000000002</v>
      </c>
      <c r="CK49" s="1622">
        <f t="shared" si="36"/>
        <v>25443.649000000001</v>
      </c>
      <c r="CN49" s="1624" t="s">
        <v>372</v>
      </c>
      <c r="CO49" s="1622">
        <v>0</v>
      </c>
      <c r="CP49" s="1622">
        <f t="shared" si="37"/>
        <v>0</v>
      </c>
      <c r="CS49" s="1625" t="s">
        <v>578</v>
      </c>
      <c r="CT49" s="891">
        <v>45733139</v>
      </c>
      <c r="CU49" s="891">
        <v>20289490</v>
      </c>
      <c r="CV49" s="891">
        <v>20289490</v>
      </c>
      <c r="CW49" s="891">
        <v>25443649</v>
      </c>
      <c r="CX49" s="1622">
        <f t="shared" si="38"/>
        <v>45733.139000000003</v>
      </c>
      <c r="CY49" s="1622">
        <f t="shared" si="39"/>
        <v>20289.490000000002</v>
      </c>
      <c r="CZ49" s="1622">
        <f t="shared" si="40"/>
        <v>20289.490000000002</v>
      </c>
      <c r="DA49" s="1622">
        <f t="shared" si="41"/>
        <v>25443.649000000001</v>
      </c>
      <c r="DD49" s="1624" t="s">
        <v>381</v>
      </c>
      <c r="DE49" s="1622">
        <v>2886257</v>
      </c>
      <c r="DF49" s="1622">
        <f t="shared" si="42"/>
        <v>2886.2570000000001</v>
      </c>
      <c r="DJ49" s="1624" t="s">
        <v>578</v>
      </c>
      <c r="DK49" s="1622">
        <v>45733139</v>
      </c>
      <c r="DL49" s="1622">
        <v>23744630</v>
      </c>
      <c r="DM49" s="1622">
        <v>21988509</v>
      </c>
      <c r="DN49" s="1622">
        <v>23744630</v>
      </c>
      <c r="DO49" s="1622">
        <f t="shared" si="43"/>
        <v>45733.139000000003</v>
      </c>
      <c r="DP49" s="1622">
        <f t="shared" si="44"/>
        <v>23744.63</v>
      </c>
      <c r="DQ49" s="1622">
        <f t="shared" si="45"/>
        <v>21988.508999999998</v>
      </c>
      <c r="DR49" s="1622">
        <f t="shared" si="46"/>
        <v>23744.63</v>
      </c>
      <c r="DV49" s="780" t="s">
        <v>583</v>
      </c>
      <c r="DW49" s="779">
        <v>4768745</v>
      </c>
      <c r="DX49" s="1626">
        <f t="shared" si="47"/>
        <v>4768.7449999999999</v>
      </c>
      <c r="EA49" s="780" t="s">
        <v>578</v>
      </c>
      <c r="EB49" s="779">
        <v>45733139</v>
      </c>
      <c r="EC49" s="779">
        <v>27187160</v>
      </c>
      <c r="ED49" s="779">
        <v>27187160</v>
      </c>
      <c r="EE49" s="779">
        <v>18545979</v>
      </c>
      <c r="EF49" s="166">
        <f t="shared" si="48"/>
        <v>45733.139000000003</v>
      </c>
      <c r="EG49" s="166">
        <f t="shared" si="49"/>
        <v>27187.16</v>
      </c>
      <c r="EH49" s="166">
        <f t="shared" si="50"/>
        <v>27187.16</v>
      </c>
      <c r="EI49" s="166">
        <f t="shared" si="51"/>
        <v>18545.978999999999</v>
      </c>
    </row>
    <row r="50" spans="1:139" ht="15" customHeight="1" x14ac:dyDescent="0.3">
      <c r="A50" s="1625" t="s">
        <v>579</v>
      </c>
      <c r="B50" s="891">
        <v>538969115</v>
      </c>
      <c r="C50" s="891">
        <v>36536023</v>
      </c>
      <c r="D50" s="891">
        <v>502433092</v>
      </c>
      <c r="E50" s="891">
        <v>36536023</v>
      </c>
      <c r="F50" s="891">
        <f t="shared" si="8"/>
        <v>538969.11499999999</v>
      </c>
      <c r="G50" s="891">
        <f t="shared" si="9"/>
        <v>36536.023000000001</v>
      </c>
      <c r="H50" s="891">
        <f t="shared" si="10"/>
        <v>502433.092</v>
      </c>
      <c r="I50" s="891">
        <f t="shared" si="11"/>
        <v>36536.023000000001</v>
      </c>
      <c r="L50" s="1625" t="s">
        <v>382</v>
      </c>
      <c r="M50" s="891">
        <v>290360</v>
      </c>
      <c r="N50" s="891">
        <f t="shared" si="12"/>
        <v>290.36</v>
      </c>
      <c r="Q50" s="1625" t="s">
        <v>579</v>
      </c>
      <c r="R50" s="891">
        <v>538969115</v>
      </c>
      <c r="S50" s="891">
        <v>73303874</v>
      </c>
      <c r="T50" s="891">
        <v>465665241</v>
      </c>
      <c r="U50" s="891">
        <v>73303874</v>
      </c>
      <c r="V50" s="1622">
        <f t="shared" si="13"/>
        <v>538969.11499999999</v>
      </c>
      <c r="W50" s="1622">
        <f t="shared" si="14"/>
        <v>73303.873999999996</v>
      </c>
      <c r="X50" s="1622">
        <f t="shared" si="15"/>
        <v>465665.24099999998</v>
      </c>
      <c r="Y50" s="1622">
        <f t="shared" si="16"/>
        <v>73303.873999999996</v>
      </c>
      <c r="AB50" s="1625" t="s">
        <v>624</v>
      </c>
      <c r="AC50" s="891">
        <v>12178274</v>
      </c>
      <c r="AD50" s="1622">
        <f t="shared" si="17"/>
        <v>12178.273999999999</v>
      </c>
      <c r="AG50" s="1625" t="s">
        <v>579</v>
      </c>
      <c r="AH50" s="891">
        <v>538969115</v>
      </c>
      <c r="AI50" s="891">
        <v>125126547</v>
      </c>
      <c r="AJ50" s="891">
        <v>125126547</v>
      </c>
      <c r="AK50" s="891">
        <v>413842568</v>
      </c>
      <c r="AL50" s="1622">
        <f t="shared" si="18"/>
        <v>538969.11499999999</v>
      </c>
      <c r="AM50" s="1622">
        <f t="shared" si="19"/>
        <v>125126.54700000001</v>
      </c>
      <c r="AN50" s="1622">
        <f t="shared" si="20"/>
        <v>125126.54700000001</v>
      </c>
      <c r="AO50" s="1622">
        <f t="shared" si="21"/>
        <v>413842.56800000003</v>
      </c>
      <c r="AR50" s="1625" t="s">
        <v>482</v>
      </c>
      <c r="AS50" s="1622">
        <v>0</v>
      </c>
      <c r="AT50" s="1622">
        <f t="shared" si="22"/>
        <v>0</v>
      </c>
      <c r="AW50" s="1625" t="s">
        <v>579</v>
      </c>
      <c r="AX50" s="891">
        <v>538969115</v>
      </c>
      <c r="AY50" s="891">
        <v>162860654</v>
      </c>
      <c r="AZ50" s="891">
        <v>162860654</v>
      </c>
      <c r="BA50" s="891">
        <v>376108461</v>
      </c>
      <c r="BB50" s="1622">
        <f t="shared" si="23"/>
        <v>538969.11499999999</v>
      </c>
      <c r="BC50" s="1622">
        <f t="shared" si="24"/>
        <v>162860.65400000001</v>
      </c>
      <c r="BD50" s="1622">
        <f t="shared" si="25"/>
        <v>162860.65400000001</v>
      </c>
      <c r="BE50" s="1622">
        <f t="shared" si="26"/>
        <v>376108.46100000001</v>
      </c>
      <c r="BH50" s="1625" t="s">
        <v>382</v>
      </c>
      <c r="BI50" s="1622">
        <v>372030</v>
      </c>
      <c r="BJ50" s="1622">
        <f t="shared" si="27"/>
        <v>372.03</v>
      </c>
      <c r="BM50" s="1625" t="s">
        <v>579</v>
      </c>
      <c r="BN50" s="1627">
        <v>538969115</v>
      </c>
      <c r="BO50" s="1627">
        <v>200130812</v>
      </c>
      <c r="BP50" s="1627">
        <v>200130812</v>
      </c>
      <c r="BQ50" s="1627">
        <v>338838303</v>
      </c>
      <c r="BR50" s="1622">
        <f t="shared" si="28"/>
        <v>538969.11499999999</v>
      </c>
      <c r="BS50" s="1622">
        <f t="shared" si="29"/>
        <v>200130.81200000001</v>
      </c>
      <c r="BT50" s="1622">
        <f t="shared" si="30"/>
        <v>200130.81200000001</v>
      </c>
      <c r="BU50" s="1622">
        <f t="shared" si="31"/>
        <v>338838.30300000001</v>
      </c>
      <c r="BX50" s="1624" t="s">
        <v>624</v>
      </c>
      <c r="BY50" s="1622">
        <v>12301428</v>
      </c>
      <c r="BZ50" s="1622">
        <f t="shared" si="32"/>
        <v>12301.428</v>
      </c>
      <c r="CC50" s="1622" t="s">
        <v>579</v>
      </c>
      <c r="CD50" s="1622">
        <v>538969115</v>
      </c>
      <c r="CE50" s="1622">
        <v>253526285</v>
      </c>
      <c r="CF50" s="1622">
        <v>253526285</v>
      </c>
      <c r="CG50" s="1622">
        <v>285442830</v>
      </c>
      <c r="CH50" s="1622">
        <f t="shared" si="33"/>
        <v>538969.11499999999</v>
      </c>
      <c r="CI50" s="1622">
        <f t="shared" si="34"/>
        <v>253526.285</v>
      </c>
      <c r="CJ50" s="1622">
        <f t="shared" si="35"/>
        <v>253526.285</v>
      </c>
      <c r="CK50" s="1622">
        <f t="shared" si="36"/>
        <v>285442.83</v>
      </c>
      <c r="CN50" s="1624" t="s">
        <v>482</v>
      </c>
      <c r="CO50" s="1622">
        <v>0</v>
      </c>
      <c r="CP50" s="1622">
        <f t="shared" si="37"/>
        <v>0</v>
      </c>
      <c r="CS50" s="1625" t="s">
        <v>579</v>
      </c>
      <c r="CT50" s="891">
        <v>538969115</v>
      </c>
      <c r="CU50" s="891">
        <v>293718557</v>
      </c>
      <c r="CV50" s="891">
        <v>293718557</v>
      </c>
      <c r="CW50" s="891">
        <v>245250558</v>
      </c>
      <c r="CX50" s="1622">
        <f t="shared" si="38"/>
        <v>538969.11499999999</v>
      </c>
      <c r="CY50" s="1622">
        <f t="shared" si="39"/>
        <v>293718.55699999997</v>
      </c>
      <c r="CZ50" s="1622">
        <f t="shared" si="40"/>
        <v>293718.55699999997</v>
      </c>
      <c r="DA50" s="1622">
        <f t="shared" si="41"/>
        <v>245250.55799999999</v>
      </c>
      <c r="DD50" s="1624" t="s">
        <v>382</v>
      </c>
      <c r="DE50" s="1622">
        <v>0</v>
      </c>
      <c r="DF50" s="1622">
        <f t="shared" si="42"/>
        <v>0</v>
      </c>
      <c r="DJ50" s="1624" t="s">
        <v>579</v>
      </c>
      <c r="DK50" s="1622">
        <v>538969115</v>
      </c>
      <c r="DL50" s="1622">
        <v>333906984</v>
      </c>
      <c r="DM50" s="1622">
        <v>205062131</v>
      </c>
      <c r="DN50" s="1622">
        <v>333906984</v>
      </c>
      <c r="DO50" s="1622">
        <f t="shared" si="43"/>
        <v>538969.11499999999</v>
      </c>
      <c r="DP50" s="1622">
        <f t="shared" si="44"/>
        <v>333906.984</v>
      </c>
      <c r="DQ50" s="1622">
        <f t="shared" si="45"/>
        <v>205062.13099999999</v>
      </c>
      <c r="DR50" s="1622">
        <f t="shared" si="46"/>
        <v>333906.984</v>
      </c>
      <c r="DV50" s="780" t="s">
        <v>624</v>
      </c>
      <c r="DW50" s="779">
        <v>8306497</v>
      </c>
      <c r="DX50" s="1626">
        <f t="shared" si="47"/>
        <v>8306.4969999999994</v>
      </c>
      <c r="EA50" s="780" t="s">
        <v>579</v>
      </c>
      <c r="EB50" s="779">
        <v>538969115</v>
      </c>
      <c r="EC50" s="779">
        <v>391565195</v>
      </c>
      <c r="ED50" s="779">
        <v>391565195</v>
      </c>
      <c r="EE50" s="779">
        <v>147403920</v>
      </c>
      <c r="EF50" s="166">
        <f t="shared" si="48"/>
        <v>538969.11499999999</v>
      </c>
      <c r="EG50" s="166">
        <f t="shared" si="49"/>
        <v>391565.19500000001</v>
      </c>
      <c r="EH50" s="166">
        <f t="shared" si="50"/>
        <v>391565.19500000001</v>
      </c>
      <c r="EI50" s="166">
        <f t="shared" si="51"/>
        <v>147403.92000000001</v>
      </c>
    </row>
    <row r="51" spans="1:139" ht="15" customHeight="1" x14ac:dyDescent="0.3">
      <c r="A51" s="1625" t="s">
        <v>580</v>
      </c>
      <c r="B51" s="891">
        <v>1366172385</v>
      </c>
      <c r="C51" s="891">
        <v>0</v>
      </c>
      <c r="D51" s="891">
        <v>1366172385</v>
      </c>
      <c r="E51" s="891">
        <v>0</v>
      </c>
      <c r="F51" s="891">
        <f t="shared" si="8"/>
        <v>1366172.385</v>
      </c>
      <c r="G51" s="891">
        <f t="shared" si="9"/>
        <v>0</v>
      </c>
      <c r="H51" s="891">
        <f t="shared" si="10"/>
        <v>1366172.385</v>
      </c>
      <c r="I51" s="891">
        <f t="shared" si="11"/>
        <v>0</v>
      </c>
      <c r="L51" s="1625" t="s">
        <v>589</v>
      </c>
      <c r="M51" s="891">
        <v>1606500</v>
      </c>
      <c r="N51" s="891">
        <f t="shared" si="12"/>
        <v>1606.5</v>
      </c>
      <c r="Q51" s="1625" t="s">
        <v>580</v>
      </c>
      <c r="R51" s="891">
        <v>1366172385</v>
      </c>
      <c r="S51" s="891">
        <v>0</v>
      </c>
      <c r="T51" s="891">
        <v>1366172385</v>
      </c>
      <c r="U51" s="891">
        <v>0</v>
      </c>
      <c r="V51" s="1622">
        <f t="shared" si="13"/>
        <v>1366172.385</v>
      </c>
      <c r="W51" s="1622">
        <f t="shared" si="14"/>
        <v>0</v>
      </c>
      <c r="X51" s="1622">
        <f t="shared" si="15"/>
        <v>1366172.385</v>
      </c>
      <c r="Y51" s="1622">
        <f t="shared" si="16"/>
        <v>0</v>
      </c>
      <c r="AB51" s="1625" t="s">
        <v>372</v>
      </c>
      <c r="AC51" s="891">
        <v>7659702</v>
      </c>
      <c r="AD51" s="1622">
        <f t="shared" si="17"/>
        <v>7659.7020000000002</v>
      </c>
      <c r="AG51" s="1625" t="s">
        <v>580</v>
      </c>
      <c r="AH51" s="891">
        <v>1366172385</v>
      </c>
      <c r="AI51" s="891">
        <v>343288252</v>
      </c>
      <c r="AJ51" s="891">
        <v>343288252</v>
      </c>
      <c r="AK51" s="891">
        <v>1022884133</v>
      </c>
      <c r="AL51" s="1622">
        <f t="shared" si="18"/>
        <v>1366172.385</v>
      </c>
      <c r="AM51" s="1622">
        <f t="shared" si="19"/>
        <v>343288.25199999998</v>
      </c>
      <c r="AN51" s="1622">
        <f t="shared" si="20"/>
        <v>343288.25199999998</v>
      </c>
      <c r="AO51" s="1622">
        <f t="shared" si="21"/>
        <v>1022884.133</v>
      </c>
      <c r="AR51" s="1625" t="s">
        <v>375</v>
      </c>
      <c r="AS51" s="1622">
        <v>97707121</v>
      </c>
      <c r="AT51" s="1622">
        <f t="shared" si="22"/>
        <v>97707.120999999999</v>
      </c>
      <c r="AW51" s="1625" t="s">
        <v>580</v>
      </c>
      <c r="AX51" s="891">
        <v>1366172385</v>
      </c>
      <c r="AY51" s="891">
        <v>343288252</v>
      </c>
      <c r="AZ51" s="891">
        <v>343288252</v>
      </c>
      <c r="BA51" s="891">
        <v>1022884133</v>
      </c>
      <c r="BB51" s="1622">
        <f t="shared" si="23"/>
        <v>1366172.385</v>
      </c>
      <c r="BC51" s="1622">
        <f t="shared" si="24"/>
        <v>343288.25199999998</v>
      </c>
      <c r="BD51" s="1622">
        <f t="shared" si="25"/>
        <v>343288.25199999998</v>
      </c>
      <c r="BE51" s="1622">
        <f t="shared" si="26"/>
        <v>1022884.133</v>
      </c>
      <c r="BH51" s="1625" t="s">
        <v>589</v>
      </c>
      <c r="BI51" s="1622">
        <v>71400</v>
      </c>
      <c r="BJ51" s="1622">
        <f t="shared" si="27"/>
        <v>71.400000000000006</v>
      </c>
      <c r="BM51" s="1625" t="s">
        <v>580</v>
      </c>
      <c r="BN51" s="1627">
        <v>1366172385</v>
      </c>
      <c r="BO51" s="1627">
        <v>343288252</v>
      </c>
      <c r="BP51" s="1627">
        <v>343288252</v>
      </c>
      <c r="BQ51" s="1627">
        <v>1022884133</v>
      </c>
      <c r="BR51" s="1622">
        <f t="shared" si="28"/>
        <v>1366172.385</v>
      </c>
      <c r="BS51" s="1622">
        <f t="shared" si="29"/>
        <v>343288.25199999998</v>
      </c>
      <c r="BT51" s="1622">
        <f t="shared" si="30"/>
        <v>343288.25199999998</v>
      </c>
      <c r="BU51" s="1622">
        <f t="shared" si="31"/>
        <v>1022884.133</v>
      </c>
      <c r="BX51" s="1624" t="s">
        <v>372</v>
      </c>
      <c r="BY51" s="1622">
        <v>9436437</v>
      </c>
      <c r="BZ51" s="1622">
        <f t="shared" si="32"/>
        <v>9436.4369999999999</v>
      </c>
      <c r="CC51" s="1622" t="s">
        <v>580</v>
      </c>
      <c r="CD51" s="1622">
        <v>1366172385</v>
      </c>
      <c r="CE51" s="1622">
        <v>684494349</v>
      </c>
      <c r="CF51" s="1622">
        <v>684494349</v>
      </c>
      <c r="CG51" s="1622">
        <v>681678036</v>
      </c>
      <c r="CH51" s="1622">
        <f t="shared" si="33"/>
        <v>1366172.385</v>
      </c>
      <c r="CI51" s="1622">
        <f t="shared" si="34"/>
        <v>684494.34900000005</v>
      </c>
      <c r="CJ51" s="1622">
        <f t="shared" si="35"/>
        <v>684494.34900000005</v>
      </c>
      <c r="CK51" s="1622">
        <f t="shared" si="36"/>
        <v>681678.03599999996</v>
      </c>
      <c r="CN51" s="1624" t="s">
        <v>375</v>
      </c>
      <c r="CO51" s="1622">
        <v>108090951</v>
      </c>
      <c r="CP51" s="1622">
        <f t="shared" si="37"/>
        <v>108090.951</v>
      </c>
      <c r="CS51" s="1625" t="s">
        <v>580</v>
      </c>
      <c r="CT51" s="891">
        <v>1366172385</v>
      </c>
      <c r="CU51" s="891">
        <v>684494349</v>
      </c>
      <c r="CV51" s="891">
        <v>684494349</v>
      </c>
      <c r="CW51" s="891">
        <v>681678036</v>
      </c>
      <c r="CX51" s="1622">
        <f t="shared" si="38"/>
        <v>1366172.385</v>
      </c>
      <c r="CY51" s="1622">
        <f t="shared" si="39"/>
        <v>684494.34900000005</v>
      </c>
      <c r="CZ51" s="1622">
        <f t="shared" si="40"/>
        <v>684494.34900000005</v>
      </c>
      <c r="DA51" s="1622">
        <f t="shared" si="41"/>
        <v>681678.03599999996</v>
      </c>
      <c r="DD51" s="1624" t="s">
        <v>589</v>
      </c>
      <c r="DE51" s="1622">
        <v>829147</v>
      </c>
      <c r="DF51" s="1622">
        <f t="shared" si="42"/>
        <v>829.14700000000005</v>
      </c>
      <c r="DJ51" s="1624" t="s">
        <v>580</v>
      </c>
      <c r="DK51" s="1622">
        <v>1366172385</v>
      </c>
      <c r="DL51" s="1622">
        <v>684494349</v>
      </c>
      <c r="DM51" s="1622">
        <v>681678036</v>
      </c>
      <c r="DN51" s="1622">
        <v>684494349</v>
      </c>
      <c r="DO51" s="1622">
        <f t="shared" si="43"/>
        <v>1366172.385</v>
      </c>
      <c r="DP51" s="1622">
        <f t="shared" si="44"/>
        <v>684494.34900000005</v>
      </c>
      <c r="DQ51" s="1622">
        <f t="shared" si="45"/>
        <v>681678.03599999996</v>
      </c>
      <c r="DR51" s="1622">
        <f t="shared" si="46"/>
        <v>684494.34900000005</v>
      </c>
      <c r="DV51" s="780" t="s">
        <v>372</v>
      </c>
      <c r="DW51" s="779">
        <v>21354411</v>
      </c>
      <c r="DX51" s="1626">
        <f t="shared" si="47"/>
        <v>21354.411</v>
      </c>
      <c r="EA51" s="780" t="s">
        <v>580</v>
      </c>
      <c r="EB51" s="779">
        <v>1366172385</v>
      </c>
      <c r="EC51" s="779">
        <v>1026793819</v>
      </c>
      <c r="ED51" s="779">
        <v>1026793819</v>
      </c>
      <c r="EE51" s="779">
        <v>339378566</v>
      </c>
      <c r="EF51" s="166">
        <f t="shared" si="48"/>
        <v>1366172.385</v>
      </c>
      <c r="EG51" s="166">
        <f t="shared" si="49"/>
        <v>1026793.819</v>
      </c>
      <c r="EH51" s="166">
        <f t="shared" si="50"/>
        <v>1026793.819</v>
      </c>
      <c r="EI51" s="166">
        <f t="shared" si="51"/>
        <v>339378.56599999999</v>
      </c>
    </row>
    <row r="52" spans="1:139" ht="15" customHeight="1" x14ac:dyDescent="0.3">
      <c r="A52" s="1625" t="s">
        <v>581</v>
      </c>
      <c r="B52" s="891">
        <v>726222693</v>
      </c>
      <c r="C52" s="891">
        <v>0</v>
      </c>
      <c r="D52" s="891">
        <v>726222693</v>
      </c>
      <c r="E52" s="891">
        <v>0</v>
      </c>
      <c r="F52" s="891">
        <f t="shared" si="8"/>
        <v>726222.69299999997</v>
      </c>
      <c r="G52" s="891">
        <f t="shared" si="9"/>
        <v>0</v>
      </c>
      <c r="H52" s="891">
        <f t="shared" si="10"/>
        <v>726222.69299999997</v>
      </c>
      <c r="I52" s="891">
        <f t="shared" si="11"/>
        <v>0</v>
      </c>
      <c r="L52" s="1625" t="s">
        <v>591</v>
      </c>
      <c r="M52" s="891">
        <v>940338</v>
      </c>
      <c r="N52" s="891">
        <f t="shared" si="12"/>
        <v>940.33799999999997</v>
      </c>
      <c r="Q52" s="1625" t="s">
        <v>581</v>
      </c>
      <c r="R52" s="891">
        <v>726222693</v>
      </c>
      <c r="S52" s="891">
        <v>0</v>
      </c>
      <c r="T52" s="891">
        <v>726222693</v>
      </c>
      <c r="U52" s="891">
        <v>0</v>
      </c>
      <c r="V52" s="1622">
        <f t="shared" si="13"/>
        <v>726222.69299999997</v>
      </c>
      <c r="W52" s="1622">
        <f t="shared" si="14"/>
        <v>0</v>
      </c>
      <c r="X52" s="1622">
        <f t="shared" si="15"/>
        <v>726222.69299999997</v>
      </c>
      <c r="Y52" s="1622">
        <f t="shared" si="16"/>
        <v>0</v>
      </c>
      <c r="AB52" s="1625" t="s">
        <v>482</v>
      </c>
      <c r="AC52" s="891">
        <v>7659702</v>
      </c>
      <c r="AD52" s="1622">
        <f t="shared" si="17"/>
        <v>7659.7020000000002</v>
      </c>
      <c r="AG52" s="1625" t="s">
        <v>581</v>
      </c>
      <c r="AH52" s="891">
        <v>726222693</v>
      </c>
      <c r="AI52" s="891">
        <v>178985287</v>
      </c>
      <c r="AJ52" s="891">
        <v>178985287</v>
      </c>
      <c r="AK52" s="891">
        <v>547237406</v>
      </c>
      <c r="AL52" s="1622">
        <f t="shared" si="18"/>
        <v>726222.69299999997</v>
      </c>
      <c r="AM52" s="1622">
        <f t="shared" si="19"/>
        <v>178985.28700000001</v>
      </c>
      <c r="AN52" s="1622">
        <f t="shared" si="20"/>
        <v>178985.28700000001</v>
      </c>
      <c r="AO52" s="1622">
        <f t="shared" si="21"/>
        <v>547237.40599999996</v>
      </c>
      <c r="AR52" s="1625" t="s">
        <v>584</v>
      </c>
      <c r="AS52" s="1622">
        <v>97707121</v>
      </c>
      <c r="AT52" s="1622">
        <f t="shared" si="22"/>
        <v>97707.120999999999</v>
      </c>
      <c r="AW52" s="1625" t="s">
        <v>581</v>
      </c>
      <c r="AX52" s="891">
        <v>726222693</v>
      </c>
      <c r="AY52" s="891">
        <v>178985287</v>
      </c>
      <c r="AZ52" s="891">
        <v>178985287</v>
      </c>
      <c r="BA52" s="891">
        <v>547237406</v>
      </c>
      <c r="BB52" s="1622">
        <f t="shared" si="23"/>
        <v>726222.69299999997</v>
      </c>
      <c r="BC52" s="1622">
        <f t="shared" si="24"/>
        <v>178985.28700000001</v>
      </c>
      <c r="BD52" s="1622">
        <f t="shared" si="25"/>
        <v>178985.28700000001</v>
      </c>
      <c r="BE52" s="1622">
        <f t="shared" si="26"/>
        <v>547237.40599999996</v>
      </c>
      <c r="BH52" s="1625" t="s">
        <v>384</v>
      </c>
      <c r="BI52" s="1622">
        <v>11713640</v>
      </c>
      <c r="BJ52" s="1622">
        <f t="shared" si="27"/>
        <v>11713.64</v>
      </c>
      <c r="BM52" s="1625" t="s">
        <v>581</v>
      </c>
      <c r="BN52" s="1627">
        <v>726222693</v>
      </c>
      <c r="BO52" s="1627">
        <v>178985287</v>
      </c>
      <c r="BP52" s="1627">
        <v>178985287</v>
      </c>
      <c r="BQ52" s="1627">
        <v>547237406</v>
      </c>
      <c r="BR52" s="1622">
        <f t="shared" si="28"/>
        <v>726222.69299999997</v>
      </c>
      <c r="BS52" s="1622">
        <f t="shared" si="29"/>
        <v>178985.28700000001</v>
      </c>
      <c r="BT52" s="1622">
        <f t="shared" si="30"/>
        <v>178985.28700000001</v>
      </c>
      <c r="BU52" s="1622">
        <f t="shared" si="31"/>
        <v>547237.40599999996</v>
      </c>
      <c r="BX52" s="1624" t="s">
        <v>482</v>
      </c>
      <c r="BY52" s="1622">
        <v>9436437</v>
      </c>
      <c r="BZ52" s="1622">
        <f t="shared" si="32"/>
        <v>9436.4369999999999</v>
      </c>
      <c r="CC52" s="1622" t="s">
        <v>581</v>
      </c>
      <c r="CD52" s="1622">
        <v>726222693</v>
      </c>
      <c r="CE52" s="1622">
        <v>358292985</v>
      </c>
      <c r="CF52" s="1622">
        <v>358292985</v>
      </c>
      <c r="CG52" s="1622">
        <v>367929708</v>
      </c>
      <c r="CH52" s="1622">
        <f t="shared" si="33"/>
        <v>726222.69299999997</v>
      </c>
      <c r="CI52" s="1622">
        <f t="shared" si="34"/>
        <v>358292.98499999999</v>
      </c>
      <c r="CJ52" s="1622">
        <f t="shared" si="35"/>
        <v>358292.98499999999</v>
      </c>
      <c r="CK52" s="1622">
        <f t="shared" si="36"/>
        <v>367929.70799999998</v>
      </c>
      <c r="CN52" s="1624" t="s">
        <v>584</v>
      </c>
      <c r="CO52" s="1622">
        <v>103902551</v>
      </c>
      <c r="CP52" s="1622">
        <f t="shared" si="37"/>
        <v>103902.55100000001</v>
      </c>
      <c r="CS52" s="1625" t="s">
        <v>581</v>
      </c>
      <c r="CT52" s="891">
        <v>726222693</v>
      </c>
      <c r="CU52" s="891">
        <v>358292985</v>
      </c>
      <c r="CV52" s="891">
        <v>358292985</v>
      </c>
      <c r="CW52" s="891">
        <v>367929708</v>
      </c>
      <c r="CX52" s="1622">
        <f t="shared" si="38"/>
        <v>726222.69299999997</v>
      </c>
      <c r="CY52" s="1622">
        <f t="shared" si="39"/>
        <v>358292.98499999999</v>
      </c>
      <c r="CZ52" s="1622">
        <f t="shared" si="40"/>
        <v>358292.98499999999</v>
      </c>
      <c r="DA52" s="1622">
        <f t="shared" si="41"/>
        <v>367929.70799999998</v>
      </c>
      <c r="DD52" s="1624" t="s">
        <v>384</v>
      </c>
      <c r="DE52" s="1622">
        <v>90000</v>
      </c>
      <c r="DF52" s="1622">
        <f t="shared" si="42"/>
        <v>90</v>
      </c>
      <c r="DJ52" s="1624" t="s">
        <v>581</v>
      </c>
      <c r="DK52" s="1622">
        <v>726222693</v>
      </c>
      <c r="DL52" s="1622">
        <v>358292985</v>
      </c>
      <c r="DM52" s="1622">
        <v>367929708</v>
      </c>
      <c r="DN52" s="1622">
        <v>358292985</v>
      </c>
      <c r="DO52" s="1622">
        <f t="shared" si="43"/>
        <v>726222.69299999997</v>
      </c>
      <c r="DP52" s="1622">
        <f t="shared" si="44"/>
        <v>358292.98499999999</v>
      </c>
      <c r="DQ52" s="1622">
        <f t="shared" si="45"/>
        <v>367929.70799999998</v>
      </c>
      <c r="DR52" s="1622">
        <f t="shared" si="46"/>
        <v>358292.98499999999</v>
      </c>
      <c r="DV52" s="780" t="s">
        <v>373</v>
      </c>
      <c r="DW52" s="779">
        <v>21354411</v>
      </c>
      <c r="DX52" s="1626">
        <f t="shared" si="47"/>
        <v>21354.411</v>
      </c>
      <c r="EA52" s="780" t="s">
        <v>581</v>
      </c>
      <c r="EB52" s="779">
        <v>726222693</v>
      </c>
      <c r="EC52" s="779">
        <v>539718074</v>
      </c>
      <c r="ED52" s="779">
        <v>539718074</v>
      </c>
      <c r="EE52" s="779">
        <v>186504619</v>
      </c>
      <c r="EF52" s="166">
        <f t="shared" si="48"/>
        <v>726222.69299999997</v>
      </c>
      <c r="EG52" s="166">
        <f t="shared" si="49"/>
        <v>539718.07400000002</v>
      </c>
      <c r="EH52" s="166">
        <f t="shared" si="50"/>
        <v>539718.07400000002</v>
      </c>
      <c r="EI52" s="166">
        <f t="shared" si="51"/>
        <v>186504.61900000001</v>
      </c>
    </row>
    <row r="53" spans="1:139" ht="15" customHeight="1" x14ac:dyDescent="0.3">
      <c r="A53" s="1625" t="s">
        <v>370</v>
      </c>
      <c r="B53" s="891">
        <v>639949692</v>
      </c>
      <c r="C53" s="891">
        <v>0</v>
      </c>
      <c r="D53" s="891">
        <v>639949692</v>
      </c>
      <c r="E53" s="891">
        <v>0</v>
      </c>
      <c r="F53" s="891">
        <f t="shared" si="8"/>
        <v>639949.69200000004</v>
      </c>
      <c r="G53" s="891">
        <f t="shared" si="9"/>
        <v>0</v>
      </c>
      <c r="H53" s="891">
        <f t="shared" si="10"/>
        <v>639949.69200000004</v>
      </c>
      <c r="I53" s="891">
        <f t="shared" si="11"/>
        <v>0</v>
      </c>
      <c r="L53" s="1625" t="s">
        <v>593</v>
      </c>
      <c r="M53" s="891">
        <v>386000</v>
      </c>
      <c r="N53" s="891">
        <f t="shared" si="12"/>
        <v>386</v>
      </c>
      <c r="Q53" s="1625" t="s">
        <v>370</v>
      </c>
      <c r="R53" s="891">
        <v>639949692</v>
      </c>
      <c r="S53" s="891">
        <v>0</v>
      </c>
      <c r="T53" s="891">
        <v>639949692</v>
      </c>
      <c r="U53" s="891">
        <v>0</v>
      </c>
      <c r="V53" s="1622">
        <f t="shared" si="13"/>
        <v>639949.69200000004</v>
      </c>
      <c r="W53" s="1622">
        <f t="shared" si="14"/>
        <v>0</v>
      </c>
      <c r="X53" s="1622">
        <f t="shared" si="15"/>
        <v>639949.69200000004</v>
      </c>
      <c r="Y53" s="1622">
        <f t="shared" si="16"/>
        <v>0</v>
      </c>
      <c r="AB53" s="1625" t="s">
        <v>375</v>
      </c>
      <c r="AC53" s="891">
        <v>98238779</v>
      </c>
      <c r="AD53" s="1622">
        <f t="shared" si="17"/>
        <v>98238.778999999995</v>
      </c>
      <c r="AG53" s="1625" t="s">
        <v>370</v>
      </c>
      <c r="AH53" s="891">
        <v>639949692</v>
      </c>
      <c r="AI53" s="891">
        <v>164302965</v>
      </c>
      <c r="AJ53" s="891">
        <v>164302965</v>
      </c>
      <c r="AK53" s="891">
        <v>475646727</v>
      </c>
      <c r="AL53" s="1622">
        <f t="shared" si="18"/>
        <v>639949.69200000004</v>
      </c>
      <c r="AM53" s="1622">
        <f t="shared" si="19"/>
        <v>164302.965</v>
      </c>
      <c r="AN53" s="1622">
        <f t="shared" si="20"/>
        <v>164302.965</v>
      </c>
      <c r="AO53" s="1622">
        <f t="shared" si="21"/>
        <v>475646.72700000001</v>
      </c>
      <c r="AR53" s="1625" t="s">
        <v>585</v>
      </c>
      <c r="AS53" s="1622">
        <v>95499014</v>
      </c>
      <c r="AT53" s="1622">
        <f t="shared" si="22"/>
        <v>95499.013999999996</v>
      </c>
      <c r="AW53" s="1625" t="s">
        <v>370</v>
      </c>
      <c r="AX53" s="891">
        <v>639949692</v>
      </c>
      <c r="AY53" s="891">
        <v>164302965</v>
      </c>
      <c r="AZ53" s="891">
        <v>164302965</v>
      </c>
      <c r="BA53" s="891">
        <v>475646727</v>
      </c>
      <c r="BB53" s="1622">
        <f t="shared" si="23"/>
        <v>639949.69200000004</v>
      </c>
      <c r="BC53" s="1622">
        <f t="shared" si="24"/>
        <v>164302.965</v>
      </c>
      <c r="BD53" s="1622">
        <f t="shared" si="25"/>
        <v>164302.965</v>
      </c>
      <c r="BE53" s="1622">
        <f t="shared" si="26"/>
        <v>475646.72700000001</v>
      </c>
      <c r="BH53" s="1625" t="s">
        <v>591</v>
      </c>
      <c r="BI53" s="1622">
        <v>0</v>
      </c>
      <c r="BJ53" s="1622">
        <f t="shared" si="27"/>
        <v>0</v>
      </c>
      <c r="BM53" s="1625" t="s">
        <v>370</v>
      </c>
      <c r="BN53" s="1627">
        <v>639949692</v>
      </c>
      <c r="BO53" s="1627">
        <v>164302965</v>
      </c>
      <c r="BP53" s="1627">
        <v>164302965</v>
      </c>
      <c r="BQ53" s="1627">
        <v>475646727</v>
      </c>
      <c r="BR53" s="1622">
        <f t="shared" si="28"/>
        <v>639949.69200000004</v>
      </c>
      <c r="BS53" s="1622">
        <f t="shared" si="29"/>
        <v>164302.965</v>
      </c>
      <c r="BT53" s="1622">
        <f t="shared" si="30"/>
        <v>164302.965</v>
      </c>
      <c r="BU53" s="1622">
        <f t="shared" si="31"/>
        <v>475646.72700000001</v>
      </c>
      <c r="BX53" s="1624" t="s">
        <v>375</v>
      </c>
      <c r="BY53" s="1622">
        <v>98598991</v>
      </c>
      <c r="BZ53" s="1622">
        <f t="shared" si="32"/>
        <v>98598.990999999995</v>
      </c>
      <c r="CC53" s="1622" t="s">
        <v>370</v>
      </c>
      <c r="CD53" s="1622">
        <v>639949692</v>
      </c>
      <c r="CE53" s="1622">
        <v>326201364</v>
      </c>
      <c r="CF53" s="1622">
        <v>326201364</v>
      </c>
      <c r="CG53" s="1622">
        <v>313748328</v>
      </c>
      <c r="CH53" s="1622">
        <f t="shared" si="33"/>
        <v>639949.69200000004</v>
      </c>
      <c r="CI53" s="1622">
        <f t="shared" si="34"/>
        <v>326201.364</v>
      </c>
      <c r="CJ53" s="1622">
        <f t="shared" si="35"/>
        <v>326201.364</v>
      </c>
      <c r="CK53" s="1622">
        <f t="shared" si="36"/>
        <v>313748.32799999998</v>
      </c>
      <c r="CN53" s="1624" t="s">
        <v>585</v>
      </c>
      <c r="CO53" s="1622">
        <v>103734626</v>
      </c>
      <c r="CP53" s="1622">
        <f t="shared" si="37"/>
        <v>103734.626</v>
      </c>
      <c r="CS53" s="1625" t="s">
        <v>370</v>
      </c>
      <c r="CT53" s="891">
        <v>639949692</v>
      </c>
      <c r="CU53" s="891">
        <v>326201364</v>
      </c>
      <c r="CV53" s="891">
        <v>326201364</v>
      </c>
      <c r="CW53" s="891">
        <v>313748328</v>
      </c>
      <c r="CX53" s="1622">
        <f t="shared" si="38"/>
        <v>639949.69200000004</v>
      </c>
      <c r="CY53" s="1622">
        <f t="shared" si="39"/>
        <v>326201.364</v>
      </c>
      <c r="CZ53" s="1622">
        <f t="shared" si="40"/>
        <v>326201.364</v>
      </c>
      <c r="DA53" s="1622">
        <f t="shared" si="41"/>
        <v>313748.32799999998</v>
      </c>
      <c r="DD53" s="1624" t="s">
        <v>591</v>
      </c>
      <c r="DE53" s="1622">
        <v>1548230</v>
      </c>
      <c r="DF53" s="1622">
        <f t="shared" si="42"/>
        <v>1548.23</v>
      </c>
      <c r="DJ53" s="1624" t="s">
        <v>370</v>
      </c>
      <c r="DK53" s="1622">
        <v>639949692</v>
      </c>
      <c r="DL53" s="1622">
        <v>326201364</v>
      </c>
      <c r="DM53" s="1622">
        <v>313748328</v>
      </c>
      <c r="DN53" s="1622">
        <v>326201364</v>
      </c>
      <c r="DO53" s="1622">
        <f t="shared" si="43"/>
        <v>639949.69200000004</v>
      </c>
      <c r="DP53" s="1622">
        <f t="shared" si="44"/>
        <v>326201.364</v>
      </c>
      <c r="DQ53" s="1622">
        <f t="shared" si="45"/>
        <v>313748.32799999998</v>
      </c>
      <c r="DR53" s="1622">
        <f t="shared" si="46"/>
        <v>326201.364</v>
      </c>
      <c r="DV53" s="780" t="s">
        <v>375</v>
      </c>
      <c r="DW53" s="779">
        <v>90241217</v>
      </c>
      <c r="DX53" s="1626">
        <f t="shared" si="47"/>
        <v>90241.217000000004</v>
      </c>
      <c r="EA53" s="780" t="s">
        <v>370</v>
      </c>
      <c r="EB53" s="779">
        <v>639949692</v>
      </c>
      <c r="EC53" s="779">
        <v>487075745</v>
      </c>
      <c r="ED53" s="779">
        <v>487075745</v>
      </c>
      <c r="EE53" s="779">
        <v>152873947</v>
      </c>
      <c r="EF53" s="166">
        <f t="shared" si="48"/>
        <v>639949.69200000004</v>
      </c>
      <c r="EG53" s="166">
        <f t="shared" si="49"/>
        <v>487075.745</v>
      </c>
      <c r="EH53" s="166">
        <f t="shared" si="50"/>
        <v>487075.745</v>
      </c>
      <c r="EI53" s="166">
        <f t="shared" si="51"/>
        <v>152873.94699999999</v>
      </c>
    </row>
    <row r="54" spans="1:139" ht="15" customHeight="1" x14ac:dyDescent="0.3">
      <c r="A54" s="1625" t="s">
        <v>371</v>
      </c>
      <c r="B54" s="891">
        <v>290726532</v>
      </c>
      <c r="C54" s="891">
        <v>26134294</v>
      </c>
      <c r="D54" s="891">
        <v>264592238</v>
      </c>
      <c r="E54" s="891">
        <v>26134294</v>
      </c>
      <c r="F54" s="891">
        <f t="shared" si="8"/>
        <v>290726.53200000001</v>
      </c>
      <c r="G54" s="891">
        <f t="shared" si="9"/>
        <v>26134.294000000002</v>
      </c>
      <c r="H54" s="891">
        <f t="shared" si="10"/>
        <v>264592.23800000001</v>
      </c>
      <c r="I54" s="891">
        <f t="shared" si="11"/>
        <v>26134.294000000002</v>
      </c>
      <c r="L54" s="1625" t="s">
        <v>385</v>
      </c>
      <c r="M54" s="891">
        <v>1435735</v>
      </c>
      <c r="N54" s="891">
        <f t="shared" si="12"/>
        <v>1435.7349999999999</v>
      </c>
      <c r="Q54" s="1625" t="s">
        <v>371</v>
      </c>
      <c r="R54" s="891">
        <v>290926533</v>
      </c>
      <c r="S54" s="891">
        <v>68355851</v>
      </c>
      <c r="T54" s="891">
        <v>222570682</v>
      </c>
      <c r="U54" s="891">
        <v>68355851</v>
      </c>
      <c r="V54" s="1622">
        <f t="shared" si="13"/>
        <v>290926.533</v>
      </c>
      <c r="W54" s="1622">
        <f t="shared" si="14"/>
        <v>68355.850999999995</v>
      </c>
      <c r="X54" s="1622">
        <f t="shared" si="15"/>
        <v>222570.682</v>
      </c>
      <c r="Y54" s="1622">
        <f t="shared" si="16"/>
        <v>68355.850999999995</v>
      </c>
      <c r="AB54" s="1625" t="s">
        <v>584</v>
      </c>
      <c r="AC54" s="891">
        <v>97062979</v>
      </c>
      <c r="AD54" s="1622">
        <f t="shared" si="17"/>
        <v>97062.979000000007</v>
      </c>
      <c r="AG54" s="1625" t="s">
        <v>371</v>
      </c>
      <c r="AH54" s="891">
        <v>291426533</v>
      </c>
      <c r="AI54" s="891">
        <v>107007626</v>
      </c>
      <c r="AJ54" s="891">
        <v>107007626</v>
      </c>
      <c r="AK54" s="891">
        <v>184418907</v>
      </c>
      <c r="AL54" s="1622">
        <f t="shared" si="18"/>
        <v>291426.533</v>
      </c>
      <c r="AM54" s="1622">
        <f t="shared" si="19"/>
        <v>107007.626</v>
      </c>
      <c r="AN54" s="1622">
        <f t="shared" si="20"/>
        <v>107007.626</v>
      </c>
      <c r="AO54" s="1622">
        <f t="shared" si="21"/>
        <v>184418.90700000001</v>
      </c>
      <c r="AR54" s="1625" t="s">
        <v>586</v>
      </c>
      <c r="AS54" s="1622">
        <v>2208107</v>
      </c>
      <c r="AT54" s="1622">
        <f t="shared" si="22"/>
        <v>2208.107</v>
      </c>
      <c r="AW54" s="1625" t="s">
        <v>371</v>
      </c>
      <c r="AX54" s="891">
        <v>292908879</v>
      </c>
      <c r="AY54" s="891">
        <v>147590487</v>
      </c>
      <c r="AZ54" s="891">
        <v>147590487</v>
      </c>
      <c r="BA54" s="891">
        <v>145318392</v>
      </c>
      <c r="BB54" s="1622">
        <f t="shared" si="23"/>
        <v>292908.87900000002</v>
      </c>
      <c r="BC54" s="1622">
        <f t="shared" si="24"/>
        <v>147590.48699999999</v>
      </c>
      <c r="BD54" s="1622">
        <f t="shared" si="25"/>
        <v>147590.48699999999</v>
      </c>
      <c r="BE54" s="1622">
        <f t="shared" si="26"/>
        <v>145318.39199999999</v>
      </c>
      <c r="BH54" s="1625" t="s">
        <v>592</v>
      </c>
      <c r="BI54" s="1622">
        <v>0</v>
      </c>
      <c r="BJ54" s="1622">
        <f t="shared" si="27"/>
        <v>0</v>
      </c>
      <c r="BM54" s="1625" t="s">
        <v>371</v>
      </c>
      <c r="BN54" s="1627">
        <v>295335775</v>
      </c>
      <c r="BO54" s="1627">
        <v>183033580</v>
      </c>
      <c r="BP54" s="1627">
        <v>183033580</v>
      </c>
      <c r="BQ54" s="1627">
        <v>112302195</v>
      </c>
      <c r="BR54" s="1622">
        <f t="shared" si="28"/>
        <v>295335.77500000002</v>
      </c>
      <c r="BS54" s="1622">
        <f t="shared" si="29"/>
        <v>183033.58</v>
      </c>
      <c r="BT54" s="1622">
        <f t="shared" si="30"/>
        <v>183033.58</v>
      </c>
      <c r="BU54" s="1622">
        <f t="shared" si="31"/>
        <v>112302.19500000001</v>
      </c>
      <c r="BX54" s="1624" t="s">
        <v>584</v>
      </c>
      <c r="BY54" s="1622">
        <v>98598991</v>
      </c>
      <c r="BZ54" s="1622">
        <f t="shared" si="32"/>
        <v>98598.990999999995</v>
      </c>
      <c r="CC54" s="1622" t="s">
        <v>371</v>
      </c>
      <c r="CD54" s="1622">
        <v>365216431</v>
      </c>
      <c r="CE54" s="1622">
        <v>220222137</v>
      </c>
      <c r="CF54" s="1622">
        <v>220222137</v>
      </c>
      <c r="CG54" s="1622">
        <v>144994294</v>
      </c>
      <c r="CH54" s="1622">
        <f t="shared" si="33"/>
        <v>365216.43099999998</v>
      </c>
      <c r="CI54" s="1622">
        <f t="shared" si="34"/>
        <v>220222.13699999999</v>
      </c>
      <c r="CJ54" s="1622">
        <f t="shared" si="35"/>
        <v>220222.13699999999</v>
      </c>
      <c r="CK54" s="1622">
        <f t="shared" si="36"/>
        <v>144994.29399999999</v>
      </c>
      <c r="CN54" s="1624" t="s">
        <v>586</v>
      </c>
      <c r="CO54" s="1622">
        <v>167925</v>
      </c>
      <c r="CP54" s="1622">
        <f t="shared" si="37"/>
        <v>167.92500000000001</v>
      </c>
      <c r="CS54" s="1625" t="s">
        <v>371</v>
      </c>
      <c r="CT54" s="891">
        <v>365216431</v>
      </c>
      <c r="CU54" s="891">
        <v>253898924</v>
      </c>
      <c r="CV54" s="891">
        <v>253898924</v>
      </c>
      <c r="CW54" s="891">
        <v>111317507</v>
      </c>
      <c r="CX54" s="1622">
        <f t="shared" si="38"/>
        <v>365216.43099999998</v>
      </c>
      <c r="CY54" s="1622">
        <f t="shared" si="39"/>
        <v>253898.924</v>
      </c>
      <c r="CZ54" s="1622">
        <f t="shared" si="40"/>
        <v>253898.924</v>
      </c>
      <c r="DA54" s="1622">
        <f t="shared" si="41"/>
        <v>111317.507</v>
      </c>
      <c r="DD54" s="1624" t="s">
        <v>593</v>
      </c>
      <c r="DE54" s="1622">
        <v>418880</v>
      </c>
      <c r="DF54" s="1622">
        <f t="shared" si="42"/>
        <v>418.88</v>
      </c>
      <c r="DJ54" s="1624" t="s">
        <v>371</v>
      </c>
      <c r="DK54" s="1622">
        <v>365216431</v>
      </c>
      <c r="DL54" s="1622">
        <v>289621942</v>
      </c>
      <c r="DM54" s="1622">
        <v>75594489</v>
      </c>
      <c r="DN54" s="1622">
        <v>289621942</v>
      </c>
      <c r="DO54" s="1622">
        <f t="shared" si="43"/>
        <v>365216.43099999998</v>
      </c>
      <c r="DP54" s="1622">
        <f t="shared" si="44"/>
        <v>289621.94199999998</v>
      </c>
      <c r="DQ54" s="1622">
        <f t="shared" si="45"/>
        <v>75594.489000000001</v>
      </c>
      <c r="DR54" s="1622">
        <f t="shared" si="46"/>
        <v>289621.94199999998</v>
      </c>
      <c r="DV54" s="780" t="s">
        <v>584</v>
      </c>
      <c r="DW54" s="779">
        <v>82310553</v>
      </c>
      <c r="DX54" s="1626">
        <f t="shared" si="47"/>
        <v>82310.553</v>
      </c>
      <c r="EA54" s="780" t="s">
        <v>371</v>
      </c>
      <c r="EB54" s="779">
        <v>365216431</v>
      </c>
      <c r="EC54" s="779">
        <v>325927297</v>
      </c>
      <c r="ED54" s="779">
        <v>325927297</v>
      </c>
      <c r="EE54" s="779">
        <v>39289134</v>
      </c>
      <c r="EF54" s="166">
        <f t="shared" si="48"/>
        <v>365216.43099999998</v>
      </c>
      <c r="EG54" s="166">
        <f t="shared" si="49"/>
        <v>325927.29700000002</v>
      </c>
      <c r="EH54" s="166">
        <f t="shared" si="50"/>
        <v>325927.29700000002</v>
      </c>
      <c r="EI54" s="166">
        <f t="shared" si="51"/>
        <v>39289.133999999998</v>
      </c>
    </row>
    <row r="55" spans="1:139" ht="15" customHeight="1" x14ac:dyDescent="0.3">
      <c r="A55" s="1625" t="s">
        <v>582</v>
      </c>
      <c r="B55" s="891">
        <v>187398500</v>
      </c>
      <c r="C55" s="891">
        <v>20521419</v>
      </c>
      <c r="D55" s="891">
        <v>166877081</v>
      </c>
      <c r="E55" s="891">
        <v>20521419</v>
      </c>
      <c r="F55" s="891">
        <f t="shared" si="8"/>
        <v>187398.5</v>
      </c>
      <c r="G55" s="891">
        <f t="shared" si="9"/>
        <v>20521.419000000002</v>
      </c>
      <c r="H55" s="891">
        <f t="shared" si="10"/>
        <v>166877.08100000001</v>
      </c>
      <c r="I55" s="891">
        <f t="shared" si="11"/>
        <v>20521.419000000002</v>
      </c>
      <c r="L55" s="1625" t="s">
        <v>386</v>
      </c>
      <c r="M55" s="891">
        <v>0</v>
      </c>
      <c r="N55" s="891">
        <f t="shared" si="12"/>
        <v>0</v>
      </c>
      <c r="Q55" s="1625" t="s">
        <v>582</v>
      </c>
      <c r="R55" s="891">
        <v>187398500</v>
      </c>
      <c r="S55" s="891">
        <v>40524455</v>
      </c>
      <c r="T55" s="891">
        <v>146874045</v>
      </c>
      <c r="U55" s="891">
        <v>40524455</v>
      </c>
      <c r="V55" s="1622">
        <f t="shared" si="13"/>
        <v>187398.5</v>
      </c>
      <c r="W55" s="1622">
        <f t="shared" si="14"/>
        <v>40524.455000000002</v>
      </c>
      <c r="X55" s="1622">
        <f t="shared" si="15"/>
        <v>146874.04500000001</v>
      </c>
      <c r="Y55" s="1622">
        <f t="shared" si="16"/>
        <v>40524.455000000002</v>
      </c>
      <c r="AB55" s="1625" t="s">
        <v>585</v>
      </c>
      <c r="AC55" s="891">
        <v>95274381</v>
      </c>
      <c r="AD55" s="1622">
        <f t="shared" si="17"/>
        <v>95274.380999999994</v>
      </c>
      <c r="AG55" s="1625" t="s">
        <v>582</v>
      </c>
      <c r="AH55" s="891">
        <v>187398500</v>
      </c>
      <c r="AI55" s="891">
        <v>61317022</v>
      </c>
      <c r="AJ55" s="891">
        <v>61317022</v>
      </c>
      <c r="AK55" s="891">
        <v>126081478</v>
      </c>
      <c r="AL55" s="1622">
        <f t="shared" si="18"/>
        <v>187398.5</v>
      </c>
      <c r="AM55" s="1622">
        <f t="shared" si="19"/>
        <v>61317.021999999997</v>
      </c>
      <c r="AN55" s="1622">
        <f t="shared" si="20"/>
        <v>61317.021999999997</v>
      </c>
      <c r="AO55" s="1622">
        <f t="shared" si="21"/>
        <v>126081.478</v>
      </c>
      <c r="AR55" s="1625" t="s">
        <v>376</v>
      </c>
      <c r="AS55" s="1622">
        <v>0</v>
      </c>
      <c r="AT55" s="1622">
        <f t="shared" si="22"/>
        <v>0</v>
      </c>
      <c r="AW55" s="1625" t="s">
        <v>582</v>
      </c>
      <c r="AX55" s="891">
        <v>187398500</v>
      </c>
      <c r="AY55" s="891">
        <v>82109589</v>
      </c>
      <c r="AZ55" s="891">
        <v>82109589</v>
      </c>
      <c r="BA55" s="891">
        <v>105288911</v>
      </c>
      <c r="BB55" s="1622">
        <f t="shared" si="23"/>
        <v>187398.5</v>
      </c>
      <c r="BC55" s="1622">
        <f t="shared" si="24"/>
        <v>82109.589000000007</v>
      </c>
      <c r="BD55" s="1622">
        <f t="shared" si="25"/>
        <v>82109.589000000007</v>
      </c>
      <c r="BE55" s="1622">
        <f t="shared" si="26"/>
        <v>105288.91099999999</v>
      </c>
      <c r="BH55" s="1625" t="s">
        <v>593</v>
      </c>
      <c r="BI55" s="1622">
        <v>881713</v>
      </c>
      <c r="BJ55" s="1622">
        <f t="shared" si="27"/>
        <v>881.71299999999997</v>
      </c>
      <c r="BM55" s="1625" t="s">
        <v>582</v>
      </c>
      <c r="BN55" s="1627">
        <v>187398500</v>
      </c>
      <c r="BO55" s="1627">
        <v>102673882</v>
      </c>
      <c r="BP55" s="1627">
        <v>102673882</v>
      </c>
      <c r="BQ55" s="1627">
        <v>84724618</v>
      </c>
      <c r="BR55" s="1622">
        <f t="shared" si="28"/>
        <v>187398.5</v>
      </c>
      <c r="BS55" s="1622">
        <f t="shared" si="29"/>
        <v>102673.882</v>
      </c>
      <c r="BT55" s="1622">
        <f t="shared" si="30"/>
        <v>102673.882</v>
      </c>
      <c r="BU55" s="1622">
        <f t="shared" si="31"/>
        <v>84724.618000000002</v>
      </c>
      <c r="BX55" s="1624" t="s">
        <v>585</v>
      </c>
      <c r="BY55" s="1622">
        <v>98373212</v>
      </c>
      <c r="BZ55" s="1622">
        <f t="shared" si="32"/>
        <v>98373.212</v>
      </c>
      <c r="CC55" s="1622" t="s">
        <v>582</v>
      </c>
      <c r="CD55" s="1622">
        <v>187398500</v>
      </c>
      <c r="CE55" s="1622">
        <v>123238175</v>
      </c>
      <c r="CF55" s="1622">
        <v>123238175</v>
      </c>
      <c r="CG55" s="1622">
        <v>64160325</v>
      </c>
      <c r="CH55" s="1622">
        <f t="shared" si="33"/>
        <v>187398.5</v>
      </c>
      <c r="CI55" s="1622">
        <f t="shared" si="34"/>
        <v>123238.175</v>
      </c>
      <c r="CJ55" s="1622">
        <f t="shared" si="35"/>
        <v>123238.175</v>
      </c>
      <c r="CK55" s="1622">
        <f t="shared" si="36"/>
        <v>64160.324999999997</v>
      </c>
      <c r="CN55" s="1624" t="s">
        <v>376</v>
      </c>
      <c r="CO55" s="1622">
        <v>4188400</v>
      </c>
      <c r="CP55" s="1622">
        <f t="shared" si="37"/>
        <v>4188.3999999999996</v>
      </c>
      <c r="CS55" s="1625" t="s">
        <v>582</v>
      </c>
      <c r="CT55" s="891">
        <v>187398500</v>
      </c>
      <c r="CU55" s="891">
        <v>143802468</v>
      </c>
      <c r="CV55" s="891">
        <v>143802468</v>
      </c>
      <c r="CW55" s="891">
        <v>43596032</v>
      </c>
      <c r="CX55" s="1622">
        <f t="shared" si="38"/>
        <v>187398.5</v>
      </c>
      <c r="CY55" s="1622">
        <f t="shared" si="39"/>
        <v>143802.46799999999</v>
      </c>
      <c r="CZ55" s="1622">
        <f t="shared" si="40"/>
        <v>143802.46799999999</v>
      </c>
      <c r="DA55" s="1622">
        <f t="shared" si="41"/>
        <v>43596.031999999999</v>
      </c>
      <c r="DD55" s="1624" t="s">
        <v>385</v>
      </c>
      <c r="DE55" s="1622">
        <v>0</v>
      </c>
      <c r="DF55" s="1622">
        <f t="shared" si="42"/>
        <v>0</v>
      </c>
      <c r="DJ55" s="1624" t="s">
        <v>582</v>
      </c>
      <c r="DK55" s="1622">
        <v>187398500</v>
      </c>
      <c r="DL55" s="1622">
        <v>162129496</v>
      </c>
      <c r="DM55" s="1622">
        <v>25269004</v>
      </c>
      <c r="DN55" s="1622">
        <v>162129496</v>
      </c>
      <c r="DO55" s="1622">
        <f t="shared" si="43"/>
        <v>187398.5</v>
      </c>
      <c r="DP55" s="1622">
        <f t="shared" si="44"/>
        <v>162129.49600000001</v>
      </c>
      <c r="DQ55" s="1622">
        <f t="shared" si="45"/>
        <v>25269.004000000001</v>
      </c>
      <c r="DR55" s="1622">
        <f t="shared" si="46"/>
        <v>162129.49600000001</v>
      </c>
      <c r="DV55" s="780" t="s">
        <v>585</v>
      </c>
      <c r="DW55" s="779">
        <v>81893562</v>
      </c>
      <c r="DX55" s="1626">
        <f t="shared" si="47"/>
        <v>81893.562000000005</v>
      </c>
      <c r="EA55" s="780" t="s">
        <v>582</v>
      </c>
      <c r="EB55" s="779">
        <v>187398500</v>
      </c>
      <c r="EC55" s="779">
        <v>185359609</v>
      </c>
      <c r="ED55" s="779">
        <v>185359609</v>
      </c>
      <c r="EE55" s="779">
        <v>2038891</v>
      </c>
      <c r="EF55" s="166">
        <f t="shared" si="48"/>
        <v>187398.5</v>
      </c>
      <c r="EG55" s="166">
        <f t="shared" si="49"/>
        <v>185359.609</v>
      </c>
      <c r="EH55" s="166">
        <f t="shared" si="50"/>
        <v>185359.609</v>
      </c>
      <c r="EI55" s="166">
        <f t="shared" si="51"/>
        <v>2038.8910000000001</v>
      </c>
    </row>
    <row r="56" spans="1:139" ht="15" customHeight="1" x14ac:dyDescent="0.3">
      <c r="A56" s="1625" t="s">
        <v>583</v>
      </c>
      <c r="B56" s="891">
        <v>50000000</v>
      </c>
      <c r="C56" s="891">
        <v>695794</v>
      </c>
      <c r="D56" s="891">
        <v>49304206</v>
      </c>
      <c r="E56" s="891">
        <v>695794</v>
      </c>
      <c r="F56" s="891">
        <f t="shared" si="8"/>
        <v>50000</v>
      </c>
      <c r="G56" s="891">
        <f t="shared" si="9"/>
        <v>695.79399999999998</v>
      </c>
      <c r="H56" s="891">
        <f t="shared" si="10"/>
        <v>49304.205999999998</v>
      </c>
      <c r="I56" s="891">
        <f t="shared" si="11"/>
        <v>695.79399999999998</v>
      </c>
      <c r="L56" s="1625" t="s">
        <v>387</v>
      </c>
      <c r="M56" s="891">
        <v>9494572</v>
      </c>
      <c r="N56" s="891">
        <f t="shared" si="12"/>
        <v>9494.5720000000001</v>
      </c>
      <c r="Q56" s="1625" t="s">
        <v>583</v>
      </c>
      <c r="R56" s="891">
        <v>50000000</v>
      </c>
      <c r="S56" s="891">
        <v>9128821</v>
      </c>
      <c r="T56" s="891">
        <v>40871179</v>
      </c>
      <c r="U56" s="891">
        <v>9128821</v>
      </c>
      <c r="V56" s="1622">
        <f t="shared" si="13"/>
        <v>50000</v>
      </c>
      <c r="W56" s="1622">
        <f t="shared" si="14"/>
        <v>9128.8209999999999</v>
      </c>
      <c r="X56" s="1622">
        <f t="shared" si="15"/>
        <v>40871.178999999996</v>
      </c>
      <c r="Y56" s="1622">
        <f t="shared" si="16"/>
        <v>9128.8209999999999</v>
      </c>
      <c r="AB56" s="1625" t="s">
        <v>586</v>
      </c>
      <c r="AC56" s="891">
        <v>1788598</v>
      </c>
      <c r="AD56" s="1622">
        <f t="shared" si="17"/>
        <v>1788.598</v>
      </c>
      <c r="AG56" s="1625" t="s">
        <v>583</v>
      </c>
      <c r="AH56" s="891">
        <v>50000000</v>
      </c>
      <c r="AI56" s="891">
        <v>14809755</v>
      </c>
      <c r="AJ56" s="891">
        <v>14809755</v>
      </c>
      <c r="AK56" s="891">
        <v>35190245</v>
      </c>
      <c r="AL56" s="1622">
        <f t="shared" si="18"/>
        <v>50000</v>
      </c>
      <c r="AM56" s="1622">
        <f t="shared" si="19"/>
        <v>14809.754999999999</v>
      </c>
      <c r="AN56" s="1622">
        <f t="shared" si="20"/>
        <v>14809.754999999999</v>
      </c>
      <c r="AO56" s="1622">
        <f t="shared" si="21"/>
        <v>35190.245000000003</v>
      </c>
      <c r="AR56" s="1625" t="s">
        <v>378</v>
      </c>
      <c r="AS56" s="1622">
        <v>142889473</v>
      </c>
      <c r="AT56" s="1622">
        <f t="shared" si="22"/>
        <v>142889.473</v>
      </c>
      <c r="AW56" s="1625" t="s">
        <v>583</v>
      </c>
      <c r="AX56" s="891">
        <v>50000000</v>
      </c>
      <c r="AY56" s="891">
        <v>22133842</v>
      </c>
      <c r="AZ56" s="891">
        <v>22133842</v>
      </c>
      <c r="BA56" s="891">
        <v>27866158</v>
      </c>
      <c r="BB56" s="1622">
        <f t="shared" si="23"/>
        <v>50000</v>
      </c>
      <c r="BC56" s="1622">
        <f t="shared" si="24"/>
        <v>22133.842000000001</v>
      </c>
      <c r="BD56" s="1622">
        <f t="shared" si="25"/>
        <v>22133.842000000001</v>
      </c>
      <c r="BE56" s="1622">
        <f t="shared" si="26"/>
        <v>27866.157999999999</v>
      </c>
      <c r="BH56" s="1625" t="s">
        <v>594</v>
      </c>
      <c r="BI56" s="1622">
        <v>0</v>
      </c>
      <c r="BJ56" s="1622">
        <f t="shared" si="27"/>
        <v>0</v>
      </c>
      <c r="BM56" s="1625" t="s">
        <v>583</v>
      </c>
      <c r="BN56" s="1627">
        <v>50000000</v>
      </c>
      <c r="BO56" s="1627">
        <v>27134462</v>
      </c>
      <c r="BP56" s="1627">
        <v>27134462</v>
      </c>
      <c r="BQ56" s="1627">
        <v>22865538</v>
      </c>
      <c r="BR56" s="1622">
        <f t="shared" si="28"/>
        <v>50000</v>
      </c>
      <c r="BS56" s="1622">
        <f t="shared" si="29"/>
        <v>27134.462</v>
      </c>
      <c r="BT56" s="1622">
        <f t="shared" si="30"/>
        <v>27134.462</v>
      </c>
      <c r="BU56" s="1622">
        <f t="shared" si="31"/>
        <v>22865.538</v>
      </c>
      <c r="BX56" s="1624" t="s">
        <v>586</v>
      </c>
      <c r="BY56" s="1622">
        <v>225779</v>
      </c>
      <c r="BZ56" s="1622">
        <f t="shared" si="32"/>
        <v>225.779</v>
      </c>
      <c r="CC56" s="1622" t="s">
        <v>583</v>
      </c>
      <c r="CD56" s="1622">
        <v>50000000</v>
      </c>
      <c r="CE56" s="1622">
        <v>31457298</v>
      </c>
      <c r="CF56" s="1622">
        <v>31457298</v>
      </c>
      <c r="CG56" s="1622">
        <v>18542702</v>
      </c>
      <c r="CH56" s="1622">
        <f t="shared" si="33"/>
        <v>50000</v>
      </c>
      <c r="CI56" s="1622">
        <f t="shared" si="34"/>
        <v>31457.297999999999</v>
      </c>
      <c r="CJ56" s="1622">
        <f t="shared" si="35"/>
        <v>31457.297999999999</v>
      </c>
      <c r="CK56" s="1622">
        <f t="shared" si="36"/>
        <v>18542.702000000001</v>
      </c>
      <c r="CN56" s="1624" t="s">
        <v>378</v>
      </c>
      <c r="CO56" s="1622">
        <v>362320677</v>
      </c>
      <c r="CP56" s="1622">
        <f t="shared" si="37"/>
        <v>362320.67700000003</v>
      </c>
      <c r="CS56" s="1625" t="s">
        <v>583</v>
      </c>
      <c r="CT56" s="891">
        <v>50000000</v>
      </c>
      <c r="CU56" s="891">
        <v>37288006</v>
      </c>
      <c r="CV56" s="891">
        <v>37288006</v>
      </c>
      <c r="CW56" s="891">
        <v>12711994</v>
      </c>
      <c r="CX56" s="1622">
        <f t="shared" si="38"/>
        <v>50000</v>
      </c>
      <c r="CY56" s="1622">
        <f t="shared" si="39"/>
        <v>37288.006000000001</v>
      </c>
      <c r="CZ56" s="1622">
        <f t="shared" si="40"/>
        <v>37288.006000000001</v>
      </c>
      <c r="DA56" s="1622">
        <f t="shared" si="41"/>
        <v>12711.994000000001</v>
      </c>
      <c r="DD56" s="1624" t="s">
        <v>387</v>
      </c>
      <c r="DE56" s="1622">
        <v>20315330</v>
      </c>
      <c r="DF56" s="1622">
        <f t="shared" si="42"/>
        <v>20315.330000000002</v>
      </c>
      <c r="DJ56" s="1624" t="s">
        <v>583</v>
      </c>
      <c r="DK56" s="1622">
        <v>50000000</v>
      </c>
      <c r="DL56" s="1622">
        <v>41623342</v>
      </c>
      <c r="DM56" s="1622">
        <v>8376658</v>
      </c>
      <c r="DN56" s="1622">
        <v>41623342</v>
      </c>
      <c r="DO56" s="1622">
        <f t="shared" si="43"/>
        <v>50000</v>
      </c>
      <c r="DP56" s="1622">
        <f t="shared" si="44"/>
        <v>41623.341999999997</v>
      </c>
      <c r="DQ56" s="1622">
        <f t="shared" si="45"/>
        <v>8376.6579999999994</v>
      </c>
      <c r="DR56" s="1622">
        <f t="shared" si="46"/>
        <v>41623.341999999997</v>
      </c>
      <c r="DV56" s="780" t="s">
        <v>586</v>
      </c>
      <c r="DW56" s="779">
        <v>416991</v>
      </c>
      <c r="DX56" s="1626">
        <f t="shared" si="47"/>
        <v>416.99099999999999</v>
      </c>
      <c r="EA56" s="780" t="s">
        <v>583</v>
      </c>
      <c r="EB56" s="779">
        <v>50000000</v>
      </c>
      <c r="EC56" s="779">
        <v>46392087</v>
      </c>
      <c r="ED56" s="779">
        <v>46392087</v>
      </c>
      <c r="EE56" s="779">
        <v>3607913</v>
      </c>
      <c r="EF56" s="166">
        <f t="shared" si="48"/>
        <v>50000</v>
      </c>
      <c r="EG56" s="166">
        <f t="shared" si="49"/>
        <v>46392.087</v>
      </c>
      <c r="EH56" s="166">
        <f t="shared" si="50"/>
        <v>46392.087</v>
      </c>
      <c r="EI56" s="166">
        <f t="shared" si="51"/>
        <v>3607.913</v>
      </c>
    </row>
    <row r="57" spans="1:139" ht="15" customHeight="1" x14ac:dyDescent="0.3">
      <c r="A57" s="1625" t="s">
        <v>624</v>
      </c>
      <c r="B57" s="891">
        <v>52828032</v>
      </c>
      <c r="C57" s="891">
        <v>4917081</v>
      </c>
      <c r="D57" s="891">
        <v>47910951</v>
      </c>
      <c r="E57" s="891">
        <v>4917081</v>
      </c>
      <c r="F57" s="891">
        <f t="shared" si="8"/>
        <v>52828.031999999999</v>
      </c>
      <c r="G57" s="891">
        <f t="shared" si="9"/>
        <v>4917.0810000000001</v>
      </c>
      <c r="H57" s="891">
        <f t="shared" si="10"/>
        <v>47910.951000000001</v>
      </c>
      <c r="I57" s="891">
        <f t="shared" si="11"/>
        <v>4917.0810000000001</v>
      </c>
      <c r="L57" s="1625" t="s">
        <v>388</v>
      </c>
      <c r="M57" s="891">
        <v>670200</v>
      </c>
      <c r="N57" s="891">
        <f t="shared" si="12"/>
        <v>670.2</v>
      </c>
      <c r="Q57" s="1625" t="s">
        <v>624</v>
      </c>
      <c r="R57" s="891">
        <v>53028033</v>
      </c>
      <c r="S57" s="891">
        <v>18702575</v>
      </c>
      <c r="T57" s="891">
        <v>34325458</v>
      </c>
      <c r="U57" s="891">
        <v>18702575</v>
      </c>
      <c r="V57" s="1622">
        <f t="shared" si="13"/>
        <v>53028.033000000003</v>
      </c>
      <c r="W57" s="1622">
        <f t="shared" si="14"/>
        <v>18702.575000000001</v>
      </c>
      <c r="X57" s="1622">
        <f t="shared" si="15"/>
        <v>34325.457999999999</v>
      </c>
      <c r="Y57" s="1622">
        <f t="shared" si="16"/>
        <v>18702.575000000001</v>
      </c>
      <c r="AB57" s="1625" t="s">
        <v>376</v>
      </c>
      <c r="AC57" s="891">
        <v>1175800</v>
      </c>
      <c r="AD57" s="1622">
        <f t="shared" si="17"/>
        <v>1175.8</v>
      </c>
      <c r="AG57" s="1625" t="s">
        <v>624</v>
      </c>
      <c r="AH57" s="891">
        <v>53528033</v>
      </c>
      <c r="AI57" s="891">
        <v>30880849</v>
      </c>
      <c r="AJ57" s="891">
        <v>30880849</v>
      </c>
      <c r="AK57" s="891">
        <v>22647184</v>
      </c>
      <c r="AL57" s="1622">
        <f t="shared" si="18"/>
        <v>53528.033000000003</v>
      </c>
      <c r="AM57" s="1622">
        <f t="shared" si="19"/>
        <v>30880.848999999998</v>
      </c>
      <c r="AN57" s="1622">
        <f t="shared" si="20"/>
        <v>30880.848999999998</v>
      </c>
      <c r="AO57" s="1622">
        <f t="shared" si="21"/>
        <v>22647.184000000001</v>
      </c>
      <c r="AR57" s="1625" t="s">
        <v>379</v>
      </c>
      <c r="AS57" s="1622">
        <v>7544230</v>
      </c>
      <c r="AT57" s="1622">
        <f t="shared" si="22"/>
        <v>7544.23</v>
      </c>
      <c r="AW57" s="1625" t="s">
        <v>624</v>
      </c>
      <c r="AX57" s="891">
        <v>55010379</v>
      </c>
      <c r="AY57" s="891">
        <v>43347056</v>
      </c>
      <c r="AZ57" s="891">
        <v>43347056</v>
      </c>
      <c r="BA57" s="891">
        <v>11663323</v>
      </c>
      <c r="BB57" s="1622">
        <f t="shared" si="23"/>
        <v>55010.379000000001</v>
      </c>
      <c r="BC57" s="1622">
        <f t="shared" si="24"/>
        <v>43347.055999999997</v>
      </c>
      <c r="BD57" s="1622">
        <f t="shared" si="25"/>
        <v>43347.055999999997</v>
      </c>
      <c r="BE57" s="1622">
        <f t="shared" si="26"/>
        <v>11663.323</v>
      </c>
      <c r="BH57" s="1625" t="s">
        <v>385</v>
      </c>
      <c r="BI57" s="1622">
        <v>0</v>
      </c>
      <c r="BJ57" s="1622">
        <f t="shared" si="27"/>
        <v>0</v>
      </c>
      <c r="BM57" s="1625" t="s">
        <v>624</v>
      </c>
      <c r="BN57" s="1627">
        <v>57437275</v>
      </c>
      <c r="BO57" s="1627">
        <v>53225236</v>
      </c>
      <c r="BP57" s="1627">
        <v>53225236</v>
      </c>
      <c r="BQ57" s="1627">
        <v>4212039</v>
      </c>
      <c r="BR57" s="1622">
        <f t="shared" si="28"/>
        <v>57437.275000000001</v>
      </c>
      <c r="BS57" s="1622">
        <f t="shared" si="29"/>
        <v>53225.235999999997</v>
      </c>
      <c r="BT57" s="1622">
        <f t="shared" si="30"/>
        <v>53225.235999999997</v>
      </c>
      <c r="BU57" s="1622">
        <f t="shared" si="31"/>
        <v>4212.0389999999998</v>
      </c>
      <c r="BX57" s="1624" t="s">
        <v>377</v>
      </c>
      <c r="BY57" s="1622">
        <v>0</v>
      </c>
      <c r="BZ57" s="1622">
        <f t="shared" si="32"/>
        <v>0</v>
      </c>
      <c r="CC57" s="1622" t="s">
        <v>624</v>
      </c>
      <c r="CD57" s="1622">
        <v>127317931</v>
      </c>
      <c r="CE57" s="1622">
        <v>65526664</v>
      </c>
      <c r="CF57" s="1622">
        <v>65526664</v>
      </c>
      <c r="CG57" s="1622">
        <v>61791267</v>
      </c>
      <c r="CH57" s="1622">
        <f t="shared" si="33"/>
        <v>127317.931</v>
      </c>
      <c r="CI57" s="1622">
        <f t="shared" si="34"/>
        <v>65526.663999999997</v>
      </c>
      <c r="CJ57" s="1622">
        <f t="shared" si="35"/>
        <v>65526.663999999997</v>
      </c>
      <c r="CK57" s="1622">
        <f t="shared" si="36"/>
        <v>61791.267</v>
      </c>
      <c r="CN57" s="1624" t="s">
        <v>379</v>
      </c>
      <c r="CO57" s="1622">
        <v>0</v>
      </c>
      <c r="CP57" s="1622">
        <f t="shared" si="37"/>
        <v>0</v>
      </c>
      <c r="CS57" s="1625" t="s">
        <v>624</v>
      </c>
      <c r="CT57" s="891">
        <v>127317931</v>
      </c>
      <c r="CU57" s="891">
        <v>72808450</v>
      </c>
      <c r="CV57" s="891">
        <v>72808450</v>
      </c>
      <c r="CW57" s="891">
        <v>54509481</v>
      </c>
      <c r="CX57" s="1622">
        <f t="shared" si="38"/>
        <v>127317.931</v>
      </c>
      <c r="CY57" s="1622">
        <f t="shared" si="39"/>
        <v>72808.45</v>
      </c>
      <c r="CZ57" s="1622">
        <f t="shared" si="40"/>
        <v>72808.45</v>
      </c>
      <c r="DA57" s="1622">
        <f t="shared" si="41"/>
        <v>54509.481</v>
      </c>
      <c r="DD57" s="1624" t="s">
        <v>388</v>
      </c>
      <c r="DE57" s="1622">
        <v>1666867</v>
      </c>
      <c r="DF57" s="1622">
        <f t="shared" si="42"/>
        <v>1666.867</v>
      </c>
      <c r="DJ57" s="1624" t="s">
        <v>624</v>
      </c>
      <c r="DK57" s="1622">
        <v>127317931</v>
      </c>
      <c r="DL57" s="1622">
        <v>85869104</v>
      </c>
      <c r="DM57" s="1622">
        <v>41448827</v>
      </c>
      <c r="DN57" s="1622">
        <v>85869104</v>
      </c>
      <c r="DO57" s="1622">
        <f t="shared" si="43"/>
        <v>127317.931</v>
      </c>
      <c r="DP57" s="1622">
        <f t="shared" si="44"/>
        <v>85869.104000000007</v>
      </c>
      <c r="DQ57" s="1622">
        <f t="shared" si="45"/>
        <v>41448.826999999997</v>
      </c>
      <c r="DR57" s="1622">
        <f t="shared" si="46"/>
        <v>85869.104000000007</v>
      </c>
      <c r="DV57" s="780" t="s">
        <v>376</v>
      </c>
      <c r="DW57" s="779">
        <v>7610664</v>
      </c>
      <c r="DX57" s="1626">
        <f t="shared" si="47"/>
        <v>7610.6639999999998</v>
      </c>
      <c r="EA57" s="780" t="s">
        <v>624</v>
      </c>
      <c r="EB57" s="779">
        <v>127317931</v>
      </c>
      <c r="EC57" s="779">
        <v>94175601</v>
      </c>
      <c r="ED57" s="779">
        <v>94175601</v>
      </c>
      <c r="EE57" s="779">
        <v>33142330</v>
      </c>
      <c r="EF57" s="166">
        <f t="shared" si="48"/>
        <v>127317.931</v>
      </c>
      <c r="EG57" s="166">
        <f t="shared" si="49"/>
        <v>94175.600999999995</v>
      </c>
      <c r="EH57" s="166">
        <f t="shared" si="50"/>
        <v>94175.600999999995</v>
      </c>
      <c r="EI57" s="166">
        <f t="shared" si="51"/>
        <v>33142.33</v>
      </c>
    </row>
    <row r="58" spans="1:139" ht="15" customHeight="1" x14ac:dyDescent="0.3">
      <c r="A58" s="1625" t="s">
        <v>993</v>
      </c>
      <c r="B58" s="891">
        <v>500000</v>
      </c>
      <c r="C58" s="891">
        <v>0</v>
      </c>
      <c r="D58" s="891">
        <v>500000</v>
      </c>
      <c r="E58" s="891">
        <v>0</v>
      </c>
      <c r="F58" s="891">
        <f t="shared" si="8"/>
        <v>500</v>
      </c>
      <c r="G58" s="891">
        <f t="shared" si="9"/>
        <v>0</v>
      </c>
      <c r="H58" s="891">
        <f t="shared" si="10"/>
        <v>500</v>
      </c>
      <c r="I58" s="891">
        <f t="shared" si="11"/>
        <v>0</v>
      </c>
      <c r="L58" s="1625" t="s">
        <v>389</v>
      </c>
      <c r="M58" s="891">
        <v>2390080</v>
      </c>
      <c r="N58" s="891">
        <f t="shared" si="12"/>
        <v>2390.08</v>
      </c>
      <c r="Q58" s="1625" t="s">
        <v>993</v>
      </c>
      <c r="R58" s="891">
        <v>500000</v>
      </c>
      <c r="S58" s="891">
        <v>0</v>
      </c>
      <c r="T58" s="891">
        <v>500000</v>
      </c>
      <c r="U58" s="891">
        <v>0</v>
      </c>
      <c r="V58" s="1622">
        <f t="shared" si="13"/>
        <v>500</v>
      </c>
      <c r="W58" s="1622">
        <f t="shared" si="14"/>
        <v>0</v>
      </c>
      <c r="X58" s="1622">
        <f t="shared" si="15"/>
        <v>500</v>
      </c>
      <c r="Y58" s="1622">
        <f t="shared" si="16"/>
        <v>0</v>
      </c>
      <c r="AB58" s="1625" t="s">
        <v>378</v>
      </c>
      <c r="AC58" s="891">
        <v>291068604</v>
      </c>
      <c r="AD58" s="1622">
        <f t="shared" si="17"/>
        <v>291068.60399999999</v>
      </c>
      <c r="AG58" s="1625" t="s">
        <v>993</v>
      </c>
      <c r="AH58" s="891">
        <v>500000</v>
      </c>
      <c r="AI58" s="891">
        <v>0</v>
      </c>
      <c r="AJ58" s="891">
        <v>0</v>
      </c>
      <c r="AK58" s="891">
        <v>500000</v>
      </c>
      <c r="AL58" s="1622">
        <f t="shared" si="18"/>
        <v>500</v>
      </c>
      <c r="AM58" s="1622">
        <f t="shared" si="19"/>
        <v>0</v>
      </c>
      <c r="AN58" s="1622">
        <f t="shared" si="20"/>
        <v>0</v>
      </c>
      <c r="AO58" s="1622">
        <f t="shared" si="21"/>
        <v>500</v>
      </c>
      <c r="AR58" s="1625" t="s">
        <v>588</v>
      </c>
      <c r="AS58" s="1622">
        <v>6114450</v>
      </c>
      <c r="AT58" s="1622">
        <f t="shared" si="22"/>
        <v>6114.45</v>
      </c>
      <c r="AW58" s="1625" t="s">
        <v>993</v>
      </c>
      <c r="AX58" s="891">
        <v>500000</v>
      </c>
      <c r="AY58" s="891">
        <v>0</v>
      </c>
      <c r="AZ58" s="891">
        <v>0</v>
      </c>
      <c r="BA58" s="891">
        <v>500000</v>
      </c>
      <c r="BB58" s="1622">
        <f t="shared" si="23"/>
        <v>500</v>
      </c>
      <c r="BC58" s="1622">
        <f t="shared" si="24"/>
        <v>0</v>
      </c>
      <c r="BD58" s="1622">
        <f t="shared" si="25"/>
        <v>0</v>
      </c>
      <c r="BE58" s="1622">
        <f t="shared" si="26"/>
        <v>500</v>
      </c>
      <c r="BH58" s="1625" t="s">
        <v>387</v>
      </c>
      <c r="BI58" s="1622">
        <v>8122392</v>
      </c>
      <c r="BJ58" s="1622">
        <f t="shared" si="27"/>
        <v>8122.3919999999998</v>
      </c>
      <c r="BM58" s="1625" t="s">
        <v>993</v>
      </c>
      <c r="BN58" s="1627">
        <v>500000</v>
      </c>
      <c r="BO58" s="1627">
        <v>0</v>
      </c>
      <c r="BP58" s="1627">
        <v>0</v>
      </c>
      <c r="BQ58" s="1627">
        <v>500000</v>
      </c>
      <c r="BR58" s="1622">
        <f t="shared" si="28"/>
        <v>500</v>
      </c>
      <c r="BS58" s="1622">
        <f t="shared" si="29"/>
        <v>0</v>
      </c>
      <c r="BT58" s="1622">
        <f t="shared" si="30"/>
        <v>0</v>
      </c>
      <c r="BU58" s="1622">
        <f t="shared" si="31"/>
        <v>500</v>
      </c>
      <c r="BX58" s="1624" t="s">
        <v>378</v>
      </c>
      <c r="BY58" s="1622">
        <v>203367158</v>
      </c>
      <c r="BZ58" s="1622">
        <f t="shared" si="32"/>
        <v>203367.158</v>
      </c>
      <c r="CC58" s="1622" t="s">
        <v>993</v>
      </c>
      <c r="CD58" s="1622">
        <v>500000</v>
      </c>
      <c r="CE58" s="1622">
        <v>0</v>
      </c>
      <c r="CF58" s="1622">
        <v>0</v>
      </c>
      <c r="CG58" s="1622">
        <v>500000</v>
      </c>
      <c r="CH58" s="1622">
        <f t="shared" si="33"/>
        <v>500</v>
      </c>
      <c r="CI58" s="1622">
        <f t="shared" si="34"/>
        <v>0</v>
      </c>
      <c r="CJ58" s="1622">
        <f t="shared" si="35"/>
        <v>0</v>
      </c>
      <c r="CK58" s="1622">
        <f t="shared" si="36"/>
        <v>500</v>
      </c>
      <c r="CN58" s="1624" t="s">
        <v>588</v>
      </c>
      <c r="CO58" s="1622">
        <v>0</v>
      </c>
      <c r="CP58" s="1622">
        <f t="shared" si="37"/>
        <v>0</v>
      </c>
      <c r="CS58" s="1625" t="s">
        <v>993</v>
      </c>
      <c r="CT58" s="891">
        <v>500000</v>
      </c>
      <c r="CU58" s="891">
        <v>0</v>
      </c>
      <c r="CV58" s="891">
        <v>0</v>
      </c>
      <c r="CW58" s="891">
        <v>500000</v>
      </c>
      <c r="CX58" s="1622">
        <f t="shared" si="38"/>
        <v>500</v>
      </c>
      <c r="CY58" s="1622">
        <f t="shared" si="39"/>
        <v>0</v>
      </c>
      <c r="CZ58" s="1622">
        <f t="shared" si="40"/>
        <v>0</v>
      </c>
      <c r="DA58" s="1622">
        <f t="shared" si="41"/>
        <v>500</v>
      </c>
      <c r="DD58" s="1624" t="s">
        <v>389</v>
      </c>
      <c r="DE58" s="1622">
        <v>1342865</v>
      </c>
      <c r="DF58" s="1622">
        <f t="shared" si="42"/>
        <v>1342.865</v>
      </c>
      <c r="DJ58" s="1624" t="s">
        <v>993</v>
      </c>
      <c r="DK58" s="1622">
        <v>500000</v>
      </c>
      <c r="DL58" s="1622">
        <v>0</v>
      </c>
      <c r="DM58" s="1622">
        <v>500000</v>
      </c>
      <c r="DN58" s="1622">
        <v>0</v>
      </c>
      <c r="DO58" s="1622">
        <f t="shared" si="43"/>
        <v>500</v>
      </c>
      <c r="DP58" s="1622">
        <f t="shared" si="44"/>
        <v>0</v>
      </c>
      <c r="DQ58" s="1622">
        <f t="shared" si="45"/>
        <v>500</v>
      </c>
      <c r="DR58" s="1622">
        <f t="shared" si="46"/>
        <v>0</v>
      </c>
      <c r="DV58" s="780" t="s">
        <v>377</v>
      </c>
      <c r="DW58" s="779">
        <v>320000</v>
      </c>
      <c r="DX58" s="1626">
        <f t="shared" si="47"/>
        <v>320</v>
      </c>
      <c r="EA58" s="780" t="s">
        <v>993</v>
      </c>
      <c r="EB58" s="779">
        <v>500000</v>
      </c>
      <c r="EC58" s="779">
        <v>0</v>
      </c>
      <c r="ED58" s="779">
        <v>0</v>
      </c>
      <c r="EE58" s="779">
        <v>500000</v>
      </c>
      <c r="EF58" s="166">
        <f t="shared" si="48"/>
        <v>500</v>
      </c>
      <c r="EG58" s="166">
        <f t="shared" si="49"/>
        <v>0</v>
      </c>
      <c r="EH58" s="166">
        <f t="shared" si="50"/>
        <v>0</v>
      </c>
      <c r="EI58" s="166">
        <f t="shared" si="51"/>
        <v>500</v>
      </c>
    </row>
    <row r="59" spans="1:139" ht="15" customHeight="1" x14ac:dyDescent="0.3">
      <c r="A59" s="1625" t="s">
        <v>372</v>
      </c>
      <c r="B59" s="891">
        <v>163673576</v>
      </c>
      <c r="C59" s="891">
        <v>0</v>
      </c>
      <c r="D59" s="891">
        <v>163673576</v>
      </c>
      <c r="E59" s="891">
        <v>0</v>
      </c>
      <c r="F59" s="891">
        <f t="shared" si="8"/>
        <v>163673.576</v>
      </c>
      <c r="G59" s="891">
        <f t="shared" si="9"/>
        <v>0</v>
      </c>
      <c r="H59" s="891">
        <f t="shared" si="10"/>
        <v>163673.576</v>
      </c>
      <c r="I59" s="891">
        <f t="shared" si="11"/>
        <v>0</v>
      </c>
      <c r="L59" s="1625" t="s">
        <v>390</v>
      </c>
      <c r="M59" s="891">
        <v>69250</v>
      </c>
      <c r="N59" s="891">
        <f t="shared" si="12"/>
        <v>69.25</v>
      </c>
      <c r="Q59" s="1625" t="s">
        <v>372</v>
      </c>
      <c r="R59" s="891">
        <v>163673576</v>
      </c>
      <c r="S59" s="891">
        <v>0</v>
      </c>
      <c r="T59" s="891">
        <v>163673576</v>
      </c>
      <c r="U59" s="891">
        <v>0</v>
      </c>
      <c r="V59" s="1622">
        <f t="shared" si="13"/>
        <v>163673.576</v>
      </c>
      <c r="W59" s="1622">
        <f t="shared" si="14"/>
        <v>0</v>
      </c>
      <c r="X59" s="1622">
        <f t="shared" si="15"/>
        <v>163673.576</v>
      </c>
      <c r="Y59" s="1622">
        <f t="shared" si="16"/>
        <v>0</v>
      </c>
      <c r="AB59" s="1625" t="s">
        <v>379</v>
      </c>
      <c r="AC59" s="891">
        <v>0</v>
      </c>
      <c r="AD59" s="1622">
        <f t="shared" si="17"/>
        <v>0</v>
      </c>
      <c r="AG59" s="1625" t="s">
        <v>372</v>
      </c>
      <c r="AH59" s="891">
        <v>163673576</v>
      </c>
      <c r="AI59" s="891">
        <v>7659702</v>
      </c>
      <c r="AJ59" s="891">
        <v>7659702</v>
      </c>
      <c r="AK59" s="891">
        <v>156013874</v>
      </c>
      <c r="AL59" s="1622">
        <f t="shared" si="18"/>
        <v>163673.576</v>
      </c>
      <c r="AM59" s="1622">
        <f t="shared" si="19"/>
        <v>7659.7020000000002</v>
      </c>
      <c r="AN59" s="1622">
        <f t="shared" si="20"/>
        <v>7659.7020000000002</v>
      </c>
      <c r="AO59" s="1622">
        <f t="shared" si="21"/>
        <v>156013.87400000001</v>
      </c>
      <c r="AR59" s="1625" t="s">
        <v>380</v>
      </c>
      <c r="AS59" s="1622">
        <v>1429780</v>
      </c>
      <c r="AT59" s="1622">
        <f t="shared" si="22"/>
        <v>1429.78</v>
      </c>
      <c r="AW59" s="1625" t="s">
        <v>372</v>
      </c>
      <c r="AX59" s="891">
        <v>163673576</v>
      </c>
      <c r="AY59" s="891">
        <v>7659702</v>
      </c>
      <c r="AZ59" s="891">
        <v>7659702</v>
      </c>
      <c r="BA59" s="891">
        <v>156013874</v>
      </c>
      <c r="BB59" s="1622">
        <f t="shared" si="23"/>
        <v>163673.576</v>
      </c>
      <c r="BC59" s="1622">
        <f t="shared" si="24"/>
        <v>7659.7020000000002</v>
      </c>
      <c r="BD59" s="1622">
        <f t="shared" si="25"/>
        <v>7659.7020000000002</v>
      </c>
      <c r="BE59" s="1622">
        <f t="shared" si="26"/>
        <v>156013.87400000001</v>
      </c>
      <c r="BH59" s="1625" t="s">
        <v>388</v>
      </c>
      <c r="BI59" s="1622">
        <v>1029530</v>
      </c>
      <c r="BJ59" s="1622">
        <f t="shared" si="27"/>
        <v>1029.53</v>
      </c>
      <c r="BM59" s="1625" t="s">
        <v>372</v>
      </c>
      <c r="BN59" s="1627">
        <v>163673576</v>
      </c>
      <c r="BO59" s="1627">
        <v>7659702</v>
      </c>
      <c r="BP59" s="1627">
        <v>7659702</v>
      </c>
      <c r="BQ59" s="1627">
        <v>156013874</v>
      </c>
      <c r="BR59" s="1622">
        <f t="shared" si="28"/>
        <v>163673.576</v>
      </c>
      <c r="BS59" s="1622">
        <f t="shared" si="29"/>
        <v>7659.7020000000002</v>
      </c>
      <c r="BT59" s="1622">
        <f t="shared" si="30"/>
        <v>7659.7020000000002</v>
      </c>
      <c r="BU59" s="1622">
        <f t="shared" si="31"/>
        <v>156013.87400000001</v>
      </c>
      <c r="BX59" s="1624" t="s">
        <v>379</v>
      </c>
      <c r="BY59" s="1622">
        <v>8312684</v>
      </c>
      <c r="BZ59" s="1622">
        <f t="shared" si="32"/>
        <v>8312.6839999999993</v>
      </c>
      <c r="CC59" s="1622" t="s">
        <v>372</v>
      </c>
      <c r="CD59" s="1622">
        <v>163673576</v>
      </c>
      <c r="CE59" s="1622">
        <v>17096139</v>
      </c>
      <c r="CF59" s="1622">
        <v>17096139</v>
      </c>
      <c r="CG59" s="1622">
        <v>146577437</v>
      </c>
      <c r="CH59" s="1622">
        <f t="shared" si="33"/>
        <v>163673.576</v>
      </c>
      <c r="CI59" s="1622">
        <f t="shared" si="34"/>
        <v>17096.138999999999</v>
      </c>
      <c r="CJ59" s="1622">
        <f t="shared" si="35"/>
        <v>17096.138999999999</v>
      </c>
      <c r="CK59" s="1622">
        <f t="shared" si="36"/>
        <v>146577.43700000001</v>
      </c>
      <c r="CN59" s="1624" t="s">
        <v>380</v>
      </c>
      <c r="CO59" s="1622">
        <v>0</v>
      </c>
      <c r="CP59" s="1622">
        <f t="shared" si="37"/>
        <v>0</v>
      </c>
      <c r="CS59" s="1625" t="s">
        <v>372</v>
      </c>
      <c r="CT59" s="891">
        <v>163673576</v>
      </c>
      <c r="CU59" s="891">
        <v>17096139</v>
      </c>
      <c r="CV59" s="891">
        <v>17096139</v>
      </c>
      <c r="CW59" s="891">
        <v>146577437</v>
      </c>
      <c r="CX59" s="1622">
        <f t="shared" si="38"/>
        <v>163673.576</v>
      </c>
      <c r="CY59" s="1622">
        <f t="shared" si="39"/>
        <v>17096.138999999999</v>
      </c>
      <c r="CZ59" s="1622">
        <f t="shared" si="40"/>
        <v>17096.138999999999</v>
      </c>
      <c r="DA59" s="1622">
        <f t="shared" si="41"/>
        <v>146577.43700000001</v>
      </c>
      <c r="DD59" s="1624" t="s">
        <v>390</v>
      </c>
      <c r="DE59" s="1622">
        <v>357250</v>
      </c>
      <c r="DF59" s="1622">
        <f t="shared" si="42"/>
        <v>357.25</v>
      </c>
      <c r="DJ59" s="1624" t="s">
        <v>372</v>
      </c>
      <c r="DK59" s="1622">
        <v>163673576</v>
      </c>
      <c r="DL59" s="1622">
        <v>17096139</v>
      </c>
      <c r="DM59" s="1622">
        <v>146577437</v>
      </c>
      <c r="DN59" s="1622">
        <v>17096139</v>
      </c>
      <c r="DO59" s="1622">
        <f t="shared" si="43"/>
        <v>163673.576</v>
      </c>
      <c r="DP59" s="1622">
        <f t="shared" si="44"/>
        <v>17096.138999999999</v>
      </c>
      <c r="DQ59" s="1622">
        <f t="shared" si="45"/>
        <v>146577.43700000001</v>
      </c>
      <c r="DR59" s="1622">
        <f t="shared" si="46"/>
        <v>17096.138999999999</v>
      </c>
      <c r="DV59" s="780" t="s">
        <v>378</v>
      </c>
      <c r="DW59" s="779">
        <v>540107452</v>
      </c>
      <c r="DX59" s="1626">
        <f t="shared" si="47"/>
        <v>540107.45200000005</v>
      </c>
      <c r="EA59" s="780" t="s">
        <v>372</v>
      </c>
      <c r="EB59" s="779">
        <v>163673576</v>
      </c>
      <c r="EC59" s="779">
        <v>38450550</v>
      </c>
      <c r="ED59" s="779">
        <v>38450550</v>
      </c>
      <c r="EE59" s="779">
        <v>125223026</v>
      </c>
      <c r="EF59" s="166">
        <f t="shared" si="48"/>
        <v>163673.576</v>
      </c>
      <c r="EG59" s="166">
        <f t="shared" si="49"/>
        <v>38450.550000000003</v>
      </c>
      <c r="EH59" s="166">
        <f t="shared" si="50"/>
        <v>38450.550000000003</v>
      </c>
      <c r="EI59" s="166">
        <f t="shared" si="51"/>
        <v>125223.026</v>
      </c>
    </row>
    <row r="60" spans="1:139" ht="15" customHeight="1" x14ac:dyDescent="0.3">
      <c r="A60" s="1625" t="s">
        <v>373</v>
      </c>
      <c r="B60" s="891">
        <v>47688318</v>
      </c>
      <c r="C60" s="891">
        <v>0</v>
      </c>
      <c r="D60" s="891">
        <v>47688318</v>
      </c>
      <c r="E60" s="891">
        <v>0</v>
      </c>
      <c r="F60" s="891">
        <f t="shared" si="8"/>
        <v>47688.317999999999</v>
      </c>
      <c r="G60" s="891">
        <f t="shared" si="9"/>
        <v>0</v>
      </c>
      <c r="H60" s="891">
        <f t="shared" si="10"/>
        <v>47688.317999999999</v>
      </c>
      <c r="I60" s="891">
        <f t="shared" si="11"/>
        <v>0</v>
      </c>
      <c r="L60" s="1625" t="s">
        <v>391</v>
      </c>
      <c r="M60" s="891">
        <v>899896</v>
      </c>
      <c r="N60" s="891">
        <f t="shared" si="12"/>
        <v>899.89599999999996</v>
      </c>
      <c r="Q60" s="1625" t="s">
        <v>373</v>
      </c>
      <c r="R60" s="891">
        <v>47688318</v>
      </c>
      <c r="S60" s="891">
        <v>0</v>
      </c>
      <c r="T60" s="891">
        <v>47688318</v>
      </c>
      <c r="U60" s="891">
        <v>0</v>
      </c>
      <c r="V60" s="1622">
        <f t="shared" si="13"/>
        <v>47688.317999999999</v>
      </c>
      <c r="W60" s="1622">
        <f t="shared" si="14"/>
        <v>0</v>
      </c>
      <c r="X60" s="1622">
        <f t="shared" si="15"/>
        <v>47688.317999999999</v>
      </c>
      <c r="Y60" s="1622">
        <f t="shared" si="16"/>
        <v>0</v>
      </c>
      <c r="AB60" s="1625" t="s">
        <v>588</v>
      </c>
      <c r="AC60" s="891">
        <v>0</v>
      </c>
      <c r="AD60" s="1622">
        <f t="shared" si="17"/>
        <v>0</v>
      </c>
      <c r="AG60" s="1625" t="s">
        <v>373</v>
      </c>
      <c r="AH60" s="891">
        <v>47688318</v>
      </c>
      <c r="AI60" s="891">
        <v>0</v>
      </c>
      <c r="AJ60" s="891">
        <v>0</v>
      </c>
      <c r="AK60" s="891">
        <v>47688318</v>
      </c>
      <c r="AL60" s="1622">
        <f t="shared" si="18"/>
        <v>47688.317999999999</v>
      </c>
      <c r="AM60" s="1622">
        <f t="shared" si="19"/>
        <v>0</v>
      </c>
      <c r="AN60" s="1622">
        <f t="shared" si="20"/>
        <v>0</v>
      </c>
      <c r="AO60" s="1622">
        <f t="shared" si="21"/>
        <v>47688.317999999999</v>
      </c>
      <c r="AR60" s="1625" t="s">
        <v>381</v>
      </c>
      <c r="AS60" s="1622">
        <v>5613268</v>
      </c>
      <c r="AT60" s="1622">
        <f t="shared" si="22"/>
        <v>5613.268</v>
      </c>
      <c r="AW60" s="1625" t="s">
        <v>373</v>
      </c>
      <c r="AX60" s="891">
        <v>47688318</v>
      </c>
      <c r="AY60" s="891">
        <v>0</v>
      </c>
      <c r="AZ60" s="891">
        <v>0</v>
      </c>
      <c r="BA60" s="891">
        <v>47688318</v>
      </c>
      <c r="BB60" s="1622">
        <f t="shared" si="23"/>
        <v>47688.317999999999</v>
      </c>
      <c r="BC60" s="1622">
        <f t="shared" si="24"/>
        <v>0</v>
      </c>
      <c r="BD60" s="1622">
        <f t="shared" si="25"/>
        <v>0</v>
      </c>
      <c r="BE60" s="1622">
        <f t="shared" si="26"/>
        <v>47688.317999999999</v>
      </c>
      <c r="BH60" s="1625" t="s">
        <v>389</v>
      </c>
      <c r="BI60" s="1622">
        <v>1487866</v>
      </c>
      <c r="BJ60" s="1622">
        <f t="shared" si="27"/>
        <v>1487.866</v>
      </c>
      <c r="BM60" s="1625" t="s">
        <v>373</v>
      </c>
      <c r="BN60" s="1627">
        <v>47688318</v>
      </c>
      <c r="BO60" s="1627">
        <v>0</v>
      </c>
      <c r="BP60" s="1627">
        <v>0</v>
      </c>
      <c r="BQ60" s="1627">
        <v>47688318</v>
      </c>
      <c r="BR60" s="1622">
        <f t="shared" si="28"/>
        <v>47688.317999999999</v>
      </c>
      <c r="BS60" s="1622">
        <f t="shared" si="29"/>
        <v>0</v>
      </c>
      <c r="BT60" s="1622">
        <f t="shared" si="30"/>
        <v>0</v>
      </c>
      <c r="BU60" s="1622">
        <f t="shared" si="31"/>
        <v>47688.317999999999</v>
      </c>
      <c r="BX60" s="1624" t="s">
        <v>588</v>
      </c>
      <c r="BY60" s="1622">
        <v>8312684</v>
      </c>
      <c r="BZ60" s="1622">
        <f t="shared" si="32"/>
        <v>8312.6839999999993</v>
      </c>
      <c r="CC60" s="1622" t="s">
        <v>373</v>
      </c>
      <c r="CD60" s="1622">
        <v>47688318</v>
      </c>
      <c r="CE60" s="1622">
        <v>0</v>
      </c>
      <c r="CF60" s="1622">
        <v>0</v>
      </c>
      <c r="CG60" s="1622">
        <v>47688318</v>
      </c>
      <c r="CH60" s="1622">
        <f t="shared" si="33"/>
        <v>47688.317999999999</v>
      </c>
      <c r="CI60" s="1622">
        <f t="shared" si="34"/>
        <v>0</v>
      </c>
      <c r="CJ60" s="1622">
        <f t="shared" si="35"/>
        <v>0</v>
      </c>
      <c r="CK60" s="1622">
        <f t="shared" si="36"/>
        <v>47688.317999999999</v>
      </c>
      <c r="CN60" s="1624" t="s">
        <v>502</v>
      </c>
      <c r="CO60" s="1622">
        <v>35000000</v>
      </c>
      <c r="CP60" s="1622">
        <f t="shared" si="37"/>
        <v>35000</v>
      </c>
      <c r="CS60" s="1625" t="s">
        <v>373</v>
      </c>
      <c r="CT60" s="891">
        <v>47688318</v>
      </c>
      <c r="CU60" s="891">
        <v>0</v>
      </c>
      <c r="CV60" s="891">
        <v>0</v>
      </c>
      <c r="CW60" s="891">
        <v>47688318</v>
      </c>
      <c r="CX60" s="1622">
        <f t="shared" si="38"/>
        <v>47688.317999999999</v>
      </c>
      <c r="CY60" s="1622">
        <f t="shared" si="39"/>
        <v>0</v>
      </c>
      <c r="CZ60" s="1622">
        <f t="shared" si="40"/>
        <v>0</v>
      </c>
      <c r="DA60" s="1622">
        <f t="shared" si="41"/>
        <v>47688.317999999999</v>
      </c>
      <c r="DD60" s="1624" t="s">
        <v>391</v>
      </c>
      <c r="DE60" s="1622">
        <v>1933616</v>
      </c>
      <c r="DF60" s="1622">
        <f t="shared" si="42"/>
        <v>1933.616</v>
      </c>
      <c r="DJ60" s="1624" t="s">
        <v>373</v>
      </c>
      <c r="DK60" s="1622">
        <v>47688318</v>
      </c>
      <c r="DL60" s="1622">
        <v>0</v>
      </c>
      <c r="DM60" s="1622">
        <v>47688318</v>
      </c>
      <c r="DN60" s="1622">
        <v>0</v>
      </c>
      <c r="DO60" s="1622">
        <f t="shared" si="43"/>
        <v>47688.317999999999</v>
      </c>
      <c r="DP60" s="1622">
        <f t="shared" si="44"/>
        <v>0</v>
      </c>
      <c r="DQ60" s="1622">
        <f t="shared" si="45"/>
        <v>47688.317999999999</v>
      </c>
      <c r="DR60" s="1622">
        <f t="shared" si="46"/>
        <v>0</v>
      </c>
      <c r="DV60" s="780" t="s">
        <v>379</v>
      </c>
      <c r="DW60" s="779">
        <v>342351</v>
      </c>
      <c r="DX60" s="1626">
        <f t="shared" si="47"/>
        <v>342.351</v>
      </c>
      <c r="EA60" s="780" t="s">
        <v>373</v>
      </c>
      <c r="EB60" s="779">
        <v>47688318</v>
      </c>
      <c r="EC60" s="779">
        <v>21354411</v>
      </c>
      <c r="ED60" s="779">
        <v>21354411</v>
      </c>
      <c r="EE60" s="779">
        <v>26333907</v>
      </c>
      <c r="EF60" s="166">
        <f t="shared" si="48"/>
        <v>47688.317999999999</v>
      </c>
      <c r="EG60" s="166">
        <f t="shared" si="49"/>
        <v>21354.411</v>
      </c>
      <c r="EH60" s="166">
        <f t="shared" si="50"/>
        <v>21354.411</v>
      </c>
      <c r="EI60" s="166">
        <f t="shared" si="51"/>
        <v>26333.906999999999</v>
      </c>
    </row>
    <row r="61" spans="1:139" ht="15" customHeight="1" x14ac:dyDescent="0.3">
      <c r="A61" s="1625" t="s">
        <v>482</v>
      </c>
      <c r="B61" s="891">
        <v>17918413</v>
      </c>
      <c r="C61" s="891">
        <v>0</v>
      </c>
      <c r="D61" s="891">
        <v>17918413</v>
      </c>
      <c r="E61" s="891">
        <v>0</v>
      </c>
      <c r="F61" s="891">
        <f t="shared" si="8"/>
        <v>17918.413</v>
      </c>
      <c r="G61" s="891">
        <f t="shared" si="9"/>
        <v>0</v>
      </c>
      <c r="H61" s="891">
        <f t="shared" si="10"/>
        <v>17918.413</v>
      </c>
      <c r="I61" s="891">
        <f t="shared" si="11"/>
        <v>0</v>
      </c>
      <c r="L61" s="1625" t="s">
        <v>392</v>
      </c>
      <c r="M61" s="891">
        <v>5465146</v>
      </c>
      <c r="N61" s="891">
        <f t="shared" si="12"/>
        <v>5465.1459999999997</v>
      </c>
      <c r="Q61" s="1625" t="s">
        <v>482</v>
      </c>
      <c r="R61" s="891">
        <v>17918413</v>
      </c>
      <c r="S61" s="891">
        <v>0</v>
      </c>
      <c r="T61" s="891">
        <v>17918413</v>
      </c>
      <c r="U61" s="891">
        <v>0</v>
      </c>
      <c r="V61" s="1622">
        <f t="shared" si="13"/>
        <v>17918.413</v>
      </c>
      <c r="W61" s="1622">
        <f t="shared" si="14"/>
        <v>0</v>
      </c>
      <c r="X61" s="1622">
        <f t="shared" si="15"/>
        <v>17918.413</v>
      </c>
      <c r="Y61" s="1622">
        <f t="shared" si="16"/>
        <v>0</v>
      </c>
      <c r="AB61" s="1625" t="s">
        <v>380</v>
      </c>
      <c r="AC61" s="891">
        <v>0</v>
      </c>
      <c r="AD61" s="1622">
        <f t="shared" si="17"/>
        <v>0</v>
      </c>
      <c r="AG61" s="1625" t="s">
        <v>482</v>
      </c>
      <c r="AH61" s="891">
        <v>17918413</v>
      </c>
      <c r="AI61" s="891">
        <v>7659702</v>
      </c>
      <c r="AJ61" s="891">
        <v>7659702</v>
      </c>
      <c r="AK61" s="891">
        <v>10258711</v>
      </c>
      <c r="AL61" s="1622">
        <f t="shared" si="18"/>
        <v>17918.413</v>
      </c>
      <c r="AM61" s="1622">
        <f t="shared" si="19"/>
        <v>7659.7020000000002</v>
      </c>
      <c r="AN61" s="1622">
        <f t="shared" si="20"/>
        <v>7659.7020000000002</v>
      </c>
      <c r="AO61" s="1622">
        <f t="shared" si="21"/>
        <v>10258.710999999999</v>
      </c>
      <c r="AR61" s="1625" t="s">
        <v>382</v>
      </c>
      <c r="AS61" s="1622">
        <v>455380</v>
      </c>
      <c r="AT61" s="1622">
        <f t="shared" si="22"/>
        <v>455.38</v>
      </c>
      <c r="AW61" s="1625" t="s">
        <v>482</v>
      </c>
      <c r="AX61" s="891">
        <v>17918413</v>
      </c>
      <c r="AY61" s="891">
        <v>7659702</v>
      </c>
      <c r="AZ61" s="891">
        <v>7659702</v>
      </c>
      <c r="BA61" s="891">
        <v>10258711</v>
      </c>
      <c r="BB61" s="1622">
        <f t="shared" si="23"/>
        <v>17918.413</v>
      </c>
      <c r="BC61" s="1622">
        <f t="shared" si="24"/>
        <v>7659.7020000000002</v>
      </c>
      <c r="BD61" s="1622">
        <f t="shared" si="25"/>
        <v>7659.7020000000002</v>
      </c>
      <c r="BE61" s="1622">
        <f t="shared" si="26"/>
        <v>10258.710999999999</v>
      </c>
      <c r="BH61" s="1625" t="s">
        <v>390</v>
      </c>
      <c r="BI61" s="1622">
        <v>119850</v>
      </c>
      <c r="BJ61" s="1622">
        <f t="shared" si="27"/>
        <v>119.85</v>
      </c>
      <c r="BM61" s="1625" t="s">
        <v>482</v>
      </c>
      <c r="BN61" s="1627">
        <v>17918413</v>
      </c>
      <c r="BO61" s="1627">
        <v>7659702</v>
      </c>
      <c r="BP61" s="1627">
        <v>7659702</v>
      </c>
      <c r="BQ61" s="1627">
        <v>10258711</v>
      </c>
      <c r="BR61" s="1622">
        <f t="shared" si="28"/>
        <v>17918.413</v>
      </c>
      <c r="BS61" s="1622">
        <f t="shared" si="29"/>
        <v>7659.7020000000002</v>
      </c>
      <c r="BT61" s="1622">
        <f t="shared" si="30"/>
        <v>7659.7020000000002</v>
      </c>
      <c r="BU61" s="1622">
        <f t="shared" si="31"/>
        <v>10258.710999999999</v>
      </c>
      <c r="BX61" s="1624" t="s">
        <v>380</v>
      </c>
      <c r="BY61" s="1622">
        <v>0</v>
      </c>
      <c r="BZ61" s="1622">
        <f t="shared" si="32"/>
        <v>0</v>
      </c>
      <c r="CC61" s="1622" t="s">
        <v>482</v>
      </c>
      <c r="CD61" s="1622">
        <v>17918413</v>
      </c>
      <c r="CE61" s="1622">
        <v>17096139</v>
      </c>
      <c r="CF61" s="1622">
        <v>17096139</v>
      </c>
      <c r="CG61" s="1622">
        <v>822274</v>
      </c>
      <c r="CH61" s="1622">
        <f t="shared" si="33"/>
        <v>17918.413</v>
      </c>
      <c r="CI61" s="1622">
        <f t="shared" si="34"/>
        <v>17096.138999999999</v>
      </c>
      <c r="CJ61" s="1622">
        <f t="shared" si="35"/>
        <v>17096.138999999999</v>
      </c>
      <c r="CK61" s="1622">
        <f t="shared" si="36"/>
        <v>822.274</v>
      </c>
      <c r="CN61" s="1624" t="s">
        <v>503</v>
      </c>
      <c r="CO61" s="1622">
        <v>35000000</v>
      </c>
      <c r="CP61" s="1622">
        <f t="shared" si="37"/>
        <v>35000</v>
      </c>
      <c r="CS61" s="1625" t="s">
        <v>482</v>
      </c>
      <c r="CT61" s="891">
        <v>17918413</v>
      </c>
      <c r="CU61" s="891">
        <v>17096139</v>
      </c>
      <c r="CV61" s="891">
        <v>17096139</v>
      </c>
      <c r="CW61" s="891">
        <v>822274</v>
      </c>
      <c r="CX61" s="1622">
        <f t="shared" si="38"/>
        <v>17918.413</v>
      </c>
      <c r="CY61" s="1622">
        <f t="shared" si="39"/>
        <v>17096.138999999999</v>
      </c>
      <c r="CZ61" s="1622">
        <f t="shared" si="40"/>
        <v>17096.138999999999</v>
      </c>
      <c r="DA61" s="1622">
        <f t="shared" si="41"/>
        <v>822.274</v>
      </c>
      <c r="DD61" s="1624" t="s">
        <v>392</v>
      </c>
      <c r="DE61" s="1622">
        <v>10930292</v>
      </c>
      <c r="DF61" s="1622">
        <f t="shared" si="42"/>
        <v>10930.291999999999</v>
      </c>
      <c r="DJ61" s="1624" t="s">
        <v>482</v>
      </c>
      <c r="DK61" s="1622">
        <v>17918413</v>
      </c>
      <c r="DL61" s="1622">
        <v>17096139</v>
      </c>
      <c r="DM61" s="1622">
        <v>822274</v>
      </c>
      <c r="DN61" s="1622">
        <v>17096139</v>
      </c>
      <c r="DO61" s="1622">
        <f t="shared" si="43"/>
        <v>17918.413</v>
      </c>
      <c r="DP61" s="1622">
        <f t="shared" si="44"/>
        <v>17096.138999999999</v>
      </c>
      <c r="DQ61" s="1622">
        <f t="shared" si="45"/>
        <v>822.274</v>
      </c>
      <c r="DR61" s="1622">
        <f t="shared" si="46"/>
        <v>17096.138999999999</v>
      </c>
      <c r="DV61" s="780" t="s">
        <v>588</v>
      </c>
      <c r="DW61" s="779">
        <v>342351</v>
      </c>
      <c r="DX61" s="1626">
        <f t="shared" si="47"/>
        <v>342.351</v>
      </c>
      <c r="EA61" s="780" t="s">
        <v>482</v>
      </c>
      <c r="EB61" s="779">
        <v>17918413</v>
      </c>
      <c r="EC61" s="779">
        <v>17096139</v>
      </c>
      <c r="ED61" s="779">
        <v>17096139</v>
      </c>
      <c r="EE61" s="779">
        <v>822274</v>
      </c>
      <c r="EF61" s="166">
        <f t="shared" si="48"/>
        <v>17918.413</v>
      </c>
      <c r="EG61" s="166">
        <f t="shared" si="49"/>
        <v>17096.138999999999</v>
      </c>
      <c r="EH61" s="166">
        <f t="shared" si="50"/>
        <v>17096.138999999999</v>
      </c>
      <c r="EI61" s="166">
        <f t="shared" si="51"/>
        <v>822.274</v>
      </c>
    </row>
    <row r="62" spans="1:139" ht="15" customHeight="1" x14ac:dyDescent="0.3">
      <c r="A62" s="1625" t="s">
        <v>374</v>
      </c>
      <c r="B62" s="891">
        <v>98066845</v>
      </c>
      <c r="C62" s="891">
        <v>0</v>
      </c>
      <c r="D62" s="891">
        <v>98066845</v>
      </c>
      <c r="E62" s="891">
        <v>0</v>
      </c>
      <c r="F62" s="891">
        <f t="shared" si="8"/>
        <v>98066.845000000001</v>
      </c>
      <c r="G62" s="891">
        <f t="shared" si="9"/>
        <v>0</v>
      </c>
      <c r="H62" s="891">
        <f t="shared" si="10"/>
        <v>98066.845000000001</v>
      </c>
      <c r="I62" s="891">
        <f t="shared" si="11"/>
        <v>0</v>
      </c>
      <c r="L62" s="1625" t="s">
        <v>395</v>
      </c>
      <c r="M62" s="891">
        <v>5617189</v>
      </c>
      <c r="N62" s="891">
        <f t="shared" si="12"/>
        <v>5617.1890000000003</v>
      </c>
      <c r="Q62" s="1625" t="s">
        <v>374</v>
      </c>
      <c r="R62" s="891">
        <v>98066845</v>
      </c>
      <c r="S62" s="891">
        <v>0</v>
      </c>
      <c r="T62" s="891">
        <v>98066845</v>
      </c>
      <c r="U62" s="891">
        <v>0</v>
      </c>
      <c r="V62" s="1622">
        <f t="shared" si="13"/>
        <v>98066.845000000001</v>
      </c>
      <c r="W62" s="1622">
        <f t="shared" si="14"/>
        <v>0</v>
      </c>
      <c r="X62" s="1622">
        <f t="shared" si="15"/>
        <v>98066.845000000001</v>
      </c>
      <c r="Y62" s="1622">
        <f t="shared" si="16"/>
        <v>0</v>
      </c>
      <c r="AB62" s="1625" t="s">
        <v>381</v>
      </c>
      <c r="AC62" s="891">
        <v>5586918</v>
      </c>
      <c r="AD62" s="1622">
        <f t="shared" si="17"/>
        <v>5586.9179999999997</v>
      </c>
      <c r="AG62" s="1625" t="s">
        <v>374</v>
      </c>
      <c r="AH62" s="891">
        <v>98066845</v>
      </c>
      <c r="AI62" s="891">
        <v>0</v>
      </c>
      <c r="AJ62" s="891">
        <v>0</v>
      </c>
      <c r="AK62" s="891">
        <v>98066845</v>
      </c>
      <c r="AL62" s="1622">
        <f t="shared" si="18"/>
        <v>98066.845000000001</v>
      </c>
      <c r="AM62" s="1622">
        <f t="shared" si="19"/>
        <v>0</v>
      </c>
      <c r="AN62" s="1622">
        <f t="shared" si="20"/>
        <v>0</v>
      </c>
      <c r="AO62" s="1622">
        <f t="shared" si="21"/>
        <v>98066.845000000001</v>
      </c>
      <c r="AR62" s="1625" t="s">
        <v>589</v>
      </c>
      <c r="AS62" s="1622">
        <v>0</v>
      </c>
      <c r="AT62" s="1622">
        <f t="shared" si="22"/>
        <v>0</v>
      </c>
      <c r="AW62" s="1625" t="s">
        <v>374</v>
      </c>
      <c r="AX62" s="891">
        <v>98066845</v>
      </c>
      <c r="AY62" s="891">
        <v>0</v>
      </c>
      <c r="AZ62" s="891">
        <v>0</v>
      </c>
      <c r="BA62" s="891">
        <v>98066845</v>
      </c>
      <c r="BB62" s="1622">
        <f t="shared" si="23"/>
        <v>98066.845000000001</v>
      </c>
      <c r="BC62" s="1622">
        <f t="shared" si="24"/>
        <v>0</v>
      </c>
      <c r="BD62" s="1622">
        <f t="shared" si="25"/>
        <v>0</v>
      </c>
      <c r="BE62" s="1622">
        <f t="shared" si="26"/>
        <v>98066.845000000001</v>
      </c>
      <c r="BH62" s="1625" t="s">
        <v>391</v>
      </c>
      <c r="BI62" s="1622">
        <v>20000</v>
      </c>
      <c r="BJ62" s="1622">
        <f t="shared" si="27"/>
        <v>20</v>
      </c>
      <c r="BM62" s="1625" t="s">
        <v>374</v>
      </c>
      <c r="BN62" s="1627">
        <v>98066845</v>
      </c>
      <c r="BO62" s="1627">
        <v>0</v>
      </c>
      <c r="BP62" s="1627">
        <v>0</v>
      </c>
      <c r="BQ62" s="1627">
        <v>98066845</v>
      </c>
      <c r="BR62" s="1622">
        <f t="shared" si="28"/>
        <v>98066.845000000001</v>
      </c>
      <c r="BS62" s="1622">
        <f t="shared" si="29"/>
        <v>0</v>
      </c>
      <c r="BT62" s="1622">
        <f t="shared" si="30"/>
        <v>0</v>
      </c>
      <c r="BU62" s="1622">
        <f t="shared" si="31"/>
        <v>98066.845000000001</v>
      </c>
      <c r="BX62" s="1624" t="s">
        <v>381</v>
      </c>
      <c r="BY62" s="1622">
        <v>5289415</v>
      </c>
      <c r="BZ62" s="1622">
        <f t="shared" si="32"/>
        <v>5289.415</v>
      </c>
      <c r="CC62" s="1622" t="s">
        <v>374</v>
      </c>
      <c r="CD62" s="1622">
        <v>98066845</v>
      </c>
      <c r="CE62" s="1622">
        <v>0</v>
      </c>
      <c r="CF62" s="1622">
        <v>0</v>
      </c>
      <c r="CG62" s="1622">
        <v>98066845</v>
      </c>
      <c r="CH62" s="1622">
        <f t="shared" si="33"/>
        <v>98066.845000000001</v>
      </c>
      <c r="CI62" s="1622">
        <f t="shared" si="34"/>
        <v>0</v>
      </c>
      <c r="CJ62" s="1622">
        <f t="shared" si="35"/>
        <v>0</v>
      </c>
      <c r="CK62" s="1622">
        <f t="shared" si="36"/>
        <v>98066.845000000001</v>
      </c>
      <c r="CN62" s="1624" t="s">
        <v>381</v>
      </c>
      <c r="CO62" s="1622">
        <v>3596464</v>
      </c>
      <c r="CP62" s="1622">
        <f t="shared" si="37"/>
        <v>3596.4639999999999</v>
      </c>
      <c r="CS62" s="1625" t="s">
        <v>374</v>
      </c>
      <c r="CT62" s="891">
        <v>98066845</v>
      </c>
      <c r="CU62" s="891">
        <v>0</v>
      </c>
      <c r="CV62" s="891">
        <v>0</v>
      </c>
      <c r="CW62" s="891">
        <v>98066845</v>
      </c>
      <c r="CX62" s="1622">
        <f t="shared" si="38"/>
        <v>98066.845000000001</v>
      </c>
      <c r="CY62" s="1622">
        <f t="shared" si="39"/>
        <v>0</v>
      </c>
      <c r="CZ62" s="1622">
        <f t="shared" si="40"/>
        <v>0</v>
      </c>
      <c r="DA62" s="1622">
        <f t="shared" si="41"/>
        <v>98066.845000000001</v>
      </c>
      <c r="DD62" s="1624" t="s">
        <v>394</v>
      </c>
      <c r="DE62" s="1622">
        <v>948634</v>
      </c>
      <c r="DF62" s="1622">
        <f t="shared" si="42"/>
        <v>948.63400000000001</v>
      </c>
      <c r="DJ62" s="1624" t="s">
        <v>374</v>
      </c>
      <c r="DK62" s="1622">
        <v>98066845</v>
      </c>
      <c r="DL62" s="1622">
        <v>0</v>
      </c>
      <c r="DM62" s="1622">
        <v>98066845</v>
      </c>
      <c r="DN62" s="1622">
        <v>0</v>
      </c>
      <c r="DO62" s="1622">
        <f t="shared" si="43"/>
        <v>98066.845000000001</v>
      </c>
      <c r="DP62" s="1622">
        <f t="shared" si="44"/>
        <v>0</v>
      </c>
      <c r="DQ62" s="1622">
        <f t="shared" si="45"/>
        <v>98066.845000000001</v>
      </c>
      <c r="DR62" s="1622">
        <f t="shared" si="46"/>
        <v>0</v>
      </c>
      <c r="DV62" s="780" t="s">
        <v>380</v>
      </c>
      <c r="DW62" s="779">
        <v>0</v>
      </c>
      <c r="DX62" s="1626">
        <f t="shared" si="47"/>
        <v>0</v>
      </c>
      <c r="EA62" s="780" t="s">
        <v>374</v>
      </c>
      <c r="EB62" s="779">
        <v>98066845</v>
      </c>
      <c r="EC62" s="779">
        <v>0</v>
      </c>
      <c r="ED62" s="779">
        <v>0</v>
      </c>
      <c r="EE62" s="779">
        <v>98066845</v>
      </c>
      <c r="EF62" s="166">
        <f t="shared" si="48"/>
        <v>98066.845000000001</v>
      </c>
      <c r="EG62" s="166">
        <f t="shared" si="49"/>
        <v>0</v>
      </c>
      <c r="EH62" s="166">
        <f t="shared" si="50"/>
        <v>0</v>
      </c>
      <c r="EI62" s="166">
        <f t="shared" si="51"/>
        <v>98066.845000000001</v>
      </c>
    </row>
    <row r="63" spans="1:139" ht="15" customHeight="1" x14ac:dyDescent="0.3">
      <c r="A63" s="1625" t="s">
        <v>375</v>
      </c>
      <c r="B63" s="891">
        <v>1509478343</v>
      </c>
      <c r="C63" s="891">
        <v>87758681</v>
      </c>
      <c r="D63" s="891">
        <v>1421719662</v>
      </c>
      <c r="E63" s="891">
        <v>87758681</v>
      </c>
      <c r="F63" s="891">
        <f t="shared" si="8"/>
        <v>1509478.3430000001</v>
      </c>
      <c r="G63" s="891">
        <f t="shared" si="9"/>
        <v>87758.680999999997</v>
      </c>
      <c r="H63" s="891">
        <f t="shared" si="10"/>
        <v>1421719.662</v>
      </c>
      <c r="I63" s="891">
        <f t="shared" si="11"/>
        <v>87758.680999999997</v>
      </c>
      <c r="L63" s="1625" t="s">
        <v>596</v>
      </c>
      <c r="M63" s="891">
        <v>4581000</v>
      </c>
      <c r="N63" s="891">
        <f t="shared" si="12"/>
        <v>4581</v>
      </c>
      <c r="Q63" s="1625" t="s">
        <v>375</v>
      </c>
      <c r="R63" s="891">
        <v>1509478343</v>
      </c>
      <c r="S63" s="891">
        <v>183182096</v>
      </c>
      <c r="T63" s="891">
        <v>1326296247</v>
      </c>
      <c r="U63" s="891">
        <v>183182096</v>
      </c>
      <c r="V63" s="1622">
        <f t="shared" si="13"/>
        <v>1509478.3430000001</v>
      </c>
      <c r="W63" s="1622">
        <f t="shared" si="14"/>
        <v>183182.09599999999</v>
      </c>
      <c r="X63" s="1622">
        <f t="shared" si="15"/>
        <v>1326296.247</v>
      </c>
      <c r="Y63" s="1622">
        <f t="shared" si="16"/>
        <v>183182.09599999999</v>
      </c>
      <c r="AB63" s="1625" t="s">
        <v>382</v>
      </c>
      <c r="AC63" s="891">
        <v>100000</v>
      </c>
      <c r="AD63" s="1622">
        <f t="shared" si="17"/>
        <v>100</v>
      </c>
      <c r="AG63" s="1625" t="s">
        <v>375</v>
      </c>
      <c r="AH63" s="891">
        <v>1509278343</v>
      </c>
      <c r="AI63" s="891">
        <v>281420875</v>
      </c>
      <c r="AJ63" s="891">
        <v>281420875</v>
      </c>
      <c r="AK63" s="891">
        <v>1227857468</v>
      </c>
      <c r="AL63" s="1622">
        <f t="shared" si="18"/>
        <v>1509278.3430000001</v>
      </c>
      <c r="AM63" s="1622">
        <f t="shared" si="19"/>
        <v>281420.875</v>
      </c>
      <c r="AN63" s="1622">
        <f t="shared" si="20"/>
        <v>281420.875</v>
      </c>
      <c r="AO63" s="1622">
        <f t="shared" si="21"/>
        <v>1227857.4680000001</v>
      </c>
      <c r="AR63" s="1625" t="s">
        <v>384</v>
      </c>
      <c r="AS63" s="1622">
        <v>126140</v>
      </c>
      <c r="AT63" s="1622">
        <f t="shared" si="22"/>
        <v>126.14</v>
      </c>
      <c r="AW63" s="1625" t="s">
        <v>375</v>
      </c>
      <c r="AX63" s="891">
        <v>1509478343</v>
      </c>
      <c r="AY63" s="891">
        <v>379127996</v>
      </c>
      <c r="AZ63" s="891">
        <v>379127996</v>
      </c>
      <c r="BA63" s="891">
        <v>1130350347</v>
      </c>
      <c r="BB63" s="1622">
        <f t="shared" si="23"/>
        <v>1509478.3430000001</v>
      </c>
      <c r="BC63" s="1622">
        <f t="shared" si="24"/>
        <v>379127.99599999998</v>
      </c>
      <c r="BD63" s="1622">
        <f t="shared" si="25"/>
        <v>379127.99599999998</v>
      </c>
      <c r="BE63" s="1622">
        <f t="shared" si="26"/>
        <v>1130350.3470000001</v>
      </c>
      <c r="BH63" s="1625" t="s">
        <v>392</v>
      </c>
      <c r="BI63" s="1622">
        <v>5465146</v>
      </c>
      <c r="BJ63" s="1622">
        <f t="shared" si="27"/>
        <v>5465.1459999999997</v>
      </c>
      <c r="BM63" s="1625" t="s">
        <v>375</v>
      </c>
      <c r="BN63" s="1627">
        <v>1509478343</v>
      </c>
      <c r="BO63" s="1627">
        <v>485135923</v>
      </c>
      <c r="BP63" s="1627">
        <v>485135923</v>
      </c>
      <c r="BQ63" s="1627">
        <v>1024342420</v>
      </c>
      <c r="BR63" s="1622">
        <f t="shared" si="28"/>
        <v>1509478.3430000001</v>
      </c>
      <c r="BS63" s="1622">
        <f t="shared" si="29"/>
        <v>485135.92300000001</v>
      </c>
      <c r="BT63" s="1622">
        <f t="shared" si="30"/>
        <v>485135.92300000001</v>
      </c>
      <c r="BU63" s="1622">
        <f t="shared" si="31"/>
        <v>1024342.42</v>
      </c>
      <c r="BX63" s="1624" t="s">
        <v>382</v>
      </c>
      <c r="BY63" s="1622">
        <v>2504462</v>
      </c>
      <c r="BZ63" s="1622">
        <f t="shared" si="32"/>
        <v>2504.462</v>
      </c>
      <c r="CC63" s="1622" t="s">
        <v>375</v>
      </c>
      <c r="CD63" s="1622">
        <v>1509478343</v>
      </c>
      <c r="CE63" s="1622">
        <v>583734914</v>
      </c>
      <c r="CF63" s="1622">
        <v>583734914</v>
      </c>
      <c r="CG63" s="1622">
        <v>925743429</v>
      </c>
      <c r="CH63" s="1622">
        <f t="shared" si="33"/>
        <v>1509478.3430000001</v>
      </c>
      <c r="CI63" s="1622">
        <f t="shared" si="34"/>
        <v>583734.91399999999</v>
      </c>
      <c r="CJ63" s="1622">
        <f t="shared" si="35"/>
        <v>583734.91399999999</v>
      </c>
      <c r="CK63" s="1622">
        <f t="shared" si="36"/>
        <v>925743.429</v>
      </c>
      <c r="CN63" s="1624" t="s">
        <v>382</v>
      </c>
      <c r="CO63" s="1622">
        <v>497539</v>
      </c>
      <c r="CP63" s="1622">
        <f t="shared" si="37"/>
        <v>497.53899999999999</v>
      </c>
      <c r="CS63" s="1625" t="s">
        <v>375</v>
      </c>
      <c r="CT63" s="891">
        <v>1509478343</v>
      </c>
      <c r="CU63" s="891">
        <v>691825865</v>
      </c>
      <c r="CV63" s="891">
        <v>691825865</v>
      </c>
      <c r="CW63" s="891">
        <v>817652478</v>
      </c>
      <c r="CX63" s="1622">
        <f t="shared" si="38"/>
        <v>1509478.3430000001</v>
      </c>
      <c r="CY63" s="1622">
        <f t="shared" si="39"/>
        <v>691825.86499999999</v>
      </c>
      <c r="CZ63" s="1622">
        <f t="shared" si="40"/>
        <v>691825.86499999999</v>
      </c>
      <c r="DA63" s="1622">
        <f t="shared" si="41"/>
        <v>817652.478</v>
      </c>
      <c r="DD63" s="1624" t="s">
        <v>595</v>
      </c>
      <c r="DE63" s="1622">
        <v>3135806</v>
      </c>
      <c r="DF63" s="1622">
        <f t="shared" si="42"/>
        <v>3135.806</v>
      </c>
      <c r="DJ63" s="1624" t="s">
        <v>375</v>
      </c>
      <c r="DK63" s="1622">
        <v>1509478343</v>
      </c>
      <c r="DL63" s="1622">
        <v>784119896</v>
      </c>
      <c r="DM63" s="1622">
        <v>725358447</v>
      </c>
      <c r="DN63" s="1622">
        <v>784119896</v>
      </c>
      <c r="DO63" s="1622">
        <f t="shared" si="43"/>
        <v>1509478.3430000001</v>
      </c>
      <c r="DP63" s="1622">
        <f t="shared" si="44"/>
        <v>784119.89599999995</v>
      </c>
      <c r="DQ63" s="1622">
        <f t="shared" si="45"/>
        <v>725358.44700000004</v>
      </c>
      <c r="DR63" s="1622">
        <f t="shared" si="46"/>
        <v>784119.89599999995</v>
      </c>
      <c r="DV63" s="780" t="s">
        <v>502</v>
      </c>
      <c r="DW63" s="779">
        <v>35000000</v>
      </c>
      <c r="DX63" s="1626">
        <f t="shared" si="47"/>
        <v>35000</v>
      </c>
      <c r="EA63" s="780" t="s">
        <v>375</v>
      </c>
      <c r="EB63" s="779">
        <v>1509478343</v>
      </c>
      <c r="EC63" s="779">
        <v>874361113</v>
      </c>
      <c r="ED63" s="779">
        <v>874361113</v>
      </c>
      <c r="EE63" s="779">
        <v>635117230</v>
      </c>
      <c r="EF63" s="166">
        <f t="shared" si="48"/>
        <v>1509478.3430000001</v>
      </c>
      <c r="EG63" s="166">
        <f t="shared" si="49"/>
        <v>874361.11300000001</v>
      </c>
      <c r="EH63" s="166">
        <f t="shared" si="50"/>
        <v>874361.11300000001</v>
      </c>
      <c r="EI63" s="166">
        <f t="shared" si="51"/>
        <v>635117.23</v>
      </c>
    </row>
    <row r="64" spans="1:139" ht="15" customHeight="1" x14ac:dyDescent="0.3">
      <c r="A64" s="1625" t="s">
        <v>584</v>
      </c>
      <c r="B64" s="891">
        <v>1472012000</v>
      </c>
      <c r="C64" s="891">
        <v>84479577</v>
      </c>
      <c r="D64" s="891">
        <v>1387532423</v>
      </c>
      <c r="E64" s="891">
        <v>84479577</v>
      </c>
      <c r="F64" s="891">
        <f t="shared" si="8"/>
        <v>1472012</v>
      </c>
      <c r="G64" s="891">
        <f t="shared" si="9"/>
        <v>84479.577000000005</v>
      </c>
      <c r="H64" s="891">
        <f t="shared" si="10"/>
        <v>1387532.423</v>
      </c>
      <c r="I64" s="891">
        <f t="shared" si="11"/>
        <v>84479.577000000005</v>
      </c>
      <c r="L64" s="1625" t="s">
        <v>597</v>
      </c>
      <c r="M64" s="891">
        <v>1036189</v>
      </c>
      <c r="N64" s="891">
        <f t="shared" si="12"/>
        <v>1036.1890000000001</v>
      </c>
      <c r="Q64" s="1625" t="s">
        <v>584</v>
      </c>
      <c r="R64" s="891">
        <v>1472012000</v>
      </c>
      <c r="S64" s="891">
        <v>178263440</v>
      </c>
      <c r="T64" s="891">
        <v>1293748560</v>
      </c>
      <c r="U64" s="891">
        <v>178263440</v>
      </c>
      <c r="V64" s="1622">
        <f t="shared" si="13"/>
        <v>1472012</v>
      </c>
      <c r="W64" s="1622">
        <f t="shared" si="14"/>
        <v>178263.44</v>
      </c>
      <c r="X64" s="1622">
        <f t="shared" si="15"/>
        <v>1293748.56</v>
      </c>
      <c r="Y64" s="1622">
        <f t="shared" si="16"/>
        <v>178263.44</v>
      </c>
      <c r="AB64" s="1625" t="s">
        <v>589</v>
      </c>
      <c r="AC64" s="891">
        <v>0</v>
      </c>
      <c r="AD64" s="1622">
        <f t="shared" si="17"/>
        <v>0</v>
      </c>
      <c r="AG64" s="1625" t="s">
        <v>584</v>
      </c>
      <c r="AH64" s="891">
        <v>1471812000</v>
      </c>
      <c r="AI64" s="891">
        <v>275326419</v>
      </c>
      <c r="AJ64" s="891">
        <v>275326419</v>
      </c>
      <c r="AK64" s="891">
        <v>1196485581</v>
      </c>
      <c r="AL64" s="1622">
        <f t="shared" si="18"/>
        <v>1471812</v>
      </c>
      <c r="AM64" s="1622">
        <f t="shared" si="19"/>
        <v>275326.41899999999</v>
      </c>
      <c r="AN64" s="1622">
        <f t="shared" si="20"/>
        <v>275326.41899999999</v>
      </c>
      <c r="AO64" s="1622">
        <f t="shared" si="21"/>
        <v>1196485.581</v>
      </c>
      <c r="AR64" s="1625" t="s">
        <v>590</v>
      </c>
      <c r="AS64" s="1622">
        <v>582267</v>
      </c>
      <c r="AT64" s="1622">
        <f t="shared" si="22"/>
        <v>582.26700000000005</v>
      </c>
      <c r="AW64" s="1625" t="s">
        <v>584</v>
      </c>
      <c r="AX64" s="891">
        <v>1472012000</v>
      </c>
      <c r="AY64" s="891">
        <v>373033540</v>
      </c>
      <c r="AZ64" s="891">
        <v>373033540</v>
      </c>
      <c r="BA64" s="891">
        <v>1098978460</v>
      </c>
      <c r="BB64" s="1622">
        <f t="shared" si="23"/>
        <v>1472012</v>
      </c>
      <c r="BC64" s="1622">
        <f t="shared" si="24"/>
        <v>373033.54</v>
      </c>
      <c r="BD64" s="1622">
        <f t="shared" si="25"/>
        <v>373033.54</v>
      </c>
      <c r="BE64" s="1622">
        <f t="shared" si="26"/>
        <v>1098978.46</v>
      </c>
      <c r="BH64" s="1625" t="s">
        <v>393</v>
      </c>
      <c r="BI64" s="1622">
        <v>0</v>
      </c>
      <c r="BJ64" s="1622">
        <f t="shared" si="27"/>
        <v>0</v>
      </c>
      <c r="BM64" s="1625" t="s">
        <v>584</v>
      </c>
      <c r="BN64" s="1627">
        <v>1472012000</v>
      </c>
      <c r="BO64" s="1627">
        <v>479041467</v>
      </c>
      <c r="BP64" s="1627">
        <v>479041467</v>
      </c>
      <c r="BQ64" s="1627">
        <v>992970533</v>
      </c>
      <c r="BR64" s="1622">
        <f t="shared" si="28"/>
        <v>1472012</v>
      </c>
      <c r="BS64" s="1622">
        <f t="shared" si="29"/>
        <v>479041.467</v>
      </c>
      <c r="BT64" s="1622">
        <f t="shared" si="30"/>
        <v>479041.467</v>
      </c>
      <c r="BU64" s="1622">
        <f t="shared" si="31"/>
        <v>992970.53300000005</v>
      </c>
      <c r="BX64" s="1624" t="s">
        <v>589</v>
      </c>
      <c r="BY64" s="1622">
        <v>0</v>
      </c>
      <c r="BZ64" s="1622">
        <f t="shared" si="32"/>
        <v>0</v>
      </c>
      <c r="CC64" s="1622" t="s">
        <v>584</v>
      </c>
      <c r="CD64" s="1622">
        <v>1471892000</v>
      </c>
      <c r="CE64" s="1622">
        <v>577640458</v>
      </c>
      <c r="CF64" s="1622">
        <v>577640458</v>
      </c>
      <c r="CG64" s="1622">
        <v>894251542</v>
      </c>
      <c r="CH64" s="1622">
        <f t="shared" si="33"/>
        <v>1471892</v>
      </c>
      <c r="CI64" s="1622">
        <f t="shared" si="34"/>
        <v>577640.45799999998</v>
      </c>
      <c r="CJ64" s="1622">
        <f t="shared" si="35"/>
        <v>577640.45799999998</v>
      </c>
      <c r="CK64" s="1622">
        <f t="shared" si="36"/>
        <v>894251.54200000002</v>
      </c>
      <c r="CN64" s="1624" t="s">
        <v>882</v>
      </c>
      <c r="CO64" s="1622">
        <v>0</v>
      </c>
      <c r="CP64" s="1622">
        <f t="shared" si="37"/>
        <v>0</v>
      </c>
      <c r="CS64" s="1625" t="s">
        <v>584</v>
      </c>
      <c r="CT64" s="891">
        <v>1471892000</v>
      </c>
      <c r="CU64" s="891">
        <v>681543009</v>
      </c>
      <c r="CV64" s="891">
        <v>681543009</v>
      </c>
      <c r="CW64" s="891">
        <v>790348991</v>
      </c>
      <c r="CX64" s="1622">
        <f t="shared" si="38"/>
        <v>1471892</v>
      </c>
      <c r="CY64" s="1622">
        <f t="shared" si="39"/>
        <v>681543.00899999996</v>
      </c>
      <c r="CZ64" s="1622">
        <f t="shared" si="40"/>
        <v>681543.00899999996</v>
      </c>
      <c r="DA64" s="1622">
        <f t="shared" si="41"/>
        <v>790348.99100000004</v>
      </c>
      <c r="DD64" s="1624" t="s">
        <v>395</v>
      </c>
      <c r="DE64" s="1622">
        <v>3128198</v>
      </c>
      <c r="DF64" s="1622">
        <f t="shared" si="42"/>
        <v>3128.1979999999999</v>
      </c>
      <c r="DJ64" s="1624" t="s">
        <v>584</v>
      </c>
      <c r="DK64" s="1622">
        <v>1471892000</v>
      </c>
      <c r="DL64" s="1622">
        <v>769174448</v>
      </c>
      <c r="DM64" s="1622">
        <v>702717552</v>
      </c>
      <c r="DN64" s="1622">
        <v>769174448</v>
      </c>
      <c r="DO64" s="1622">
        <f t="shared" si="43"/>
        <v>1471892</v>
      </c>
      <c r="DP64" s="1622">
        <f t="shared" si="44"/>
        <v>769174.44799999997</v>
      </c>
      <c r="DQ64" s="1622">
        <f t="shared" si="45"/>
        <v>702717.55200000003</v>
      </c>
      <c r="DR64" s="1622">
        <f t="shared" si="46"/>
        <v>769174.44799999997</v>
      </c>
      <c r="DV64" s="780" t="s">
        <v>503</v>
      </c>
      <c r="DW64" s="779">
        <v>35000000</v>
      </c>
      <c r="DX64" s="1626">
        <f t="shared" si="47"/>
        <v>35000</v>
      </c>
      <c r="EA64" s="780" t="s">
        <v>584</v>
      </c>
      <c r="EB64" s="779">
        <v>1471592000</v>
      </c>
      <c r="EC64" s="779">
        <v>851485001</v>
      </c>
      <c r="ED64" s="779">
        <v>851485001</v>
      </c>
      <c r="EE64" s="779">
        <v>620106999</v>
      </c>
      <c r="EF64" s="166">
        <f t="shared" si="48"/>
        <v>1471592</v>
      </c>
      <c r="EG64" s="166">
        <f t="shared" si="49"/>
        <v>851485.00100000005</v>
      </c>
      <c r="EH64" s="166">
        <f t="shared" si="50"/>
        <v>851485.00100000005</v>
      </c>
      <c r="EI64" s="166">
        <f t="shared" si="51"/>
        <v>620106.99899999995</v>
      </c>
    </row>
    <row r="65" spans="1:139" ht="15" customHeight="1" x14ac:dyDescent="0.3">
      <c r="A65" s="1625" t="s">
        <v>585</v>
      </c>
      <c r="B65" s="891">
        <v>1461411989</v>
      </c>
      <c r="C65" s="891">
        <v>83834886</v>
      </c>
      <c r="D65" s="891">
        <v>1377577103</v>
      </c>
      <c r="E65" s="891">
        <v>83834886</v>
      </c>
      <c r="F65" s="891">
        <f t="shared" si="8"/>
        <v>1461411.9890000001</v>
      </c>
      <c r="G65" s="891">
        <f t="shared" si="9"/>
        <v>83834.885999999999</v>
      </c>
      <c r="H65" s="891">
        <f t="shared" si="10"/>
        <v>1377577.1029999999</v>
      </c>
      <c r="I65" s="891">
        <f t="shared" si="11"/>
        <v>83834.885999999999</v>
      </c>
      <c r="L65" s="1625" t="s">
        <v>599</v>
      </c>
      <c r="M65" s="891">
        <v>0</v>
      </c>
      <c r="N65" s="891">
        <f t="shared" si="12"/>
        <v>0</v>
      </c>
      <c r="Q65" s="1625" t="s">
        <v>585</v>
      </c>
      <c r="R65" s="891">
        <v>1460411990</v>
      </c>
      <c r="S65" s="891">
        <v>173969593</v>
      </c>
      <c r="T65" s="891">
        <v>1286442397</v>
      </c>
      <c r="U65" s="891">
        <v>173969593</v>
      </c>
      <c r="V65" s="1622">
        <f t="shared" si="13"/>
        <v>1460411.99</v>
      </c>
      <c r="W65" s="1622">
        <f t="shared" si="14"/>
        <v>173969.59299999999</v>
      </c>
      <c r="X65" s="1622">
        <f t="shared" si="15"/>
        <v>1286442.3970000001</v>
      </c>
      <c r="Y65" s="1622">
        <f t="shared" si="16"/>
        <v>173969.59299999999</v>
      </c>
      <c r="AB65" s="1625" t="s">
        <v>384</v>
      </c>
      <c r="AC65" s="891">
        <v>5266708</v>
      </c>
      <c r="AD65" s="1622">
        <f t="shared" si="17"/>
        <v>5266.7079999999996</v>
      </c>
      <c r="AG65" s="1625" t="s">
        <v>585</v>
      </c>
      <c r="AH65" s="891">
        <v>1458808991</v>
      </c>
      <c r="AI65" s="891">
        <v>269243974</v>
      </c>
      <c r="AJ65" s="891">
        <v>269243974</v>
      </c>
      <c r="AK65" s="891">
        <v>1189565017</v>
      </c>
      <c r="AL65" s="1622">
        <f t="shared" si="18"/>
        <v>1458808.9909999999</v>
      </c>
      <c r="AM65" s="1622">
        <f t="shared" si="19"/>
        <v>269243.97399999999</v>
      </c>
      <c r="AN65" s="1622">
        <f t="shared" si="20"/>
        <v>269243.97399999999</v>
      </c>
      <c r="AO65" s="1622">
        <f t="shared" si="21"/>
        <v>1189565.017</v>
      </c>
      <c r="AR65" s="1625" t="s">
        <v>591</v>
      </c>
      <c r="AS65" s="1622">
        <v>158270</v>
      </c>
      <c r="AT65" s="1622">
        <f t="shared" si="22"/>
        <v>158.27000000000001</v>
      </c>
      <c r="AW65" s="1625" t="s">
        <v>585</v>
      </c>
      <c r="AX65" s="891">
        <v>1458358992</v>
      </c>
      <c r="AY65" s="891">
        <v>364742988</v>
      </c>
      <c r="AZ65" s="891">
        <v>364742988</v>
      </c>
      <c r="BA65" s="891">
        <v>1093616004</v>
      </c>
      <c r="BB65" s="1622">
        <f t="shared" si="23"/>
        <v>1458358.9920000001</v>
      </c>
      <c r="BC65" s="1622">
        <f t="shared" si="24"/>
        <v>364742.98800000001</v>
      </c>
      <c r="BD65" s="1622">
        <f t="shared" si="25"/>
        <v>364742.98800000001</v>
      </c>
      <c r="BE65" s="1622">
        <f t="shared" si="26"/>
        <v>1093616.004</v>
      </c>
      <c r="BH65" s="1625" t="s">
        <v>595</v>
      </c>
      <c r="BI65" s="1622">
        <v>0</v>
      </c>
      <c r="BJ65" s="1622">
        <f t="shared" si="27"/>
        <v>0</v>
      </c>
      <c r="BM65" s="1625" t="s">
        <v>585</v>
      </c>
      <c r="BN65" s="1627">
        <v>1458358992</v>
      </c>
      <c r="BO65" s="1627">
        <v>469425105</v>
      </c>
      <c r="BP65" s="1627">
        <v>469425105</v>
      </c>
      <c r="BQ65" s="1627">
        <v>988933887</v>
      </c>
      <c r="BR65" s="1622">
        <f t="shared" si="28"/>
        <v>1458358.9920000001</v>
      </c>
      <c r="BS65" s="1622">
        <f t="shared" si="29"/>
        <v>469425.10499999998</v>
      </c>
      <c r="BT65" s="1622">
        <f t="shared" si="30"/>
        <v>469425.10499999998</v>
      </c>
      <c r="BU65" s="1622">
        <f t="shared" si="31"/>
        <v>988933.88699999999</v>
      </c>
      <c r="BX65" s="1624" t="s">
        <v>384</v>
      </c>
      <c r="BY65" s="1622">
        <v>1241134</v>
      </c>
      <c r="BZ65" s="1622">
        <f t="shared" si="32"/>
        <v>1241.134</v>
      </c>
      <c r="CC65" s="1622" t="s">
        <v>585</v>
      </c>
      <c r="CD65" s="1622">
        <v>1458238992</v>
      </c>
      <c r="CE65" s="1622">
        <v>567798317</v>
      </c>
      <c r="CF65" s="1622">
        <v>567798317</v>
      </c>
      <c r="CG65" s="1622">
        <v>890440675</v>
      </c>
      <c r="CH65" s="1622">
        <f t="shared" si="33"/>
        <v>1458238.9920000001</v>
      </c>
      <c r="CI65" s="1622">
        <f t="shared" si="34"/>
        <v>567798.31700000004</v>
      </c>
      <c r="CJ65" s="1622">
        <f t="shared" si="35"/>
        <v>567798.31700000004</v>
      </c>
      <c r="CK65" s="1622">
        <f t="shared" si="36"/>
        <v>890440.67500000005</v>
      </c>
      <c r="CN65" s="1624" t="s">
        <v>589</v>
      </c>
      <c r="CO65" s="1622">
        <v>0</v>
      </c>
      <c r="CP65" s="1622">
        <f t="shared" si="37"/>
        <v>0</v>
      </c>
      <c r="CS65" s="1625" t="s">
        <v>585</v>
      </c>
      <c r="CT65" s="891">
        <v>1458238992</v>
      </c>
      <c r="CU65" s="891">
        <v>671532943</v>
      </c>
      <c r="CV65" s="891">
        <v>671532943</v>
      </c>
      <c r="CW65" s="891">
        <v>786706049</v>
      </c>
      <c r="CX65" s="1622">
        <f t="shared" si="38"/>
        <v>1458238.9920000001</v>
      </c>
      <c r="CY65" s="1622">
        <f t="shared" si="39"/>
        <v>671532.94299999997</v>
      </c>
      <c r="CZ65" s="1622">
        <f t="shared" si="40"/>
        <v>671532.94299999997</v>
      </c>
      <c r="DA65" s="1622">
        <f t="shared" si="41"/>
        <v>786706.049</v>
      </c>
      <c r="DD65" s="1624" t="s">
        <v>596</v>
      </c>
      <c r="DE65" s="1622">
        <v>1601145</v>
      </c>
      <c r="DF65" s="1622">
        <f t="shared" si="42"/>
        <v>1601.145</v>
      </c>
      <c r="DJ65" s="1624" t="s">
        <v>585</v>
      </c>
      <c r="DK65" s="1622">
        <v>1458238992</v>
      </c>
      <c r="DL65" s="1622">
        <v>758941123</v>
      </c>
      <c r="DM65" s="1622">
        <v>699297869</v>
      </c>
      <c r="DN65" s="1622">
        <v>758941123</v>
      </c>
      <c r="DO65" s="1622">
        <f t="shared" si="43"/>
        <v>1458238.9920000001</v>
      </c>
      <c r="DP65" s="1622">
        <f t="shared" si="44"/>
        <v>758941.12300000002</v>
      </c>
      <c r="DQ65" s="1622">
        <f t="shared" si="45"/>
        <v>699297.86899999995</v>
      </c>
      <c r="DR65" s="1622">
        <f t="shared" si="46"/>
        <v>758941.12300000002</v>
      </c>
      <c r="DV65" s="780" t="s">
        <v>381</v>
      </c>
      <c r="DW65" s="779">
        <v>17003399</v>
      </c>
      <c r="DX65" s="1626">
        <f t="shared" si="47"/>
        <v>17003.399000000001</v>
      </c>
      <c r="EA65" s="780" t="s">
        <v>585</v>
      </c>
      <c r="EB65" s="779">
        <v>1457938992</v>
      </c>
      <c r="EC65" s="779">
        <v>840834685</v>
      </c>
      <c r="ED65" s="779">
        <v>840834685</v>
      </c>
      <c r="EE65" s="779">
        <v>617104307</v>
      </c>
      <c r="EF65" s="166">
        <f t="shared" si="48"/>
        <v>1457938.9920000001</v>
      </c>
      <c r="EG65" s="166">
        <f t="shared" si="49"/>
        <v>840834.68500000006</v>
      </c>
      <c r="EH65" s="166">
        <f t="shared" si="50"/>
        <v>840834.68500000006</v>
      </c>
      <c r="EI65" s="166">
        <f t="shared" si="51"/>
        <v>617104.30700000003</v>
      </c>
    </row>
    <row r="66" spans="1:139" ht="15" customHeight="1" x14ac:dyDescent="0.3">
      <c r="A66" s="1625" t="s">
        <v>586</v>
      </c>
      <c r="B66" s="891">
        <v>10600011</v>
      </c>
      <c r="C66" s="891">
        <v>644691</v>
      </c>
      <c r="D66" s="891">
        <v>9955320</v>
      </c>
      <c r="E66" s="891">
        <v>644691</v>
      </c>
      <c r="F66" s="891">
        <f t="shared" si="8"/>
        <v>10600.011</v>
      </c>
      <c r="G66" s="891">
        <f t="shared" si="9"/>
        <v>644.69100000000003</v>
      </c>
      <c r="H66" s="891">
        <f t="shared" si="10"/>
        <v>9955.32</v>
      </c>
      <c r="I66" s="891">
        <f t="shared" si="11"/>
        <v>644.69100000000003</v>
      </c>
      <c r="L66" s="1625" t="s">
        <v>600</v>
      </c>
      <c r="M66" s="891">
        <v>0</v>
      </c>
      <c r="N66" s="891">
        <f t="shared" si="12"/>
        <v>0</v>
      </c>
      <c r="Q66" s="1625" t="s">
        <v>586</v>
      </c>
      <c r="R66" s="891">
        <v>11600010</v>
      </c>
      <c r="S66" s="891">
        <v>4293847</v>
      </c>
      <c r="T66" s="891">
        <v>7306163</v>
      </c>
      <c r="U66" s="891">
        <v>4293847</v>
      </c>
      <c r="V66" s="1622">
        <f t="shared" si="13"/>
        <v>11600.01</v>
      </c>
      <c r="W66" s="1622">
        <f t="shared" si="14"/>
        <v>4293.8469999999998</v>
      </c>
      <c r="X66" s="1622">
        <f t="shared" si="15"/>
        <v>7306.1629999999996</v>
      </c>
      <c r="Y66" s="1622">
        <f t="shared" si="16"/>
        <v>4293.8469999999998</v>
      </c>
      <c r="AB66" s="1625" t="s">
        <v>590</v>
      </c>
      <c r="AC66" s="891">
        <v>0</v>
      </c>
      <c r="AD66" s="1622">
        <f t="shared" si="17"/>
        <v>0</v>
      </c>
      <c r="AG66" s="1625" t="s">
        <v>586</v>
      </c>
      <c r="AH66" s="891">
        <v>13003009</v>
      </c>
      <c r="AI66" s="891">
        <v>6082445</v>
      </c>
      <c r="AJ66" s="891">
        <v>6082445</v>
      </c>
      <c r="AK66" s="891">
        <v>6920564</v>
      </c>
      <c r="AL66" s="1622">
        <f t="shared" si="18"/>
        <v>13003.009</v>
      </c>
      <c r="AM66" s="1622">
        <f t="shared" si="19"/>
        <v>6082.4449999999997</v>
      </c>
      <c r="AN66" s="1622">
        <f t="shared" si="20"/>
        <v>6082.4449999999997</v>
      </c>
      <c r="AO66" s="1622">
        <f t="shared" si="21"/>
        <v>6920.5640000000003</v>
      </c>
      <c r="AR66" s="1625" t="s">
        <v>592</v>
      </c>
      <c r="AS66" s="1622">
        <v>0</v>
      </c>
      <c r="AT66" s="1622">
        <f t="shared" si="22"/>
        <v>0</v>
      </c>
      <c r="AW66" s="1625" t="s">
        <v>586</v>
      </c>
      <c r="AX66" s="891">
        <v>13653008</v>
      </c>
      <c r="AY66" s="891">
        <v>8290552</v>
      </c>
      <c r="AZ66" s="891">
        <v>8290552</v>
      </c>
      <c r="BA66" s="891">
        <v>5362456</v>
      </c>
      <c r="BB66" s="1622">
        <f t="shared" si="23"/>
        <v>13653.008</v>
      </c>
      <c r="BC66" s="1622">
        <f t="shared" si="24"/>
        <v>8290.5519999999997</v>
      </c>
      <c r="BD66" s="1622">
        <f t="shared" si="25"/>
        <v>8290.5519999999997</v>
      </c>
      <c r="BE66" s="1622">
        <f t="shared" si="26"/>
        <v>5362.4560000000001</v>
      </c>
      <c r="BH66" s="1625" t="s">
        <v>395</v>
      </c>
      <c r="BI66" s="1622">
        <v>22712479</v>
      </c>
      <c r="BJ66" s="1622">
        <f t="shared" si="27"/>
        <v>22712.478999999999</v>
      </c>
      <c r="BM66" s="1625" t="s">
        <v>586</v>
      </c>
      <c r="BN66" s="1627">
        <v>13653008</v>
      </c>
      <c r="BO66" s="1627">
        <v>9616362</v>
      </c>
      <c r="BP66" s="1627">
        <v>9616362</v>
      </c>
      <c r="BQ66" s="1627">
        <v>4036646</v>
      </c>
      <c r="BR66" s="1622">
        <f t="shared" si="28"/>
        <v>13653.008</v>
      </c>
      <c r="BS66" s="1622">
        <f t="shared" si="29"/>
        <v>9616.3619999999992</v>
      </c>
      <c r="BT66" s="1622">
        <f t="shared" si="30"/>
        <v>9616.3619999999992</v>
      </c>
      <c r="BU66" s="1622">
        <f t="shared" si="31"/>
        <v>4036.6460000000002</v>
      </c>
      <c r="BX66" s="1624" t="s">
        <v>591</v>
      </c>
      <c r="BY66" s="1622">
        <v>0</v>
      </c>
      <c r="BZ66" s="1622">
        <f t="shared" si="32"/>
        <v>0</v>
      </c>
      <c r="CC66" s="1622" t="s">
        <v>586</v>
      </c>
      <c r="CD66" s="1622">
        <v>13653008</v>
      </c>
      <c r="CE66" s="1622">
        <v>9842141</v>
      </c>
      <c r="CF66" s="1622">
        <v>9842141</v>
      </c>
      <c r="CG66" s="1622">
        <v>3810867</v>
      </c>
      <c r="CH66" s="1622">
        <f t="shared" si="33"/>
        <v>13653.008</v>
      </c>
      <c r="CI66" s="1622">
        <f t="shared" si="34"/>
        <v>9842.1409999999996</v>
      </c>
      <c r="CJ66" s="1622">
        <f t="shared" si="35"/>
        <v>9842.1409999999996</v>
      </c>
      <c r="CK66" s="1622">
        <f t="shared" si="36"/>
        <v>3810.8670000000002</v>
      </c>
      <c r="CN66" s="1624" t="s">
        <v>384</v>
      </c>
      <c r="CO66" s="1622">
        <v>0</v>
      </c>
      <c r="CP66" s="1622">
        <f t="shared" si="37"/>
        <v>0</v>
      </c>
      <c r="CS66" s="1625" t="s">
        <v>586</v>
      </c>
      <c r="CT66" s="891">
        <v>13653008</v>
      </c>
      <c r="CU66" s="891">
        <v>10010066</v>
      </c>
      <c r="CV66" s="891">
        <v>10010066</v>
      </c>
      <c r="CW66" s="891">
        <v>3642942</v>
      </c>
      <c r="CX66" s="1622">
        <f t="shared" si="38"/>
        <v>13653.008</v>
      </c>
      <c r="CY66" s="1622">
        <f t="shared" si="39"/>
        <v>10010.066000000001</v>
      </c>
      <c r="CZ66" s="1622">
        <f t="shared" si="40"/>
        <v>10010.066000000001</v>
      </c>
      <c r="DA66" s="1622">
        <f t="shared" si="41"/>
        <v>3642.942</v>
      </c>
      <c r="DD66" s="1624" t="s">
        <v>597</v>
      </c>
      <c r="DE66" s="1622">
        <v>1074853</v>
      </c>
      <c r="DF66" s="1622">
        <f t="shared" si="42"/>
        <v>1074.8530000000001</v>
      </c>
      <c r="DJ66" s="1624" t="s">
        <v>586</v>
      </c>
      <c r="DK66" s="1622">
        <v>13653008</v>
      </c>
      <c r="DL66" s="1622">
        <v>10233325</v>
      </c>
      <c r="DM66" s="1622">
        <v>3419683</v>
      </c>
      <c r="DN66" s="1622">
        <v>10233325</v>
      </c>
      <c r="DO66" s="1622">
        <f t="shared" si="43"/>
        <v>13653.008</v>
      </c>
      <c r="DP66" s="1622">
        <f t="shared" si="44"/>
        <v>10233.325000000001</v>
      </c>
      <c r="DQ66" s="1622">
        <f t="shared" si="45"/>
        <v>3419.683</v>
      </c>
      <c r="DR66" s="1622">
        <f t="shared" si="46"/>
        <v>10233.325000000001</v>
      </c>
      <c r="DV66" s="780" t="s">
        <v>382</v>
      </c>
      <c r="DW66" s="779">
        <v>6639814</v>
      </c>
      <c r="DX66" s="1626">
        <f t="shared" si="47"/>
        <v>6639.8140000000003</v>
      </c>
      <c r="EA66" s="780" t="s">
        <v>586</v>
      </c>
      <c r="EB66" s="779">
        <v>13653008</v>
      </c>
      <c r="EC66" s="779">
        <v>10650316</v>
      </c>
      <c r="ED66" s="779">
        <v>10650316</v>
      </c>
      <c r="EE66" s="779">
        <v>3002692</v>
      </c>
      <c r="EF66" s="166">
        <f t="shared" si="48"/>
        <v>13653.008</v>
      </c>
      <c r="EG66" s="166">
        <f t="shared" si="49"/>
        <v>10650.316000000001</v>
      </c>
      <c r="EH66" s="166">
        <f t="shared" si="50"/>
        <v>10650.316000000001</v>
      </c>
      <c r="EI66" s="166">
        <f t="shared" si="51"/>
        <v>3002.692</v>
      </c>
    </row>
    <row r="67" spans="1:139" ht="15" customHeight="1" x14ac:dyDescent="0.3">
      <c r="A67" s="1625" t="s">
        <v>376</v>
      </c>
      <c r="B67" s="891">
        <v>37466343</v>
      </c>
      <c r="C67" s="891">
        <v>3279104</v>
      </c>
      <c r="D67" s="891">
        <v>34187239</v>
      </c>
      <c r="E67" s="891">
        <v>3279104</v>
      </c>
      <c r="F67" s="891">
        <f t="shared" si="8"/>
        <v>37466.343000000001</v>
      </c>
      <c r="G67" s="891">
        <f t="shared" si="9"/>
        <v>3279.1039999999998</v>
      </c>
      <c r="H67" s="891">
        <f t="shared" si="10"/>
        <v>34187.239000000001</v>
      </c>
      <c r="I67" s="891">
        <f t="shared" si="11"/>
        <v>3279.1039999999998</v>
      </c>
      <c r="L67" s="1625" t="s">
        <v>397</v>
      </c>
      <c r="M67" s="891">
        <v>131100</v>
      </c>
      <c r="N67" s="891">
        <f t="shared" si="12"/>
        <v>131.1</v>
      </c>
      <c r="Q67" s="1625" t="s">
        <v>376</v>
      </c>
      <c r="R67" s="891">
        <v>37466343</v>
      </c>
      <c r="S67" s="891">
        <v>4918656</v>
      </c>
      <c r="T67" s="891">
        <v>32547687</v>
      </c>
      <c r="U67" s="891">
        <v>4918656</v>
      </c>
      <c r="V67" s="1622">
        <f t="shared" si="13"/>
        <v>37466.343000000001</v>
      </c>
      <c r="W67" s="1622">
        <f t="shared" si="14"/>
        <v>4918.6559999999999</v>
      </c>
      <c r="X67" s="1622">
        <f t="shared" si="15"/>
        <v>32547.687000000002</v>
      </c>
      <c r="Y67" s="1622">
        <f t="shared" si="16"/>
        <v>4918.6559999999999</v>
      </c>
      <c r="AB67" s="1625" t="s">
        <v>591</v>
      </c>
      <c r="AC67" s="891">
        <v>70210</v>
      </c>
      <c r="AD67" s="1622">
        <f t="shared" si="17"/>
        <v>70.209999999999994</v>
      </c>
      <c r="AG67" s="1625" t="s">
        <v>376</v>
      </c>
      <c r="AH67" s="891">
        <v>37466343</v>
      </c>
      <c r="AI67" s="891">
        <v>6094456</v>
      </c>
      <c r="AJ67" s="891">
        <v>6094456</v>
      </c>
      <c r="AK67" s="891">
        <v>31371887</v>
      </c>
      <c r="AL67" s="1622">
        <f t="shared" si="18"/>
        <v>37466.343000000001</v>
      </c>
      <c r="AM67" s="1622">
        <f t="shared" si="19"/>
        <v>6094.4560000000001</v>
      </c>
      <c r="AN67" s="1622">
        <f t="shared" si="20"/>
        <v>6094.4560000000001</v>
      </c>
      <c r="AO67" s="1622">
        <f t="shared" si="21"/>
        <v>31371.886999999999</v>
      </c>
      <c r="AR67" s="1625" t="s">
        <v>593</v>
      </c>
      <c r="AS67" s="1622">
        <v>0</v>
      </c>
      <c r="AT67" s="1622">
        <f t="shared" si="22"/>
        <v>0</v>
      </c>
      <c r="AW67" s="1625" t="s">
        <v>376</v>
      </c>
      <c r="AX67" s="891">
        <v>37466343</v>
      </c>
      <c r="AY67" s="891">
        <v>6094456</v>
      </c>
      <c r="AZ67" s="891">
        <v>6094456</v>
      </c>
      <c r="BA67" s="891">
        <v>31371887</v>
      </c>
      <c r="BB67" s="1622">
        <f t="shared" si="23"/>
        <v>37466.343000000001</v>
      </c>
      <c r="BC67" s="1622">
        <f t="shared" si="24"/>
        <v>6094.4560000000001</v>
      </c>
      <c r="BD67" s="1622">
        <f t="shared" si="25"/>
        <v>6094.4560000000001</v>
      </c>
      <c r="BE67" s="1622">
        <f t="shared" si="26"/>
        <v>31371.886999999999</v>
      </c>
      <c r="BH67" s="1625" t="s">
        <v>596</v>
      </c>
      <c r="BI67" s="1622">
        <v>20289011</v>
      </c>
      <c r="BJ67" s="1622">
        <f t="shared" si="27"/>
        <v>20289.010999999999</v>
      </c>
      <c r="BM67" s="1625" t="s">
        <v>376</v>
      </c>
      <c r="BN67" s="1627">
        <v>37466343</v>
      </c>
      <c r="BO67" s="1627">
        <v>6094456</v>
      </c>
      <c r="BP67" s="1627">
        <v>6094456</v>
      </c>
      <c r="BQ67" s="1627">
        <v>31371887</v>
      </c>
      <c r="BR67" s="1622">
        <f t="shared" si="28"/>
        <v>37466.343000000001</v>
      </c>
      <c r="BS67" s="1622">
        <f t="shared" si="29"/>
        <v>6094.4560000000001</v>
      </c>
      <c r="BT67" s="1622">
        <f t="shared" si="30"/>
        <v>6094.4560000000001</v>
      </c>
      <c r="BU67" s="1622">
        <f t="shared" si="31"/>
        <v>31371.886999999999</v>
      </c>
      <c r="BX67" s="1624" t="s">
        <v>592</v>
      </c>
      <c r="BY67" s="1622">
        <v>0</v>
      </c>
      <c r="BZ67" s="1622">
        <f t="shared" si="32"/>
        <v>0</v>
      </c>
      <c r="CC67" s="1622" t="s">
        <v>376</v>
      </c>
      <c r="CD67" s="1622">
        <v>37466343</v>
      </c>
      <c r="CE67" s="1622">
        <v>6094456</v>
      </c>
      <c r="CF67" s="1622">
        <v>6094456</v>
      </c>
      <c r="CG67" s="1622">
        <v>31371887</v>
      </c>
      <c r="CH67" s="1622">
        <f t="shared" si="33"/>
        <v>37466.343000000001</v>
      </c>
      <c r="CI67" s="1622">
        <f t="shared" si="34"/>
        <v>6094.4560000000001</v>
      </c>
      <c r="CJ67" s="1622">
        <f t="shared" si="35"/>
        <v>6094.4560000000001</v>
      </c>
      <c r="CK67" s="1622">
        <f t="shared" si="36"/>
        <v>31371.886999999999</v>
      </c>
      <c r="CN67" s="1624" t="s">
        <v>591</v>
      </c>
      <c r="CO67" s="1622">
        <v>579147</v>
      </c>
      <c r="CP67" s="1622">
        <f t="shared" si="37"/>
        <v>579.14700000000005</v>
      </c>
      <c r="CS67" s="1625" t="s">
        <v>376</v>
      </c>
      <c r="CT67" s="891">
        <v>37466343</v>
      </c>
      <c r="CU67" s="891">
        <v>10282856</v>
      </c>
      <c r="CV67" s="891">
        <v>10282856</v>
      </c>
      <c r="CW67" s="891">
        <v>27183487</v>
      </c>
      <c r="CX67" s="1622">
        <f t="shared" si="38"/>
        <v>37466.343000000001</v>
      </c>
      <c r="CY67" s="1622">
        <f t="shared" si="39"/>
        <v>10282.856</v>
      </c>
      <c r="CZ67" s="1622">
        <f t="shared" si="40"/>
        <v>10282.856</v>
      </c>
      <c r="DA67" s="1622">
        <f t="shared" si="41"/>
        <v>27183.487000000001</v>
      </c>
      <c r="DD67" s="1624" t="s">
        <v>598</v>
      </c>
      <c r="DE67" s="1622">
        <v>452200</v>
      </c>
      <c r="DF67" s="1622">
        <f t="shared" si="42"/>
        <v>452.2</v>
      </c>
      <c r="DJ67" s="1624" t="s">
        <v>376</v>
      </c>
      <c r="DK67" s="1622">
        <v>37466343</v>
      </c>
      <c r="DL67" s="1622">
        <v>14945448</v>
      </c>
      <c r="DM67" s="1622">
        <v>22520895</v>
      </c>
      <c r="DN67" s="1622">
        <v>14945448</v>
      </c>
      <c r="DO67" s="1622">
        <f t="shared" si="43"/>
        <v>37466.343000000001</v>
      </c>
      <c r="DP67" s="1622">
        <f t="shared" si="44"/>
        <v>14945.448</v>
      </c>
      <c r="DQ67" s="1622">
        <f t="shared" si="45"/>
        <v>22520.895</v>
      </c>
      <c r="DR67" s="1622">
        <f t="shared" si="46"/>
        <v>14945.448</v>
      </c>
      <c r="DV67" s="780" t="s">
        <v>589</v>
      </c>
      <c r="DW67" s="779">
        <v>0</v>
      </c>
      <c r="DX67" s="1626">
        <f t="shared" si="47"/>
        <v>0</v>
      </c>
      <c r="EA67" s="780" t="s">
        <v>376</v>
      </c>
      <c r="EB67" s="779">
        <v>37466343</v>
      </c>
      <c r="EC67" s="779">
        <v>22556112</v>
      </c>
      <c r="ED67" s="779">
        <v>22556112</v>
      </c>
      <c r="EE67" s="779">
        <v>14910231</v>
      </c>
      <c r="EF67" s="166">
        <f t="shared" si="48"/>
        <v>37466.343000000001</v>
      </c>
      <c r="EG67" s="166">
        <f t="shared" si="49"/>
        <v>22556.112000000001</v>
      </c>
      <c r="EH67" s="166">
        <f t="shared" si="50"/>
        <v>22556.112000000001</v>
      </c>
      <c r="EI67" s="166">
        <f t="shared" si="51"/>
        <v>14910.231</v>
      </c>
    </row>
    <row r="68" spans="1:139" ht="15" customHeight="1" x14ac:dyDescent="0.3">
      <c r="A68" s="1625" t="s">
        <v>378</v>
      </c>
      <c r="B68" s="891">
        <v>2322768000</v>
      </c>
      <c r="C68" s="891">
        <v>1020656579</v>
      </c>
      <c r="D68" s="891">
        <v>1302111421</v>
      </c>
      <c r="E68" s="891">
        <v>117051287</v>
      </c>
      <c r="F68" s="891">
        <f t="shared" ref="F68:F131" si="52">+B68/$H$1*$I$1</f>
        <v>2322768</v>
      </c>
      <c r="G68" s="891">
        <f t="shared" ref="G68:G131" si="53">+C68/$H$1*$I$1</f>
        <v>1020656.579</v>
      </c>
      <c r="H68" s="891">
        <f t="shared" ref="H68:H131" si="54">+D68/$H$1*$I$1</f>
        <v>1302111.4210000001</v>
      </c>
      <c r="I68" s="891">
        <f t="shared" ref="I68:I131" si="55">+E68/$H$1*$I$1</f>
        <v>117051.287</v>
      </c>
      <c r="L68" s="1625" t="s">
        <v>398</v>
      </c>
      <c r="M68" s="891">
        <v>0</v>
      </c>
      <c r="N68" s="891">
        <f t="shared" ref="N68:N96" si="56">+M68/$N$1*$O$1</f>
        <v>0</v>
      </c>
      <c r="Q68" s="1625" t="s">
        <v>378</v>
      </c>
      <c r="R68" s="891">
        <v>2322768000</v>
      </c>
      <c r="S68" s="891">
        <v>1152404153</v>
      </c>
      <c r="T68" s="891">
        <v>1170363847</v>
      </c>
      <c r="U68" s="891">
        <v>198206753</v>
      </c>
      <c r="V68" s="1622">
        <f t="shared" ref="V68:V131" si="57">+R68/$X$1*$Y$1</f>
        <v>2322768</v>
      </c>
      <c r="W68" s="1622">
        <f t="shared" ref="W68:W131" si="58">+S68/$X$1*$Y$1</f>
        <v>1152404.1529999999</v>
      </c>
      <c r="X68" s="1622">
        <f t="shared" ref="X68:X131" si="59">+T68/$X$1*$Y$1</f>
        <v>1170363.8470000001</v>
      </c>
      <c r="Y68" s="1622">
        <f t="shared" ref="Y68:Y131" si="60">+U68/$X$1*$Y$1</f>
        <v>198206.753</v>
      </c>
      <c r="AB68" s="1625" t="s">
        <v>592</v>
      </c>
      <c r="AC68" s="891">
        <v>0</v>
      </c>
      <c r="AD68" s="1622">
        <f t="shared" ref="AD68:AD124" si="61">+AC68/$AD$1*$AE$1</f>
        <v>0</v>
      </c>
      <c r="AG68" s="1625" t="s">
        <v>378</v>
      </c>
      <c r="AH68" s="891">
        <v>2332641000</v>
      </c>
      <c r="AI68" s="891">
        <v>489275357</v>
      </c>
      <c r="AJ68" s="891">
        <v>1797294634</v>
      </c>
      <c r="AK68" s="891">
        <v>535346366</v>
      </c>
      <c r="AL68" s="1622">
        <f t="shared" ref="AL68:AL131" si="62">+AH68/$AN$1*$AO$1</f>
        <v>2332641</v>
      </c>
      <c r="AM68" s="1622">
        <f t="shared" ref="AM68:AM131" si="63">+AI68/$AN$1*$AO$1</f>
        <v>489275.35700000002</v>
      </c>
      <c r="AN68" s="1622">
        <f t="shared" ref="AN68:AN131" si="64">+AJ68/$AN$1*$AO$1</f>
        <v>1797294.6340000001</v>
      </c>
      <c r="AO68" s="1622">
        <f t="shared" ref="AO68:AO131" si="65">+AK68/$AN$1*$AO$1</f>
        <v>535346.36600000004</v>
      </c>
      <c r="AR68" s="1625" t="s">
        <v>594</v>
      </c>
      <c r="AS68" s="1622">
        <v>715428</v>
      </c>
      <c r="AT68" s="1622">
        <f t="shared" ref="AT68:AT119" si="66">+AS68/$AS$1*$AT$1</f>
        <v>715.428</v>
      </c>
      <c r="AW68" s="1625" t="s">
        <v>378</v>
      </c>
      <c r="AX68" s="891">
        <v>2702641000</v>
      </c>
      <c r="AY68" s="891">
        <v>1952226096</v>
      </c>
      <c r="AZ68" s="891">
        <v>632164830</v>
      </c>
      <c r="BA68" s="891">
        <v>750414904</v>
      </c>
      <c r="BB68" s="1622">
        <f t="shared" ref="BB68:BB131" si="67">+AX68/$BD$1*$BE$1</f>
        <v>2702641</v>
      </c>
      <c r="BC68" s="1622">
        <f t="shared" ref="BC68:BC131" si="68">+AY68/$BD$1*$BE$1</f>
        <v>1952226.0959999999</v>
      </c>
      <c r="BD68" s="1622">
        <f t="shared" ref="BD68:BD131" si="69">+AZ68/$BD$1*$BE$1</f>
        <v>632164.82999999996</v>
      </c>
      <c r="BE68" s="1622">
        <f t="shared" ref="BE68:BE131" si="70">+BA68/$BD$1*$BE$1</f>
        <v>750414.90399999998</v>
      </c>
      <c r="BH68" s="1625" t="s">
        <v>597</v>
      </c>
      <c r="BI68" s="1622">
        <v>2221168</v>
      </c>
      <c r="BJ68" s="1622">
        <f t="shared" ref="BJ68:BJ106" si="71">+BI68/$BJ$1*$BK$1</f>
        <v>2221.1680000000001</v>
      </c>
      <c r="BM68" s="1625" t="s">
        <v>378</v>
      </c>
      <c r="BN68" s="1627">
        <v>4368739000</v>
      </c>
      <c r="BO68" s="1627">
        <v>790829887</v>
      </c>
      <c r="BP68" s="1627">
        <v>2374484373</v>
      </c>
      <c r="BQ68" s="1627">
        <v>1994254627</v>
      </c>
      <c r="BR68" s="1622">
        <f t="shared" ref="BR68:BR131" si="72">+BN68/$BU$1*$BV$1</f>
        <v>4368739</v>
      </c>
      <c r="BS68" s="1622">
        <f t="shared" ref="BS68:BS131" si="73">+BO68/$BU$1*$BV$1</f>
        <v>790829.88699999999</v>
      </c>
      <c r="BT68" s="1622">
        <f t="shared" ref="BT68:BT131" si="74">+BP68/$BU$1*$BV$1</f>
        <v>2374484.3730000001</v>
      </c>
      <c r="BU68" s="1622">
        <f t="shared" ref="BU68:BU131" si="75">+BQ68/$BU$1*$BV$1</f>
        <v>1994254.6270000001</v>
      </c>
      <c r="BX68" s="1624" t="s">
        <v>593</v>
      </c>
      <c r="BY68" s="1622">
        <v>518840</v>
      </c>
      <c r="BZ68" s="1622">
        <f t="shared" ref="BZ68:BZ122" si="76">+BY68/$BZ$1*$CA$1</f>
        <v>518.84</v>
      </c>
      <c r="CC68" s="1622" t="s">
        <v>377</v>
      </c>
      <c r="CD68" s="1622">
        <v>120000</v>
      </c>
      <c r="CE68" s="1622">
        <v>0</v>
      </c>
      <c r="CF68" s="1622">
        <v>0</v>
      </c>
      <c r="CG68" s="1622">
        <v>120000</v>
      </c>
      <c r="CH68" s="1622">
        <f t="shared" ref="CH68:CH131" si="77">+CD68/$CJ$1*$CK$1</f>
        <v>120</v>
      </c>
      <c r="CI68" s="1622">
        <f t="shared" ref="CI68:CI131" si="78">+CE68/$CJ$1*$CK$1</f>
        <v>0</v>
      </c>
      <c r="CJ68" s="1622">
        <f t="shared" ref="CJ68:CJ131" si="79">+CF68/$CJ$1*$CK$1</f>
        <v>0</v>
      </c>
      <c r="CK68" s="1622">
        <f t="shared" ref="CK68:CK131" si="80">+CG68/$CJ$1*$CK$1</f>
        <v>120</v>
      </c>
      <c r="CN68" s="1624" t="s">
        <v>592</v>
      </c>
      <c r="CO68" s="1622">
        <v>0</v>
      </c>
      <c r="CP68" s="1622">
        <f t="shared" ref="CP68:CP123" si="81">+CO68/$CP$1*$CQ$1</f>
        <v>0</v>
      </c>
      <c r="CS68" s="1625" t="s">
        <v>377</v>
      </c>
      <c r="CT68" s="891">
        <v>120000</v>
      </c>
      <c r="CU68" s="891">
        <v>0</v>
      </c>
      <c r="CV68" s="891">
        <v>0</v>
      </c>
      <c r="CW68" s="891">
        <v>120000</v>
      </c>
      <c r="CX68" s="1622">
        <f t="shared" ref="CX68:CX131" si="82">+CT68/$CZ$1*$DA$1</f>
        <v>120</v>
      </c>
      <c r="CY68" s="1622">
        <f t="shared" ref="CY68:CY131" si="83">+CU68/$CZ$1*$DA$1</f>
        <v>0</v>
      </c>
      <c r="CZ68" s="1622">
        <f t="shared" ref="CZ68:CZ131" si="84">+CV68/$CZ$1*$DA$1</f>
        <v>0</v>
      </c>
      <c r="DA68" s="1622">
        <f t="shared" ref="DA68:DA131" si="85">+CW68/$CZ$1*$DA$1</f>
        <v>120</v>
      </c>
      <c r="DD68" s="1624" t="s">
        <v>600</v>
      </c>
      <c r="DE68" s="1622">
        <v>0</v>
      </c>
      <c r="DF68" s="1622">
        <f t="shared" ref="DF68:DF102" si="86">+DE68/$DG$2*$DH$2</f>
        <v>0</v>
      </c>
      <c r="DJ68" s="1624" t="s">
        <v>377</v>
      </c>
      <c r="DK68" s="1622">
        <v>120000</v>
      </c>
      <c r="DL68" s="1622">
        <v>0</v>
      </c>
      <c r="DM68" s="1622">
        <v>120000</v>
      </c>
      <c r="DN68" s="1622">
        <v>0</v>
      </c>
      <c r="DO68" s="1622">
        <f t="shared" ref="DO68:DO131" si="87">+DK68/$DS$2*$DT$2</f>
        <v>120</v>
      </c>
      <c r="DP68" s="1622">
        <f t="shared" ref="DP68:DP131" si="88">+DL68/$DS$2*$DT$2</f>
        <v>0</v>
      </c>
      <c r="DQ68" s="1622">
        <f t="shared" ref="DQ68:DQ131" si="89">+DM68/$DS$2*$DT$2</f>
        <v>120</v>
      </c>
      <c r="DR68" s="1622">
        <f t="shared" ref="DR68:DR131" si="90">+DN68/$DS$2*$DT$2</f>
        <v>0</v>
      </c>
      <c r="DV68" s="780" t="s">
        <v>384</v>
      </c>
      <c r="DW68" s="779">
        <v>8364028</v>
      </c>
      <c r="DX68" s="1626">
        <f t="shared" ref="DX68:DX127" si="91">+DW68/$DX$1*$DY$1</f>
        <v>8364.0280000000002</v>
      </c>
      <c r="EA68" s="780" t="s">
        <v>377</v>
      </c>
      <c r="EB68" s="779">
        <v>420000</v>
      </c>
      <c r="EC68" s="779">
        <v>320000</v>
      </c>
      <c r="ED68" s="779">
        <v>320000</v>
      </c>
      <c r="EE68" s="779">
        <v>100000</v>
      </c>
      <c r="EF68" s="166">
        <f t="shared" ref="EF68:EF131" si="92">+EB68/$EH$1*$EI$1</f>
        <v>420</v>
      </c>
      <c r="EG68" s="166">
        <f t="shared" ref="EG68:EG131" si="93">+EC68/$EH$1*$EI$1</f>
        <v>320</v>
      </c>
      <c r="EH68" s="166">
        <f t="shared" ref="EH68:EH131" si="94">+ED68/$EH$1*$EI$1</f>
        <v>320</v>
      </c>
      <c r="EI68" s="166">
        <f t="shared" ref="EI68:EI131" si="95">+EE68/$EH$1*$EI$1</f>
        <v>100</v>
      </c>
    </row>
    <row r="69" spans="1:139" ht="15" customHeight="1" x14ac:dyDescent="0.3">
      <c r="A69" s="1625" t="s">
        <v>379</v>
      </c>
      <c r="B69" s="891">
        <v>21440000</v>
      </c>
      <c r="C69" s="891">
        <v>0</v>
      </c>
      <c r="D69" s="891">
        <v>21440000</v>
      </c>
      <c r="E69" s="891">
        <v>0</v>
      </c>
      <c r="F69" s="891">
        <f t="shared" si="52"/>
        <v>21440</v>
      </c>
      <c r="G69" s="891">
        <f t="shared" si="53"/>
        <v>0</v>
      </c>
      <c r="H69" s="891">
        <f t="shared" si="54"/>
        <v>21440</v>
      </c>
      <c r="I69" s="891">
        <f t="shared" si="55"/>
        <v>0</v>
      </c>
      <c r="L69" s="1625" t="s">
        <v>399</v>
      </c>
      <c r="M69" s="891">
        <v>131100</v>
      </c>
      <c r="N69" s="891">
        <f t="shared" si="56"/>
        <v>131.1</v>
      </c>
      <c r="Q69" s="1625" t="s">
        <v>379</v>
      </c>
      <c r="R69" s="891">
        <v>30621684</v>
      </c>
      <c r="S69" s="891">
        <v>10872577</v>
      </c>
      <c r="T69" s="891">
        <v>19749107</v>
      </c>
      <c r="U69" s="891">
        <v>7043385</v>
      </c>
      <c r="V69" s="1622">
        <f t="shared" si="57"/>
        <v>30621.684000000001</v>
      </c>
      <c r="W69" s="1622">
        <f t="shared" si="58"/>
        <v>10872.576999999999</v>
      </c>
      <c r="X69" s="1622">
        <f t="shared" si="59"/>
        <v>19749.107</v>
      </c>
      <c r="Y69" s="1622">
        <f t="shared" si="60"/>
        <v>7043.3850000000002</v>
      </c>
      <c r="AB69" s="1625" t="s">
        <v>593</v>
      </c>
      <c r="AC69" s="891">
        <v>150000</v>
      </c>
      <c r="AD69" s="1622">
        <f t="shared" si="61"/>
        <v>150</v>
      </c>
      <c r="AG69" s="1625" t="s">
        <v>379</v>
      </c>
      <c r="AH69" s="891">
        <v>27961223</v>
      </c>
      <c r="AI69" s="891">
        <v>7043385</v>
      </c>
      <c r="AJ69" s="891">
        <v>10872577</v>
      </c>
      <c r="AK69" s="891">
        <v>17088646</v>
      </c>
      <c r="AL69" s="1622">
        <f t="shared" si="62"/>
        <v>27961.223000000002</v>
      </c>
      <c r="AM69" s="1622">
        <f t="shared" si="63"/>
        <v>7043.3850000000002</v>
      </c>
      <c r="AN69" s="1622">
        <f t="shared" si="64"/>
        <v>10872.576999999999</v>
      </c>
      <c r="AO69" s="1622">
        <f t="shared" si="65"/>
        <v>17088.646000000001</v>
      </c>
      <c r="AR69" s="1625" t="s">
        <v>385</v>
      </c>
      <c r="AS69" s="1622">
        <v>3575783</v>
      </c>
      <c r="AT69" s="1622">
        <f t="shared" si="66"/>
        <v>3575.7829999999999</v>
      </c>
      <c r="AW69" s="1625" t="s">
        <v>379</v>
      </c>
      <c r="AX69" s="891">
        <v>29533501</v>
      </c>
      <c r="AY69" s="891">
        <v>26729491</v>
      </c>
      <c r="AZ69" s="891">
        <v>14587615</v>
      </c>
      <c r="BA69" s="891">
        <v>2804010</v>
      </c>
      <c r="BB69" s="1622">
        <f t="shared" si="67"/>
        <v>29533.501</v>
      </c>
      <c r="BC69" s="1622">
        <f t="shared" si="68"/>
        <v>26729.491000000002</v>
      </c>
      <c r="BD69" s="1622">
        <f t="shared" si="69"/>
        <v>14587.615</v>
      </c>
      <c r="BE69" s="1622">
        <f t="shared" si="70"/>
        <v>2804.01</v>
      </c>
      <c r="BH69" s="1625" t="s">
        <v>599</v>
      </c>
      <c r="BI69" s="1622">
        <v>202300</v>
      </c>
      <c r="BJ69" s="1622">
        <f t="shared" si="71"/>
        <v>202.3</v>
      </c>
      <c r="BM69" s="1625" t="s">
        <v>379</v>
      </c>
      <c r="BN69" s="1627">
        <v>29533501</v>
      </c>
      <c r="BO69" s="1627">
        <v>18416807</v>
      </c>
      <c r="BP69" s="1627">
        <v>26729491</v>
      </c>
      <c r="BQ69" s="1627">
        <v>2804010</v>
      </c>
      <c r="BR69" s="1622">
        <f t="shared" si="72"/>
        <v>29533.501</v>
      </c>
      <c r="BS69" s="1622">
        <f t="shared" si="73"/>
        <v>18416.807000000001</v>
      </c>
      <c r="BT69" s="1622">
        <f t="shared" si="74"/>
        <v>26729.491000000002</v>
      </c>
      <c r="BU69" s="1622">
        <f t="shared" si="75"/>
        <v>2804.01</v>
      </c>
      <c r="BX69" s="1624" t="s">
        <v>385</v>
      </c>
      <c r="BY69" s="1622">
        <v>1024979</v>
      </c>
      <c r="BZ69" s="1622">
        <f t="shared" si="76"/>
        <v>1024.979</v>
      </c>
      <c r="CC69" s="1622" t="s">
        <v>378</v>
      </c>
      <c r="CD69" s="1622">
        <v>4368739000</v>
      </c>
      <c r="CE69" s="1622">
        <v>994197045</v>
      </c>
      <c r="CF69" s="1622">
        <v>2670001951</v>
      </c>
      <c r="CG69" s="1622">
        <v>1698737049</v>
      </c>
      <c r="CH69" s="1622">
        <f t="shared" si="77"/>
        <v>4368739</v>
      </c>
      <c r="CI69" s="1622">
        <f t="shared" si="78"/>
        <v>994197.04500000004</v>
      </c>
      <c r="CJ69" s="1622">
        <f t="shared" si="79"/>
        <v>2670001.9509999999</v>
      </c>
      <c r="CK69" s="1622">
        <f t="shared" si="80"/>
        <v>1698737.0490000001</v>
      </c>
      <c r="CN69" s="1624" t="s">
        <v>593</v>
      </c>
      <c r="CO69" s="1622">
        <v>1175673</v>
      </c>
      <c r="CP69" s="1622">
        <f t="shared" si="81"/>
        <v>1175.673</v>
      </c>
      <c r="CS69" s="1625" t="s">
        <v>378</v>
      </c>
      <c r="CT69" s="891">
        <v>4638697000</v>
      </c>
      <c r="CU69" s="891">
        <v>1356517722</v>
      </c>
      <c r="CV69" s="891">
        <v>2733548391</v>
      </c>
      <c r="CW69" s="891">
        <v>1905148609</v>
      </c>
      <c r="CX69" s="1622">
        <f t="shared" si="82"/>
        <v>4638697</v>
      </c>
      <c r="CY69" s="1622">
        <f t="shared" si="83"/>
        <v>1356517.7220000001</v>
      </c>
      <c r="CZ69" s="1622">
        <f t="shared" si="84"/>
        <v>2733548.3909999998</v>
      </c>
      <c r="DA69" s="1622">
        <f t="shared" si="85"/>
        <v>1905148.6089999999</v>
      </c>
      <c r="DD69" s="1624" t="s">
        <v>397</v>
      </c>
      <c r="DE69" s="1622">
        <v>2589993</v>
      </c>
      <c r="DF69" s="1622">
        <f t="shared" si="86"/>
        <v>2589.9929999999999</v>
      </c>
      <c r="DJ69" s="1624" t="s">
        <v>378</v>
      </c>
      <c r="DK69" s="1622">
        <v>4638697000</v>
      </c>
      <c r="DL69" s="1622">
        <v>3122628628</v>
      </c>
      <c r="DM69" s="1622">
        <v>1516068372</v>
      </c>
      <c r="DN69" s="1622">
        <v>1994428703</v>
      </c>
      <c r="DO69" s="1622">
        <f t="shared" si="87"/>
        <v>4638697</v>
      </c>
      <c r="DP69" s="1622">
        <f t="shared" si="88"/>
        <v>3122628.628</v>
      </c>
      <c r="DQ69" s="1622">
        <f t="shared" si="89"/>
        <v>1516068.372</v>
      </c>
      <c r="DR69" s="1622">
        <f t="shared" si="90"/>
        <v>1994428.703</v>
      </c>
      <c r="DV69" s="780" t="s">
        <v>591</v>
      </c>
      <c r="DW69" s="779">
        <v>0</v>
      </c>
      <c r="DX69" s="1626">
        <f t="shared" si="91"/>
        <v>0</v>
      </c>
      <c r="EA69" s="780" t="s">
        <v>378</v>
      </c>
      <c r="EB69" s="779">
        <v>4638697000</v>
      </c>
      <c r="EC69" s="779">
        <v>2534536155</v>
      </c>
      <c r="ED69" s="779">
        <v>3834470865</v>
      </c>
      <c r="EE69" s="779">
        <v>804226135</v>
      </c>
      <c r="EF69" s="166">
        <f t="shared" si="92"/>
        <v>4638697</v>
      </c>
      <c r="EG69" s="166">
        <f t="shared" si="93"/>
        <v>2534536.1549999998</v>
      </c>
      <c r="EH69" s="166">
        <f t="shared" si="94"/>
        <v>3834470.8650000002</v>
      </c>
      <c r="EI69" s="166">
        <f t="shared" si="95"/>
        <v>804226.13500000001</v>
      </c>
    </row>
    <row r="70" spans="1:139" ht="15" customHeight="1" x14ac:dyDescent="0.3">
      <c r="A70" s="1625" t="s">
        <v>588</v>
      </c>
      <c r="B70" s="891">
        <v>18040000</v>
      </c>
      <c r="C70" s="891">
        <v>0</v>
      </c>
      <c r="D70" s="891">
        <v>18040000</v>
      </c>
      <c r="E70" s="891">
        <v>0</v>
      </c>
      <c r="F70" s="891">
        <f t="shared" si="52"/>
        <v>18040</v>
      </c>
      <c r="G70" s="891">
        <f t="shared" si="53"/>
        <v>0</v>
      </c>
      <c r="H70" s="891">
        <f t="shared" si="54"/>
        <v>18040</v>
      </c>
      <c r="I70" s="891">
        <f t="shared" si="55"/>
        <v>0</v>
      </c>
      <c r="L70" s="1625" t="s">
        <v>400</v>
      </c>
      <c r="M70" s="891">
        <v>18591753</v>
      </c>
      <c r="N70" s="891">
        <f t="shared" si="56"/>
        <v>18591.753000000001</v>
      </c>
      <c r="Q70" s="1625" t="s">
        <v>588</v>
      </c>
      <c r="R70" s="891">
        <v>19744080</v>
      </c>
      <c r="S70" s="891">
        <v>4579472</v>
      </c>
      <c r="T70" s="891">
        <v>15164608</v>
      </c>
      <c r="U70" s="891">
        <v>750280</v>
      </c>
      <c r="V70" s="1622">
        <f t="shared" si="57"/>
        <v>19744.080000000002</v>
      </c>
      <c r="W70" s="1622">
        <f t="shared" si="58"/>
        <v>4579.4719999999998</v>
      </c>
      <c r="X70" s="1622">
        <f t="shared" si="59"/>
        <v>15164.608</v>
      </c>
      <c r="Y70" s="1622">
        <f t="shared" si="60"/>
        <v>750.28</v>
      </c>
      <c r="AB70" s="1625" t="s">
        <v>385</v>
      </c>
      <c r="AC70" s="891">
        <v>0</v>
      </c>
      <c r="AD70" s="1622">
        <f t="shared" si="61"/>
        <v>0</v>
      </c>
      <c r="AG70" s="1625" t="s">
        <v>588</v>
      </c>
      <c r="AH70" s="891">
        <v>18268118</v>
      </c>
      <c r="AI70" s="891">
        <v>750280</v>
      </c>
      <c r="AJ70" s="891">
        <v>4579472</v>
      </c>
      <c r="AK70" s="891">
        <v>13688646</v>
      </c>
      <c r="AL70" s="1622">
        <f t="shared" si="62"/>
        <v>18268.117999999999</v>
      </c>
      <c r="AM70" s="1622">
        <f t="shared" si="63"/>
        <v>750.28</v>
      </c>
      <c r="AN70" s="1622">
        <f t="shared" si="64"/>
        <v>4579.4719999999998</v>
      </c>
      <c r="AO70" s="1622">
        <f t="shared" si="65"/>
        <v>13688.646000000001</v>
      </c>
      <c r="AR70" s="1625" t="s">
        <v>386</v>
      </c>
      <c r="AS70" s="1622">
        <v>0</v>
      </c>
      <c r="AT70" s="1622">
        <f t="shared" si="66"/>
        <v>0</v>
      </c>
      <c r="AW70" s="1625" t="s">
        <v>588</v>
      </c>
      <c r="AX70" s="891">
        <v>19840396</v>
      </c>
      <c r="AY70" s="891">
        <v>19006606</v>
      </c>
      <c r="AZ70" s="891">
        <v>6864730</v>
      </c>
      <c r="BA70" s="891">
        <v>833790</v>
      </c>
      <c r="BB70" s="1622">
        <f t="shared" si="67"/>
        <v>19840.396000000001</v>
      </c>
      <c r="BC70" s="1622">
        <f t="shared" si="68"/>
        <v>19006.606</v>
      </c>
      <c r="BD70" s="1622">
        <f t="shared" si="69"/>
        <v>6864.73</v>
      </c>
      <c r="BE70" s="1622">
        <f t="shared" si="70"/>
        <v>833.79</v>
      </c>
      <c r="BH70" s="1625" t="s">
        <v>397</v>
      </c>
      <c r="BI70" s="1622">
        <v>2271305</v>
      </c>
      <c r="BJ70" s="1622">
        <f t="shared" si="71"/>
        <v>2271.3049999999998</v>
      </c>
      <c r="BM70" s="1625" t="s">
        <v>588</v>
      </c>
      <c r="BN70" s="1627">
        <v>19840396</v>
      </c>
      <c r="BO70" s="1627">
        <v>10693922</v>
      </c>
      <c r="BP70" s="1627">
        <v>19006606</v>
      </c>
      <c r="BQ70" s="1627">
        <v>833790</v>
      </c>
      <c r="BR70" s="1622">
        <f t="shared" si="72"/>
        <v>19840.396000000001</v>
      </c>
      <c r="BS70" s="1622">
        <f t="shared" si="73"/>
        <v>10693.922</v>
      </c>
      <c r="BT70" s="1622">
        <f t="shared" si="74"/>
        <v>19006.606</v>
      </c>
      <c r="BU70" s="1622">
        <f t="shared" si="75"/>
        <v>833.79</v>
      </c>
      <c r="BX70" s="1624" t="s">
        <v>387</v>
      </c>
      <c r="BY70" s="1622">
        <v>15024783</v>
      </c>
      <c r="BZ70" s="1622">
        <f t="shared" si="76"/>
        <v>15024.782999999999</v>
      </c>
      <c r="CC70" s="1622" t="s">
        <v>379</v>
      </c>
      <c r="CD70" s="1622">
        <v>29205736</v>
      </c>
      <c r="CE70" s="1622">
        <v>26729491</v>
      </c>
      <c r="CF70" s="1622">
        <v>28761921</v>
      </c>
      <c r="CG70" s="1622">
        <v>443815</v>
      </c>
      <c r="CH70" s="1622">
        <f t="shared" si="77"/>
        <v>29205.736000000001</v>
      </c>
      <c r="CI70" s="1622">
        <f t="shared" si="78"/>
        <v>26729.491000000002</v>
      </c>
      <c r="CJ70" s="1622">
        <f t="shared" si="79"/>
        <v>28761.920999999998</v>
      </c>
      <c r="CK70" s="1622">
        <f t="shared" si="80"/>
        <v>443.815</v>
      </c>
      <c r="CN70" s="1624" t="s">
        <v>385</v>
      </c>
      <c r="CO70" s="1622">
        <v>1344105</v>
      </c>
      <c r="CP70" s="1622">
        <f t="shared" si="81"/>
        <v>1344.105</v>
      </c>
      <c r="CS70" s="1625" t="s">
        <v>379</v>
      </c>
      <c r="CT70" s="891">
        <v>29104272</v>
      </c>
      <c r="CU70" s="891">
        <v>26729491</v>
      </c>
      <c r="CV70" s="891">
        <v>29104272</v>
      </c>
      <c r="CW70" s="891">
        <v>0</v>
      </c>
      <c r="CX70" s="1622">
        <f t="shared" si="82"/>
        <v>29104.272000000001</v>
      </c>
      <c r="CY70" s="1622">
        <f t="shared" si="83"/>
        <v>26729.491000000002</v>
      </c>
      <c r="CZ70" s="1622">
        <f t="shared" si="84"/>
        <v>29104.272000000001</v>
      </c>
      <c r="DA70" s="1622">
        <f t="shared" si="85"/>
        <v>0</v>
      </c>
      <c r="DD70" s="1624" t="s">
        <v>398</v>
      </c>
      <c r="DE70" s="1622">
        <v>2234421</v>
      </c>
      <c r="DF70" s="1622">
        <f t="shared" si="86"/>
        <v>2234.4209999999998</v>
      </c>
      <c r="DJ70" s="1624" t="s">
        <v>379</v>
      </c>
      <c r="DK70" s="1622">
        <v>31101568</v>
      </c>
      <c r="DL70" s="1622">
        <v>30971736</v>
      </c>
      <c r="DM70" s="1622">
        <v>129832</v>
      </c>
      <c r="DN70" s="1622">
        <v>28761913</v>
      </c>
      <c r="DO70" s="1622">
        <f t="shared" si="87"/>
        <v>31101.567999999999</v>
      </c>
      <c r="DP70" s="1622">
        <f t="shared" si="88"/>
        <v>30971.736000000001</v>
      </c>
      <c r="DQ70" s="1622">
        <f t="shared" si="89"/>
        <v>129.83199999999999</v>
      </c>
      <c r="DR70" s="1622">
        <f t="shared" si="90"/>
        <v>28761.913</v>
      </c>
      <c r="DV70" s="780" t="s">
        <v>593</v>
      </c>
      <c r="DW70" s="779">
        <v>0</v>
      </c>
      <c r="DX70" s="1626">
        <f t="shared" si="91"/>
        <v>0</v>
      </c>
      <c r="EA70" s="780" t="s">
        <v>379</v>
      </c>
      <c r="EB70" s="779">
        <v>30971744</v>
      </c>
      <c r="EC70" s="779">
        <v>29104264</v>
      </c>
      <c r="ED70" s="779">
        <v>30971736</v>
      </c>
      <c r="EE70" s="779">
        <v>8</v>
      </c>
      <c r="EF70" s="166">
        <f t="shared" si="92"/>
        <v>30971.743999999999</v>
      </c>
      <c r="EG70" s="166">
        <f t="shared" si="93"/>
        <v>29104.263999999999</v>
      </c>
      <c r="EH70" s="166">
        <f t="shared" si="94"/>
        <v>30971.736000000001</v>
      </c>
      <c r="EI70" s="166">
        <f t="shared" si="95"/>
        <v>8.0000000000000002E-3</v>
      </c>
    </row>
    <row r="71" spans="1:139" ht="15" customHeight="1" x14ac:dyDescent="0.3">
      <c r="A71" s="1625" t="s">
        <v>380</v>
      </c>
      <c r="B71" s="891">
        <v>3400000</v>
      </c>
      <c r="C71" s="891">
        <v>0</v>
      </c>
      <c r="D71" s="891">
        <v>3400000</v>
      </c>
      <c r="E71" s="891">
        <v>0</v>
      </c>
      <c r="F71" s="891">
        <f t="shared" si="52"/>
        <v>3400</v>
      </c>
      <c r="G71" s="891">
        <f t="shared" si="53"/>
        <v>0</v>
      </c>
      <c r="H71" s="891">
        <f t="shared" si="54"/>
        <v>3400</v>
      </c>
      <c r="I71" s="891">
        <f t="shared" si="55"/>
        <v>0</v>
      </c>
      <c r="L71" s="1625" t="s">
        <v>401</v>
      </c>
      <c r="M71" s="891">
        <v>6957283</v>
      </c>
      <c r="N71" s="891">
        <f t="shared" si="56"/>
        <v>6957.2830000000004</v>
      </c>
      <c r="Q71" s="1625" t="s">
        <v>380</v>
      </c>
      <c r="R71" s="891">
        <v>10877604</v>
      </c>
      <c r="S71" s="891">
        <v>6293105</v>
      </c>
      <c r="T71" s="891">
        <v>4584499</v>
      </c>
      <c r="U71" s="891">
        <v>6293105</v>
      </c>
      <c r="V71" s="1622">
        <f t="shared" si="57"/>
        <v>10877.603999999999</v>
      </c>
      <c r="W71" s="1622">
        <f t="shared" si="58"/>
        <v>6293.1049999999996</v>
      </c>
      <c r="X71" s="1622">
        <f t="shared" si="59"/>
        <v>4584.4989999999998</v>
      </c>
      <c r="Y71" s="1622">
        <f t="shared" si="60"/>
        <v>6293.1049999999996</v>
      </c>
      <c r="AB71" s="1625" t="s">
        <v>386</v>
      </c>
      <c r="AC71" s="891">
        <v>0</v>
      </c>
      <c r="AD71" s="1622">
        <f t="shared" si="61"/>
        <v>0</v>
      </c>
      <c r="AG71" s="1625" t="s">
        <v>380</v>
      </c>
      <c r="AH71" s="891">
        <v>9693105</v>
      </c>
      <c r="AI71" s="891">
        <v>6293105</v>
      </c>
      <c r="AJ71" s="891">
        <v>6293105</v>
      </c>
      <c r="AK71" s="891">
        <v>3400000</v>
      </c>
      <c r="AL71" s="1622">
        <f t="shared" si="62"/>
        <v>9693.1049999999996</v>
      </c>
      <c r="AM71" s="1622">
        <f t="shared" si="63"/>
        <v>6293.1049999999996</v>
      </c>
      <c r="AN71" s="1622">
        <f t="shared" si="64"/>
        <v>6293.1049999999996</v>
      </c>
      <c r="AO71" s="1622">
        <f t="shared" si="65"/>
        <v>3400</v>
      </c>
      <c r="AR71" s="1625" t="s">
        <v>387</v>
      </c>
      <c r="AS71" s="1622">
        <v>12443246</v>
      </c>
      <c r="AT71" s="1622">
        <f t="shared" si="66"/>
        <v>12443.245999999999</v>
      </c>
      <c r="AW71" s="1625" t="s">
        <v>380</v>
      </c>
      <c r="AX71" s="891">
        <v>9693105</v>
      </c>
      <c r="AY71" s="891">
        <v>7722885</v>
      </c>
      <c r="AZ71" s="891">
        <v>7722885</v>
      </c>
      <c r="BA71" s="891">
        <v>1970220</v>
      </c>
      <c r="BB71" s="1622">
        <f t="shared" si="67"/>
        <v>9693.1049999999996</v>
      </c>
      <c r="BC71" s="1622">
        <f t="shared" si="68"/>
        <v>7722.8850000000002</v>
      </c>
      <c r="BD71" s="1622">
        <f t="shared" si="69"/>
        <v>7722.8850000000002</v>
      </c>
      <c r="BE71" s="1622">
        <f t="shared" si="70"/>
        <v>1970.22</v>
      </c>
      <c r="BH71" s="1625" t="s">
        <v>398</v>
      </c>
      <c r="BI71" s="1622">
        <v>2271305</v>
      </c>
      <c r="BJ71" s="1622">
        <f t="shared" si="71"/>
        <v>2271.3049999999998</v>
      </c>
      <c r="BM71" s="1625" t="s">
        <v>380</v>
      </c>
      <c r="BN71" s="1627">
        <v>9693105</v>
      </c>
      <c r="BO71" s="1627">
        <v>7722885</v>
      </c>
      <c r="BP71" s="1627">
        <v>7722885</v>
      </c>
      <c r="BQ71" s="1627">
        <v>1970220</v>
      </c>
      <c r="BR71" s="1622">
        <f t="shared" si="72"/>
        <v>9693.1049999999996</v>
      </c>
      <c r="BS71" s="1622">
        <f t="shared" si="73"/>
        <v>7722.8850000000002</v>
      </c>
      <c r="BT71" s="1622">
        <f t="shared" si="74"/>
        <v>7722.8850000000002</v>
      </c>
      <c r="BU71" s="1622">
        <f t="shared" si="75"/>
        <v>1970.22</v>
      </c>
      <c r="BX71" s="1624" t="s">
        <v>388</v>
      </c>
      <c r="BY71" s="1622">
        <v>824146</v>
      </c>
      <c r="BZ71" s="1622">
        <f t="shared" si="76"/>
        <v>824.14599999999996</v>
      </c>
      <c r="CC71" s="1622" t="s">
        <v>588</v>
      </c>
      <c r="CD71" s="1622">
        <v>20115951</v>
      </c>
      <c r="CE71" s="1622">
        <v>19006606</v>
      </c>
      <c r="CF71" s="1622">
        <v>19838021</v>
      </c>
      <c r="CG71" s="1622">
        <v>277930</v>
      </c>
      <c r="CH71" s="1622">
        <f t="shared" si="77"/>
        <v>20115.951000000001</v>
      </c>
      <c r="CI71" s="1622">
        <f t="shared" si="78"/>
        <v>19006.606</v>
      </c>
      <c r="CJ71" s="1622">
        <f t="shared" si="79"/>
        <v>19838.021000000001</v>
      </c>
      <c r="CK71" s="1622">
        <f t="shared" si="80"/>
        <v>277.93</v>
      </c>
      <c r="CN71" s="1624" t="s">
        <v>387</v>
      </c>
      <c r="CO71" s="1622">
        <v>13221701</v>
      </c>
      <c r="CP71" s="1622">
        <f t="shared" si="81"/>
        <v>13221.700999999999</v>
      </c>
      <c r="CS71" s="1625" t="s">
        <v>588</v>
      </c>
      <c r="CT71" s="891">
        <v>20180372</v>
      </c>
      <c r="CU71" s="891">
        <v>19006606</v>
      </c>
      <c r="CV71" s="891">
        <v>20180372</v>
      </c>
      <c r="CW71" s="891">
        <v>0</v>
      </c>
      <c r="CX71" s="1622">
        <f t="shared" si="82"/>
        <v>20180.371999999999</v>
      </c>
      <c r="CY71" s="1622">
        <f t="shared" si="83"/>
        <v>19006.606</v>
      </c>
      <c r="CZ71" s="1622">
        <f t="shared" si="84"/>
        <v>20180.371999999999</v>
      </c>
      <c r="DA71" s="1622">
        <f t="shared" si="85"/>
        <v>0</v>
      </c>
      <c r="DD71" s="1624" t="s">
        <v>399</v>
      </c>
      <c r="DE71" s="1622">
        <v>355572</v>
      </c>
      <c r="DF71" s="1622">
        <f t="shared" si="86"/>
        <v>355.572</v>
      </c>
      <c r="DJ71" s="1624" t="s">
        <v>588</v>
      </c>
      <c r="DK71" s="1622">
        <v>22177668</v>
      </c>
      <c r="DL71" s="1622">
        <v>22047840</v>
      </c>
      <c r="DM71" s="1622">
        <v>129828</v>
      </c>
      <c r="DN71" s="1622">
        <v>19838017</v>
      </c>
      <c r="DO71" s="1622">
        <f t="shared" si="87"/>
        <v>22177.668000000001</v>
      </c>
      <c r="DP71" s="1622">
        <f t="shared" si="88"/>
        <v>22047.84</v>
      </c>
      <c r="DQ71" s="1622">
        <f t="shared" si="89"/>
        <v>129.828</v>
      </c>
      <c r="DR71" s="1622">
        <f t="shared" si="90"/>
        <v>19838.017</v>
      </c>
      <c r="DV71" s="780" t="s">
        <v>385</v>
      </c>
      <c r="DW71" s="779">
        <v>1999557</v>
      </c>
      <c r="DX71" s="1626">
        <f t="shared" si="91"/>
        <v>1999.557</v>
      </c>
      <c r="EA71" s="780" t="s">
        <v>588</v>
      </c>
      <c r="EB71" s="779">
        <v>22047844</v>
      </c>
      <c r="EC71" s="779">
        <v>20180368</v>
      </c>
      <c r="ED71" s="779">
        <v>22047840</v>
      </c>
      <c r="EE71" s="779">
        <v>4</v>
      </c>
      <c r="EF71" s="166">
        <f t="shared" si="92"/>
        <v>22047.844000000001</v>
      </c>
      <c r="EG71" s="166">
        <f t="shared" si="93"/>
        <v>20180.367999999999</v>
      </c>
      <c r="EH71" s="166">
        <f t="shared" si="94"/>
        <v>22047.84</v>
      </c>
      <c r="EI71" s="166">
        <f t="shared" si="95"/>
        <v>4.0000000000000001E-3</v>
      </c>
    </row>
    <row r="72" spans="1:139" ht="15" customHeight="1" x14ac:dyDescent="0.3">
      <c r="A72" s="1625" t="s">
        <v>381</v>
      </c>
      <c r="B72" s="891">
        <v>17964190</v>
      </c>
      <c r="C72" s="891">
        <v>7269887</v>
      </c>
      <c r="D72" s="891">
        <v>10694303</v>
      </c>
      <c r="E72" s="891">
        <v>748690</v>
      </c>
      <c r="F72" s="891">
        <f t="shared" si="52"/>
        <v>17964.189999999999</v>
      </c>
      <c r="G72" s="891">
        <f t="shared" si="53"/>
        <v>7269.8869999999997</v>
      </c>
      <c r="H72" s="891">
        <f t="shared" si="54"/>
        <v>10694.303</v>
      </c>
      <c r="I72" s="891">
        <f t="shared" si="55"/>
        <v>748.69</v>
      </c>
      <c r="L72" s="1625" t="s">
        <v>493</v>
      </c>
      <c r="M72" s="891">
        <v>0</v>
      </c>
      <c r="N72" s="891">
        <f t="shared" si="56"/>
        <v>0</v>
      </c>
      <c r="Q72" s="1625" t="s">
        <v>381</v>
      </c>
      <c r="R72" s="891">
        <v>21766239</v>
      </c>
      <c r="S72" s="891">
        <v>11110402</v>
      </c>
      <c r="T72" s="891">
        <v>10655837</v>
      </c>
      <c r="U72" s="891">
        <v>5407623</v>
      </c>
      <c r="V72" s="1622">
        <f t="shared" si="57"/>
        <v>21766.239000000001</v>
      </c>
      <c r="W72" s="1622">
        <f t="shared" si="58"/>
        <v>11110.402</v>
      </c>
      <c r="X72" s="1622">
        <f t="shared" si="59"/>
        <v>10655.837</v>
      </c>
      <c r="Y72" s="1622">
        <f t="shared" si="60"/>
        <v>5407.6229999999996</v>
      </c>
      <c r="AB72" s="1625" t="s">
        <v>387</v>
      </c>
      <c r="AC72" s="891">
        <v>11024496</v>
      </c>
      <c r="AD72" s="1622">
        <f t="shared" si="61"/>
        <v>11024.495999999999</v>
      </c>
      <c r="AG72" s="1625" t="s">
        <v>381</v>
      </c>
      <c r="AH72" s="891">
        <v>22892484</v>
      </c>
      <c r="AI72" s="891">
        <v>10994541</v>
      </c>
      <c r="AJ72" s="891">
        <v>16014152</v>
      </c>
      <c r="AK72" s="891">
        <v>6878332</v>
      </c>
      <c r="AL72" s="1622">
        <f t="shared" si="62"/>
        <v>22892.484</v>
      </c>
      <c r="AM72" s="1622">
        <f t="shared" si="63"/>
        <v>10994.540999999999</v>
      </c>
      <c r="AN72" s="1622">
        <f t="shared" si="64"/>
        <v>16014.152</v>
      </c>
      <c r="AO72" s="1622">
        <f t="shared" si="65"/>
        <v>6878.3320000000003</v>
      </c>
      <c r="AR72" s="1625" t="s">
        <v>388</v>
      </c>
      <c r="AS72" s="1622">
        <v>592000</v>
      </c>
      <c r="AT72" s="1622">
        <f t="shared" si="66"/>
        <v>592</v>
      </c>
      <c r="AW72" s="1625" t="s">
        <v>381</v>
      </c>
      <c r="AX72" s="891">
        <v>29523751</v>
      </c>
      <c r="AY72" s="891">
        <v>26055214</v>
      </c>
      <c r="AZ72" s="891">
        <v>16607809</v>
      </c>
      <c r="BA72" s="891">
        <v>3468537</v>
      </c>
      <c r="BB72" s="1622">
        <f t="shared" si="67"/>
        <v>29523.751</v>
      </c>
      <c r="BC72" s="1622">
        <f t="shared" si="68"/>
        <v>26055.214</v>
      </c>
      <c r="BD72" s="1622">
        <f t="shared" si="69"/>
        <v>16607.809000000001</v>
      </c>
      <c r="BE72" s="1622">
        <f t="shared" si="70"/>
        <v>3468.5369999999998</v>
      </c>
      <c r="BH72" s="1625" t="s">
        <v>400</v>
      </c>
      <c r="BI72" s="1622">
        <v>33133714</v>
      </c>
      <c r="BJ72" s="1622">
        <f t="shared" si="71"/>
        <v>33133.714</v>
      </c>
      <c r="BM72" s="1625" t="s">
        <v>381</v>
      </c>
      <c r="BN72" s="1627">
        <v>41030433</v>
      </c>
      <c r="BO72" s="1627">
        <v>29646592</v>
      </c>
      <c r="BP72" s="1627">
        <v>34717914</v>
      </c>
      <c r="BQ72" s="1627">
        <v>6312519</v>
      </c>
      <c r="BR72" s="1622">
        <f t="shared" si="72"/>
        <v>41030.432999999997</v>
      </c>
      <c r="BS72" s="1622">
        <f t="shared" si="73"/>
        <v>29646.592000000001</v>
      </c>
      <c r="BT72" s="1622">
        <f t="shared" si="74"/>
        <v>34717.913999999997</v>
      </c>
      <c r="BU72" s="1622">
        <f t="shared" si="75"/>
        <v>6312.5190000000002</v>
      </c>
      <c r="BX72" s="1624" t="s">
        <v>389</v>
      </c>
      <c r="BY72" s="1622">
        <v>837611</v>
      </c>
      <c r="BZ72" s="1622">
        <f t="shared" si="76"/>
        <v>837.61099999999999</v>
      </c>
      <c r="CC72" s="1622" t="s">
        <v>380</v>
      </c>
      <c r="CD72" s="1622">
        <v>9089785</v>
      </c>
      <c r="CE72" s="1622">
        <v>7722885</v>
      </c>
      <c r="CF72" s="1622">
        <v>8923900</v>
      </c>
      <c r="CG72" s="1622">
        <v>165885</v>
      </c>
      <c r="CH72" s="1622">
        <f t="shared" si="77"/>
        <v>9089.7849999999999</v>
      </c>
      <c r="CI72" s="1622">
        <f t="shared" si="78"/>
        <v>7722.8850000000002</v>
      </c>
      <c r="CJ72" s="1622">
        <f t="shared" si="79"/>
        <v>8923.9</v>
      </c>
      <c r="CK72" s="1622">
        <f t="shared" si="80"/>
        <v>165.88499999999999</v>
      </c>
      <c r="CN72" s="1624" t="s">
        <v>388</v>
      </c>
      <c r="CO72" s="1622">
        <v>1085477</v>
      </c>
      <c r="CP72" s="1622">
        <f t="shared" si="81"/>
        <v>1085.4770000000001</v>
      </c>
      <c r="CS72" s="1625" t="s">
        <v>380</v>
      </c>
      <c r="CT72" s="891">
        <v>8923900</v>
      </c>
      <c r="CU72" s="891">
        <v>7722885</v>
      </c>
      <c r="CV72" s="891">
        <v>8923900</v>
      </c>
      <c r="CW72" s="891">
        <v>0</v>
      </c>
      <c r="CX72" s="1622">
        <f t="shared" si="82"/>
        <v>8923.9</v>
      </c>
      <c r="CY72" s="1622">
        <f t="shared" si="83"/>
        <v>7722.8850000000002</v>
      </c>
      <c r="CZ72" s="1622">
        <f t="shared" si="84"/>
        <v>8923.9</v>
      </c>
      <c r="DA72" s="1622">
        <f t="shared" si="85"/>
        <v>0</v>
      </c>
      <c r="DD72" s="1624" t="s">
        <v>400</v>
      </c>
      <c r="DE72" s="1622">
        <v>65652527</v>
      </c>
      <c r="DF72" s="1622">
        <f t="shared" si="86"/>
        <v>65652.527000000002</v>
      </c>
      <c r="DJ72" s="1624" t="s">
        <v>380</v>
      </c>
      <c r="DK72" s="1622">
        <v>8923900</v>
      </c>
      <c r="DL72" s="1622">
        <v>8923896</v>
      </c>
      <c r="DM72" s="1622">
        <v>4</v>
      </c>
      <c r="DN72" s="1622">
        <v>8923896</v>
      </c>
      <c r="DO72" s="1622">
        <f t="shared" si="87"/>
        <v>8923.9</v>
      </c>
      <c r="DP72" s="1622">
        <f t="shared" si="88"/>
        <v>8923.8960000000006</v>
      </c>
      <c r="DQ72" s="1622">
        <f t="shared" si="89"/>
        <v>4.0000000000000001E-3</v>
      </c>
      <c r="DR72" s="1622">
        <f t="shared" si="90"/>
        <v>8923.8960000000006</v>
      </c>
      <c r="DV72" s="780" t="s">
        <v>386</v>
      </c>
      <c r="DW72" s="779">
        <v>0</v>
      </c>
      <c r="DX72" s="1626">
        <f t="shared" si="91"/>
        <v>0</v>
      </c>
      <c r="EA72" s="780" t="s">
        <v>380</v>
      </c>
      <c r="EB72" s="779">
        <v>8923900</v>
      </c>
      <c r="EC72" s="779">
        <v>8923896</v>
      </c>
      <c r="ED72" s="779">
        <v>8923896</v>
      </c>
      <c r="EE72" s="779">
        <v>4</v>
      </c>
      <c r="EF72" s="166">
        <f t="shared" si="92"/>
        <v>8923.9</v>
      </c>
      <c r="EG72" s="166">
        <f t="shared" si="93"/>
        <v>8923.8960000000006</v>
      </c>
      <c r="EH72" s="166">
        <f t="shared" si="94"/>
        <v>8923.8960000000006</v>
      </c>
      <c r="EI72" s="166">
        <f t="shared" si="95"/>
        <v>4.0000000000000001E-3</v>
      </c>
    </row>
    <row r="73" spans="1:139" ht="15" customHeight="1" x14ac:dyDescent="0.3">
      <c r="A73" s="1625" t="s">
        <v>382</v>
      </c>
      <c r="B73" s="891">
        <v>3403898</v>
      </c>
      <c r="C73" s="891">
        <v>6990</v>
      </c>
      <c r="D73" s="891">
        <v>3396908</v>
      </c>
      <c r="E73" s="891">
        <v>6990</v>
      </c>
      <c r="F73" s="891">
        <f t="shared" si="52"/>
        <v>3403.8980000000001</v>
      </c>
      <c r="G73" s="891">
        <f t="shared" si="53"/>
        <v>6.99</v>
      </c>
      <c r="H73" s="891">
        <f t="shared" si="54"/>
        <v>3396.9079999999999</v>
      </c>
      <c r="I73" s="891">
        <f t="shared" si="55"/>
        <v>6.99</v>
      </c>
      <c r="L73" s="1625" t="s">
        <v>601</v>
      </c>
      <c r="M73" s="891">
        <v>7601569</v>
      </c>
      <c r="N73" s="891">
        <f t="shared" si="56"/>
        <v>7601.5690000000004</v>
      </c>
      <c r="Q73" s="1625" t="s">
        <v>382</v>
      </c>
      <c r="R73" s="891">
        <v>3403898</v>
      </c>
      <c r="S73" s="891">
        <v>579380</v>
      </c>
      <c r="T73" s="891">
        <v>2824518</v>
      </c>
      <c r="U73" s="891">
        <v>297350</v>
      </c>
      <c r="V73" s="1622">
        <f t="shared" si="57"/>
        <v>3403.8980000000001</v>
      </c>
      <c r="W73" s="1622">
        <f t="shared" si="58"/>
        <v>579.38</v>
      </c>
      <c r="X73" s="1622">
        <f t="shared" si="59"/>
        <v>2824.518</v>
      </c>
      <c r="Y73" s="1622">
        <f t="shared" si="60"/>
        <v>297.35000000000002</v>
      </c>
      <c r="AB73" s="1625" t="s">
        <v>388</v>
      </c>
      <c r="AC73" s="891">
        <v>1111140</v>
      </c>
      <c r="AD73" s="1622">
        <f t="shared" si="61"/>
        <v>1111.1400000000001</v>
      </c>
      <c r="AG73" s="1625" t="s">
        <v>382</v>
      </c>
      <c r="AH73" s="891">
        <v>3503898</v>
      </c>
      <c r="AI73" s="891">
        <v>397350</v>
      </c>
      <c r="AJ73" s="891">
        <v>1100640</v>
      </c>
      <c r="AK73" s="891">
        <v>2403258</v>
      </c>
      <c r="AL73" s="1622">
        <f t="shared" si="62"/>
        <v>3503.8980000000001</v>
      </c>
      <c r="AM73" s="1622">
        <f t="shared" si="63"/>
        <v>397.35</v>
      </c>
      <c r="AN73" s="1622">
        <f t="shared" si="64"/>
        <v>1100.6400000000001</v>
      </c>
      <c r="AO73" s="1622">
        <f t="shared" si="65"/>
        <v>2403.2579999999998</v>
      </c>
      <c r="AR73" s="1625" t="s">
        <v>389</v>
      </c>
      <c r="AS73" s="1622">
        <v>870483</v>
      </c>
      <c r="AT73" s="1622">
        <f t="shared" si="66"/>
        <v>870.48299999999995</v>
      </c>
      <c r="AW73" s="1625" t="s">
        <v>382</v>
      </c>
      <c r="AX73" s="891">
        <v>2427641</v>
      </c>
      <c r="AY73" s="891">
        <v>1134760</v>
      </c>
      <c r="AZ73" s="891">
        <v>852730</v>
      </c>
      <c r="BA73" s="891">
        <v>1292881</v>
      </c>
      <c r="BB73" s="1622">
        <f t="shared" si="67"/>
        <v>2427.6410000000001</v>
      </c>
      <c r="BC73" s="1622">
        <f t="shared" si="68"/>
        <v>1134.76</v>
      </c>
      <c r="BD73" s="1622">
        <f t="shared" si="69"/>
        <v>852.73</v>
      </c>
      <c r="BE73" s="1622">
        <f t="shared" si="70"/>
        <v>1292.8810000000001</v>
      </c>
      <c r="BH73" s="1625" t="s">
        <v>401</v>
      </c>
      <c r="BI73" s="1622">
        <v>7867763</v>
      </c>
      <c r="BJ73" s="1622">
        <f t="shared" si="71"/>
        <v>7867.7629999999999</v>
      </c>
      <c r="BM73" s="1625" t="s">
        <v>382</v>
      </c>
      <c r="BN73" s="1627">
        <v>4100755</v>
      </c>
      <c r="BO73" s="1627">
        <v>1224760</v>
      </c>
      <c r="BP73" s="1627">
        <v>4097756</v>
      </c>
      <c r="BQ73" s="1627">
        <v>2999</v>
      </c>
      <c r="BR73" s="1622">
        <f t="shared" si="72"/>
        <v>4100.7550000000001</v>
      </c>
      <c r="BS73" s="1622">
        <f t="shared" si="73"/>
        <v>1224.76</v>
      </c>
      <c r="BT73" s="1622">
        <f t="shared" si="74"/>
        <v>4097.7560000000003</v>
      </c>
      <c r="BU73" s="1622">
        <f t="shared" si="75"/>
        <v>2.9990000000000001</v>
      </c>
      <c r="BX73" s="1624" t="s">
        <v>390</v>
      </c>
      <c r="BY73" s="1622">
        <v>115850</v>
      </c>
      <c r="BZ73" s="1622">
        <f t="shared" si="76"/>
        <v>115.85</v>
      </c>
      <c r="CC73" s="1622" t="s">
        <v>381</v>
      </c>
      <c r="CD73" s="1622">
        <v>44012052</v>
      </c>
      <c r="CE73" s="1622">
        <v>34936007</v>
      </c>
      <c r="CF73" s="1622">
        <v>37995553</v>
      </c>
      <c r="CG73" s="1622">
        <v>6016499</v>
      </c>
      <c r="CH73" s="1622">
        <f t="shared" si="77"/>
        <v>44012.052000000003</v>
      </c>
      <c r="CI73" s="1622">
        <f t="shared" si="78"/>
        <v>34936.006999999998</v>
      </c>
      <c r="CJ73" s="1622">
        <f t="shared" si="79"/>
        <v>37995.553</v>
      </c>
      <c r="CK73" s="1622">
        <f t="shared" si="80"/>
        <v>6016.4989999999998</v>
      </c>
      <c r="CN73" s="1624" t="s">
        <v>389</v>
      </c>
      <c r="CO73" s="1622">
        <v>1452367</v>
      </c>
      <c r="CP73" s="1622">
        <f t="shared" si="81"/>
        <v>1452.367</v>
      </c>
      <c r="CS73" s="1625" t="s">
        <v>502</v>
      </c>
      <c r="CT73" s="891">
        <v>35000000</v>
      </c>
      <c r="CU73" s="891">
        <v>35000000</v>
      </c>
      <c r="CV73" s="891">
        <v>35000000</v>
      </c>
      <c r="CW73" s="891">
        <v>0</v>
      </c>
      <c r="CX73" s="1622">
        <f t="shared" si="82"/>
        <v>35000</v>
      </c>
      <c r="CY73" s="1622">
        <f t="shared" si="83"/>
        <v>35000</v>
      </c>
      <c r="CZ73" s="1622">
        <f t="shared" si="84"/>
        <v>35000</v>
      </c>
      <c r="DA73" s="1622">
        <f t="shared" si="85"/>
        <v>0</v>
      </c>
      <c r="DD73" s="1624" t="s">
        <v>401</v>
      </c>
      <c r="DE73" s="1622">
        <v>6808879</v>
      </c>
      <c r="DF73" s="1622">
        <f t="shared" si="86"/>
        <v>6808.8789999999999</v>
      </c>
      <c r="DJ73" s="1624" t="s">
        <v>502</v>
      </c>
      <c r="DK73" s="1622">
        <v>35000000</v>
      </c>
      <c r="DL73" s="1622">
        <v>35000000</v>
      </c>
      <c r="DM73" s="1622">
        <v>0</v>
      </c>
      <c r="DN73" s="1622">
        <v>35000000</v>
      </c>
      <c r="DO73" s="1622">
        <f t="shared" si="87"/>
        <v>35000</v>
      </c>
      <c r="DP73" s="1622">
        <f t="shared" si="88"/>
        <v>35000</v>
      </c>
      <c r="DQ73" s="1622">
        <f t="shared" si="89"/>
        <v>0</v>
      </c>
      <c r="DR73" s="1622">
        <f t="shared" si="90"/>
        <v>35000</v>
      </c>
      <c r="DV73" s="780" t="s">
        <v>387</v>
      </c>
      <c r="DW73" s="779">
        <v>17579655</v>
      </c>
      <c r="DX73" s="1626">
        <f t="shared" si="91"/>
        <v>17579.654999999999</v>
      </c>
      <c r="EA73" s="780" t="s">
        <v>502</v>
      </c>
      <c r="EB73" s="779">
        <v>70000000</v>
      </c>
      <c r="EC73" s="779">
        <v>70000000</v>
      </c>
      <c r="ED73" s="779">
        <v>70000000</v>
      </c>
      <c r="EE73" s="779">
        <v>0</v>
      </c>
      <c r="EF73" s="166">
        <f t="shared" si="92"/>
        <v>70000</v>
      </c>
      <c r="EG73" s="166">
        <f t="shared" si="93"/>
        <v>70000</v>
      </c>
      <c r="EH73" s="166">
        <f t="shared" si="94"/>
        <v>70000</v>
      </c>
      <c r="EI73" s="166">
        <f t="shared" si="95"/>
        <v>0</v>
      </c>
    </row>
    <row r="74" spans="1:139" ht="15" customHeight="1" x14ac:dyDescent="0.3">
      <c r="A74" s="1625" t="s">
        <v>882</v>
      </c>
      <c r="B74" s="891">
        <v>1</v>
      </c>
      <c r="C74" s="891">
        <v>0</v>
      </c>
      <c r="D74" s="891">
        <v>1</v>
      </c>
      <c r="E74" s="891">
        <v>0</v>
      </c>
      <c r="F74" s="891">
        <f t="shared" si="52"/>
        <v>1E-3</v>
      </c>
      <c r="G74" s="891">
        <f t="shared" si="53"/>
        <v>0</v>
      </c>
      <c r="H74" s="891">
        <f t="shared" si="54"/>
        <v>1E-3</v>
      </c>
      <c r="I74" s="891">
        <f t="shared" si="55"/>
        <v>0</v>
      </c>
      <c r="L74" s="1625" t="s">
        <v>602</v>
      </c>
      <c r="M74" s="891">
        <v>2494000</v>
      </c>
      <c r="N74" s="891">
        <f t="shared" si="56"/>
        <v>2494</v>
      </c>
      <c r="Q74" s="1625" t="s">
        <v>882</v>
      </c>
      <c r="R74" s="891">
        <v>1</v>
      </c>
      <c r="S74" s="891">
        <v>0</v>
      </c>
      <c r="T74" s="891">
        <v>1</v>
      </c>
      <c r="U74" s="891">
        <v>0</v>
      </c>
      <c r="V74" s="1622">
        <f t="shared" si="57"/>
        <v>1E-3</v>
      </c>
      <c r="W74" s="1622">
        <f t="shared" si="58"/>
        <v>0</v>
      </c>
      <c r="X74" s="1622">
        <f t="shared" si="59"/>
        <v>1E-3</v>
      </c>
      <c r="Y74" s="1622">
        <f t="shared" si="60"/>
        <v>0</v>
      </c>
      <c r="AB74" s="1625" t="s">
        <v>389</v>
      </c>
      <c r="AC74" s="891">
        <v>1010370</v>
      </c>
      <c r="AD74" s="1622">
        <f t="shared" si="61"/>
        <v>1010.37</v>
      </c>
      <c r="AG74" s="1625" t="s">
        <v>882</v>
      </c>
      <c r="AH74" s="891">
        <v>1</v>
      </c>
      <c r="AI74" s="891">
        <v>0</v>
      </c>
      <c r="AJ74" s="891">
        <v>0</v>
      </c>
      <c r="AK74" s="891">
        <v>1</v>
      </c>
      <c r="AL74" s="1622">
        <f t="shared" si="62"/>
        <v>1E-3</v>
      </c>
      <c r="AM74" s="1622">
        <f t="shared" si="63"/>
        <v>0</v>
      </c>
      <c r="AN74" s="1622">
        <f t="shared" si="64"/>
        <v>0</v>
      </c>
      <c r="AO74" s="1622">
        <f t="shared" si="65"/>
        <v>1E-3</v>
      </c>
      <c r="AR74" s="1625" t="s">
        <v>390</v>
      </c>
      <c r="AS74" s="1622">
        <v>84550</v>
      </c>
      <c r="AT74" s="1622">
        <f t="shared" si="66"/>
        <v>84.55</v>
      </c>
      <c r="AW74" s="1625" t="s">
        <v>882</v>
      </c>
      <c r="AX74" s="891">
        <v>1</v>
      </c>
      <c r="AY74" s="891">
        <v>0</v>
      </c>
      <c r="AZ74" s="891">
        <v>0</v>
      </c>
      <c r="BA74" s="891">
        <v>1</v>
      </c>
      <c r="BB74" s="1622">
        <f t="shared" si="67"/>
        <v>1E-3</v>
      </c>
      <c r="BC74" s="1622">
        <f t="shared" si="68"/>
        <v>0</v>
      </c>
      <c r="BD74" s="1622">
        <f t="shared" si="69"/>
        <v>0</v>
      </c>
      <c r="BE74" s="1622">
        <f t="shared" si="70"/>
        <v>1E-3</v>
      </c>
      <c r="BH74" s="1625" t="s">
        <v>601</v>
      </c>
      <c r="BI74" s="1622">
        <v>17955712</v>
      </c>
      <c r="BJ74" s="1622">
        <f t="shared" si="71"/>
        <v>17955.712</v>
      </c>
      <c r="BM74" s="1625" t="s">
        <v>882</v>
      </c>
      <c r="BN74" s="1627">
        <v>1</v>
      </c>
      <c r="BO74" s="1627">
        <v>0</v>
      </c>
      <c r="BP74" s="1627">
        <v>0</v>
      </c>
      <c r="BQ74" s="1627">
        <v>1</v>
      </c>
      <c r="BR74" s="1622">
        <f t="shared" si="72"/>
        <v>1E-3</v>
      </c>
      <c r="BS74" s="1622">
        <f t="shared" si="73"/>
        <v>0</v>
      </c>
      <c r="BT74" s="1622">
        <f t="shared" si="74"/>
        <v>0</v>
      </c>
      <c r="BU74" s="1622">
        <f t="shared" si="75"/>
        <v>1E-3</v>
      </c>
      <c r="BX74" s="1624" t="s">
        <v>391</v>
      </c>
      <c r="BY74" s="1622">
        <v>1510418</v>
      </c>
      <c r="BZ74" s="1622">
        <f t="shared" si="76"/>
        <v>1510.4179999999999</v>
      </c>
      <c r="CC74" s="1622" t="s">
        <v>382</v>
      </c>
      <c r="CD74" s="1622">
        <v>4335745</v>
      </c>
      <c r="CE74" s="1622">
        <v>3729222</v>
      </c>
      <c r="CF74" s="1622">
        <v>4332746</v>
      </c>
      <c r="CG74" s="1622">
        <v>2999</v>
      </c>
      <c r="CH74" s="1622">
        <f t="shared" si="77"/>
        <v>4335.7449999999999</v>
      </c>
      <c r="CI74" s="1622">
        <f t="shared" si="78"/>
        <v>3729.2220000000002</v>
      </c>
      <c r="CJ74" s="1622">
        <f t="shared" si="79"/>
        <v>4332.7460000000001</v>
      </c>
      <c r="CK74" s="1622">
        <f t="shared" si="80"/>
        <v>2.9990000000000001</v>
      </c>
      <c r="CN74" s="1624" t="s">
        <v>390</v>
      </c>
      <c r="CO74" s="1622">
        <v>302150</v>
      </c>
      <c r="CP74" s="1622">
        <f t="shared" si="81"/>
        <v>302.14999999999998</v>
      </c>
      <c r="CS74" s="1625" t="s">
        <v>503</v>
      </c>
      <c r="CT74" s="891">
        <v>35000000</v>
      </c>
      <c r="CU74" s="891">
        <v>35000000</v>
      </c>
      <c r="CV74" s="891">
        <v>35000000</v>
      </c>
      <c r="CW74" s="891">
        <v>0</v>
      </c>
      <c r="CX74" s="1622">
        <f t="shared" si="82"/>
        <v>35000</v>
      </c>
      <c r="CY74" s="1622">
        <f t="shared" si="83"/>
        <v>35000</v>
      </c>
      <c r="CZ74" s="1622">
        <f t="shared" si="84"/>
        <v>35000</v>
      </c>
      <c r="DA74" s="1622">
        <f t="shared" si="85"/>
        <v>0</v>
      </c>
      <c r="DD74" s="1624" t="s">
        <v>493</v>
      </c>
      <c r="DE74" s="1622">
        <v>0</v>
      </c>
      <c r="DF74" s="1622">
        <f t="shared" si="86"/>
        <v>0</v>
      </c>
      <c r="DJ74" s="1624" t="s">
        <v>503</v>
      </c>
      <c r="DK74" s="1622">
        <v>35000000</v>
      </c>
      <c r="DL74" s="1622">
        <v>35000000</v>
      </c>
      <c r="DM74" s="1622">
        <v>0</v>
      </c>
      <c r="DN74" s="1622">
        <v>35000000</v>
      </c>
      <c r="DO74" s="1622">
        <f t="shared" si="87"/>
        <v>35000</v>
      </c>
      <c r="DP74" s="1622">
        <f t="shared" si="88"/>
        <v>35000</v>
      </c>
      <c r="DQ74" s="1622">
        <f t="shared" si="89"/>
        <v>0</v>
      </c>
      <c r="DR74" s="1622">
        <f t="shared" si="90"/>
        <v>35000</v>
      </c>
      <c r="DV74" s="780" t="s">
        <v>388</v>
      </c>
      <c r="DW74" s="779">
        <v>940539</v>
      </c>
      <c r="DX74" s="1626">
        <f t="shared" si="91"/>
        <v>940.53899999999999</v>
      </c>
      <c r="EA74" s="780" t="s">
        <v>503</v>
      </c>
      <c r="EB74" s="779">
        <v>70000000</v>
      </c>
      <c r="EC74" s="779">
        <v>70000000</v>
      </c>
      <c r="ED74" s="779">
        <v>70000000</v>
      </c>
      <c r="EE74" s="779">
        <v>0</v>
      </c>
      <c r="EF74" s="166">
        <f t="shared" si="92"/>
        <v>70000</v>
      </c>
      <c r="EG74" s="166">
        <f t="shared" si="93"/>
        <v>70000</v>
      </c>
      <c r="EH74" s="166">
        <f t="shared" si="94"/>
        <v>70000</v>
      </c>
      <c r="EI74" s="166">
        <f t="shared" si="95"/>
        <v>0</v>
      </c>
    </row>
    <row r="75" spans="1:139" ht="15" customHeight="1" x14ac:dyDescent="0.3">
      <c r="A75" s="1625" t="s">
        <v>589</v>
      </c>
      <c r="B75" s="891">
        <v>1</v>
      </c>
      <c r="C75" s="891">
        <v>0</v>
      </c>
      <c r="D75" s="891">
        <v>1</v>
      </c>
      <c r="E75" s="891">
        <v>0</v>
      </c>
      <c r="F75" s="891">
        <f t="shared" si="52"/>
        <v>1E-3</v>
      </c>
      <c r="G75" s="891">
        <f t="shared" si="53"/>
        <v>0</v>
      </c>
      <c r="H75" s="891">
        <f t="shared" si="54"/>
        <v>1E-3</v>
      </c>
      <c r="I75" s="891">
        <f t="shared" si="55"/>
        <v>0</v>
      </c>
      <c r="L75" s="1625" t="s">
        <v>603</v>
      </c>
      <c r="M75" s="891">
        <v>765401</v>
      </c>
      <c r="N75" s="891">
        <f t="shared" si="56"/>
        <v>765.40099999999995</v>
      </c>
      <c r="Q75" s="1625" t="s">
        <v>589</v>
      </c>
      <c r="R75" s="891">
        <v>1606501</v>
      </c>
      <c r="S75" s="891">
        <v>1606500</v>
      </c>
      <c r="T75" s="891">
        <v>1</v>
      </c>
      <c r="U75" s="891">
        <v>1606500</v>
      </c>
      <c r="V75" s="1622">
        <f t="shared" si="57"/>
        <v>1606.501</v>
      </c>
      <c r="W75" s="1622">
        <f t="shared" si="58"/>
        <v>1606.5</v>
      </c>
      <c r="X75" s="1622">
        <f t="shared" si="59"/>
        <v>1E-3</v>
      </c>
      <c r="Y75" s="1622">
        <f t="shared" si="60"/>
        <v>1606.5</v>
      </c>
      <c r="AB75" s="1625" t="s">
        <v>390</v>
      </c>
      <c r="AC75" s="891">
        <v>0</v>
      </c>
      <c r="AD75" s="1622">
        <f t="shared" si="61"/>
        <v>0</v>
      </c>
      <c r="AG75" s="1625" t="s">
        <v>589</v>
      </c>
      <c r="AH75" s="891">
        <v>1606501</v>
      </c>
      <c r="AI75" s="891">
        <v>1606500</v>
      </c>
      <c r="AJ75" s="891">
        <v>1606500</v>
      </c>
      <c r="AK75" s="891">
        <v>1</v>
      </c>
      <c r="AL75" s="1622">
        <f t="shared" si="62"/>
        <v>1606.501</v>
      </c>
      <c r="AM75" s="1622">
        <f t="shared" si="63"/>
        <v>1606.5</v>
      </c>
      <c r="AN75" s="1622">
        <f t="shared" si="64"/>
        <v>1606.5</v>
      </c>
      <c r="AO75" s="1622">
        <f t="shared" si="65"/>
        <v>1E-3</v>
      </c>
      <c r="AR75" s="1625" t="s">
        <v>391</v>
      </c>
      <c r="AS75" s="1622">
        <v>1488795</v>
      </c>
      <c r="AT75" s="1622">
        <f t="shared" si="66"/>
        <v>1488.7950000000001</v>
      </c>
      <c r="AW75" s="1625" t="s">
        <v>589</v>
      </c>
      <c r="AX75" s="891">
        <v>1677900</v>
      </c>
      <c r="AY75" s="891">
        <v>1677900</v>
      </c>
      <c r="AZ75" s="891">
        <v>1606500</v>
      </c>
      <c r="BA75" s="891">
        <v>0</v>
      </c>
      <c r="BB75" s="1622">
        <f t="shared" si="67"/>
        <v>1677.9</v>
      </c>
      <c r="BC75" s="1622">
        <f t="shared" si="68"/>
        <v>1677.9</v>
      </c>
      <c r="BD75" s="1622">
        <f t="shared" si="69"/>
        <v>1606.5</v>
      </c>
      <c r="BE75" s="1622">
        <f t="shared" si="70"/>
        <v>0</v>
      </c>
      <c r="BH75" s="1625" t="s">
        <v>602</v>
      </c>
      <c r="BI75" s="1622">
        <v>6266490</v>
      </c>
      <c r="BJ75" s="1622">
        <f t="shared" si="71"/>
        <v>6266.49</v>
      </c>
      <c r="BM75" s="1625" t="s">
        <v>589</v>
      </c>
      <c r="BN75" s="1627">
        <v>1677900</v>
      </c>
      <c r="BO75" s="1627">
        <v>1677900</v>
      </c>
      <c r="BP75" s="1627">
        <v>1677900</v>
      </c>
      <c r="BQ75" s="1627">
        <v>0</v>
      </c>
      <c r="BR75" s="1622">
        <f t="shared" si="72"/>
        <v>1677.9</v>
      </c>
      <c r="BS75" s="1622">
        <f t="shared" si="73"/>
        <v>1677.9</v>
      </c>
      <c r="BT75" s="1622">
        <f t="shared" si="74"/>
        <v>1677.9</v>
      </c>
      <c r="BU75" s="1622">
        <f t="shared" si="75"/>
        <v>0</v>
      </c>
      <c r="BX75" s="1624" t="s">
        <v>392</v>
      </c>
      <c r="BY75" s="1622">
        <v>5465146</v>
      </c>
      <c r="BZ75" s="1622">
        <f t="shared" si="76"/>
        <v>5465.1459999999997</v>
      </c>
      <c r="CC75" s="1622" t="s">
        <v>882</v>
      </c>
      <c r="CD75" s="1622">
        <v>1</v>
      </c>
      <c r="CE75" s="1622">
        <v>0</v>
      </c>
      <c r="CF75" s="1622">
        <v>0</v>
      </c>
      <c r="CG75" s="1622">
        <v>1</v>
      </c>
      <c r="CH75" s="1622">
        <f t="shared" si="77"/>
        <v>1E-3</v>
      </c>
      <c r="CI75" s="1622">
        <f t="shared" si="78"/>
        <v>0</v>
      </c>
      <c r="CJ75" s="1622">
        <f t="shared" si="79"/>
        <v>0</v>
      </c>
      <c r="CK75" s="1622">
        <f t="shared" si="80"/>
        <v>1E-3</v>
      </c>
      <c r="CN75" s="1624" t="s">
        <v>391</v>
      </c>
      <c r="CO75" s="1622">
        <v>1306438</v>
      </c>
      <c r="CP75" s="1622">
        <f t="shared" si="81"/>
        <v>1306.4380000000001</v>
      </c>
      <c r="CS75" s="1625" t="s">
        <v>381</v>
      </c>
      <c r="CT75" s="891">
        <v>44312785</v>
      </c>
      <c r="CU75" s="891">
        <v>38532471</v>
      </c>
      <c r="CV75" s="891">
        <v>40164210</v>
      </c>
      <c r="CW75" s="891">
        <v>4148575</v>
      </c>
      <c r="CX75" s="1622">
        <f t="shared" si="82"/>
        <v>44312.785000000003</v>
      </c>
      <c r="CY75" s="1622">
        <f t="shared" si="83"/>
        <v>38532.470999999998</v>
      </c>
      <c r="CZ75" s="1622">
        <f t="shared" si="84"/>
        <v>40164.21</v>
      </c>
      <c r="DA75" s="1622">
        <f t="shared" si="85"/>
        <v>4148.5749999999998</v>
      </c>
      <c r="DD75" s="1624" t="s">
        <v>601</v>
      </c>
      <c r="DE75" s="1622">
        <v>11509001</v>
      </c>
      <c r="DF75" s="1622">
        <f t="shared" si="86"/>
        <v>11509.001</v>
      </c>
      <c r="DJ75" s="1624" t="s">
        <v>381</v>
      </c>
      <c r="DK75" s="1622">
        <v>68824544</v>
      </c>
      <c r="DL75" s="1622">
        <v>55300354</v>
      </c>
      <c r="DM75" s="1622">
        <v>13524190</v>
      </c>
      <c r="DN75" s="1622">
        <v>41418728</v>
      </c>
      <c r="DO75" s="1622">
        <f t="shared" si="87"/>
        <v>68824.543999999994</v>
      </c>
      <c r="DP75" s="1622">
        <f t="shared" si="88"/>
        <v>55300.353999999999</v>
      </c>
      <c r="DQ75" s="1622">
        <f t="shared" si="89"/>
        <v>13524.19</v>
      </c>
      <c r="DR75" s="1622">
        <f t="shared" si="90"/>
        <v>41418.728000000003</v>
      </c>
      <c r="DV75" s="780" t="s">
        <v>389</v>
      </c>
      <c r="DW75" s="779">
        <v>672360</v>
      </c>
      <c r="DX75" s="1626">
        <f t="shared" si="91"/>
        <v>672.36</v>
      </c>
      <c r="EA75" s="780" t="s">
        <v>381</v>
      </c>
      <c r="EB75" s="779">
        <v>73818565</v>
      </c>
      <c r="EC75" s="779">
        <v>58422127</v>
      </c>
      <c r="ED75" s="779">
        <v>61378046</v>
      </c>
      <c r="EE75" s="779">
        <v>12440519</v>
      </c>
      <c r="EF75" s="166">
        <f t="shared" si="92"/>
        <v>73818.565000000002</v>
      </c>
      <c r="EG75" s="166">
        <f t="shared" si="93"/>
        <v>58422.127</v>
      </c>
      <c r="EH75" s="166">
        <f t="shared" si="94"/>
        <v>61378.046000000002</v>
      </c>
      <c r="EI75" s="166">
        <f t="shared" si="95"/>
        <v>12440.519</v>
      </c>
    </row>
    <row r="76" spans="1:139" ht="15" customHeight="1" x14ac:dyDescent="0.3">
      <c r="A76" s="1625" t="s">
        <v>384</v>
      </c>
      <c r="B76" s="891">
        <v>5237070</v>
      </c>
      <c r="C76" s="891">
        <v>5192268</v>
      </c>
      <c r="D76" s="891">
        <v>44802</v>
      </c>
      <c r="E76" s="891">
        <v>0</v>
      </c>
      <c r="F76" s="891">
        <f t="shared" si="52"/>
        <v>5237.07</v>
      </c>
      <c r="G76" s="891">
        <f t="shared" si="53"/>
        <v>5192.268</v>
      </c>
      <c r="H76" s="891">
        <f t="shared" si="54"/>
        <v>44.802</v>
      </c>
      <c r="I76" s="891">
        <f t="shared" si="55"/>
        <v>0</v>
      </c>
      <c r="L76" s="1625" t="s">
        <v>402</v>
      </c>
      <c r="M76" s="891">
        <v>773500</v>
      </c>
      <c r="N76" s="891">
        <f t="shared" si="56"/>
        <v>773.5</v>
      </c>
      <c r="Q76" s="1625" t="s">
        <v>384</v>
      </c>
      <c r="R76" s="891">
        <v>5237070</v>
      </c>
      <c r="S76" s="891">
        <v>5192268</v>
      </c>
      <c r="T76" s="891">
        <v>44802</v>
      </c>
      <c r="U76" s="891">
        <v>0</v>
      </c>
      <c r="V76" s="1622">
        <f t="shared" si="57"/>
        <v>5237.07</v>
      </c>
      <c r="W76" s="1622">
        <f t="shared" si="58"/>
        <v>5192.268</v>
      </c>
      <c r="X76" s="1622">
        <f t="shared" si="59"/>
        <v>44.802</v>
      </c>
      <c r="Y76" s="1622">
        <f t="shared" si="60"/>
        <v>0</v>
      </c>
      <c r="AB76" s="1625" t="s">
        <v>391</v>
      </c>
      <c r="AC76" s="891">
        <v>591938</v>
      </c>
      <c r="AD76" s="1622">
        <f t="shared" si="61"/>
        <v>591.93799999999999</v>
      </c>
      <c r="AG76" s="1625" t="s">
        <v>384</v>
      </c>
      <c r="AH76" s="891">
        <v>5311510</v>
      </c>
      <c r="AI76" s="891">
        <v>5266708</v>
      </c>
      <c r="AJ76" s="891">
        <v>5266708</v>
      </c>
      <c r="AK76" s="891">
        <v>44802</v>
      </c>
      <c r="AL76" s="1622">
        <f t="shared" si="62"/>
        <v>5311.51</v>
      </c>
      <c r="AM76" s="1622">
        <f t="shared" si="63"/>
        <v>5266.7079999999996</v>
      </c>
      <c r="AN76" s="1622">
        <f t="shared" si="64"/>
        <v>5266.7079999999996</v>
      </c>
      <c r="AO76" s="1622">
        <f t="shared" si="65"/>
        <v>44.802</v>
      </c>
      <c r="AR76" s="1625" t="s">
        <v>392</v>
      </c>
      <c r="AS76" s="1622">
        <v>0</v>
      </c>
      <c r="AT76" s="1622">
        <f t="shared" si="66"/>
        <v>0</v>
      </c>
      <c r="AW76" s="1625" t="s">
        <v>384</v>
      </c>
      <c r="AX76" s="891">
        <v>13714399</v>
      </c>
      <c r="AY76" s="891">
        <v>13678098</v>
      </c>
      <c r="AZ76" s="891">
        <v>5392848</v>
      </c>
      <c r="BA76" s="891">
        <v>36301</v>
      </c>
      <c r="BB76" s="1622">
        <f t="shared" si="67"/>
        <v>13714.398999999999</v>
      </c>
      <c r="BC76" s="1622">
        <f t="shared" si="68"/>
        <v>13678.098</v>
      </c>
      <c r="BD76" s="1622">
        <f t="shared" si="69"/>
        <v>5392.848</v>
      </c>
      <c r="BE76" s="1622">
        <f t="shared" si="70"/>
        <v>36.301000000000002</v>
      </c>
      <c r="BH76" s="1625" t="s">
        <v>402</v>
      </c>
      <c r="BI76" s="1622">
        <v>1043749</v>
      </c>
      <c r="BJ76" s="1622">
        <f t="shared" si="71"/>
        <v>1043.749</v>
      </c>
      <c r="BM76" s="1625" t="s">
        <v>384</v>
      </c>
      <c r="BN76" s="1627">
        <v>18347622</v>
      </c>
      <c r="BO76" s="1627">
        <v>17106488</v>
      </c>
      <c r="BP76" s="1627">
        <v>17106488</v>
      </c>
      <c r="BQ76" s="1627">
        <v>1241134</v>
      </c>
      <c r="BR76" s="1622">
        <f t="shared" si="72"/>
        <v>18347.621999999999</v>
      </c>
      <c r="BS76" s="1622">
        <f t="shared" si="73"/>
        <v>17106.488000000001</v>
      </c>
      <c r="BT76" s="1622">
        <f t="shared" si="74"/>
        <v>17106.488000000001</v>
      </c>
      <c r="BU76" s="1622">
        <f t="shared" si="75"/>
        <v>1241.134</v>
      </c>
      <c r="BX76" s="1624" t="s">
        <v>595</v>
      </c>
      <c r="BY76" s="1622">
        <v>6271612</v>
      </c>
      <c r="BZ76" s="1622">
        <f t="shared" si="76"/>
        <v>6271.6120000000001</v>
      </c>
      <c r="CC76" s="1622" t="s">
        <v>589</v>
      </c>
      <c r="CD76" s="1622">
        <v>1677900</v>
      </c>
      <c r="CE76" s="1622">
        <v>1677900</v>
      </c>
      <c r="CF76" s="1622">
        <v>1677900</v>
      </c>
      <c r="CG76" s="1622">
        <v>0</v>
      </c>
      <c r="CH76" s="1622">
        <f t="shared" si="77"/>
        <v>1677.9</v>
      </c>
      <c r="CI76" s="1622">
        <f t="shared" si="78"/>
        <v>1677.9</v>
      </c>
      <c r="CJ76" s="1622">
        <f t="shared" si="79"/>
        <v>1677.9</v>
      </c>
      <c r="CK76" s="1622">
        <f t="shared" si="80"/>
        <v>0</v>
      </c>
      <c r="CN76" s="1624" t="s">
        <v>392</v>
      </c>
      <c r="CO76" s="1622">
        <v>5465146</v>
      </c>
      <c r="CP76" s="1622">
        <f t="shared" si="81"/>
        <v>5465.1459999999997</v>
      </c>
      <c r="CS76" s="1625" t="s">
        <v>382</v>
      </c>
      <c r="CT76" s="891">
        <v>4332746</v>
      </c>
      <c r="CU76" s="891">
        <v>4226761</v>
      </c>
      <c r="CV76" s="891">
        <v>4332746</v>
      </c>
      <c r="CW76" s="891">
        <v>0</v>
      </c>
      <c r="CX76" s="1622">
        <f t="shared" si="82"/>
        <v>4332.7460000000001</v>
      </c>
      <c r="CY76" s="1622">
        <f t="shared" si="83"/>
        <v>4226.7610000000004</v>
      </c>
      <c r="CZ76" s="1622">
        <f t="shared" si="84"/>
        <v>4332.7460000000001</v>
      </c>
      <c r="DA76" s="1622">
        <f t="shared" si="85"/>
        <v>0</v>
      </c>
      <c r="DD76" s="1624" t="s">
        <v>602</v>
      </c>
      <c r="DE76" s="1622">
        <v>5910000</v>
      </c>
      <c r="DF76" s="1622">
        <f t="shared" si="86"/>
        <v>5910</v>
      </c>
      <c r="DJ76" s="1624" t="s">
        <v>382</v>
      </c>
      <c r="DK76" s="1622">
        <v>10915875</v>
      </c>
      <c r="DL76" s="1622">
        <v>9185556</v>
      </c>
      <c r="DM76" s="1622">
        <v>1730319</v>
      </c>
      <c r="DN76" s="1622">
        <v>4226761</v>
      </c>
      <c r="DO76" s="1622">
        <f t="shared" si="87"/>
        <v>10915.875</v>
      </c>
      <c r="DP76" s="1622">
        <f t="shared" si="88"/>
        <v>9185.5560000000005</v>
      </c>
      <c r="DQ76" s="1622">
        <f t="shared" si="89"/>
        <v>1730.319</v>
      </c>
      <c r="DR76" s="1622">
        <f t="shared" si="90"/>
        <v>4226.7610000000004</v>
      </c>
      <c r="DV76" s="780" t="s">
        <v>390</v>
      </c>
      <c r="DW76" s="779">
        <v>0</v>
      </c>
      <c r="DX76" s="1626">
        <f t="shared" si="91"/>
        <v>0</v>
      </c>
      <c r="EA76" s="780" t="s">
        <v>382</v>
      </c>
      <c r="EB76" s="779">
        <v>12073163</v>
      </c>
      <c r="EC76" s="779">
        <v>10866575</v>
      </c>
      <c r="ED76" s="779">
        <v>12073163</v>
      </c>
      <c r="EE76" s="779">
        <v>0</v>
      </c>
      <c r="EF76" s="166">
        <f t="shared" si="92"/>
        <v>12073.163</v>
      </c>
      <c r="EG76" s="166">
        <f t="shared" si="93"/>
        <v>10866.575000000001</v>
      </c>
      <c r="EH76" s="166">
        <f t="shared" si="94"/>
        <v>12073.163</v>
      </c>
      <c r="EI76" s="166">
        <f t="shared" si="95"/>
        <v>0</v>
      </c>
    </row>
    <row r="77" spans="1:139" ht="15" customHeight="1" x14ac:dyDescent="0.3">
      <c r="A77" s="1625" t="s">
        <v>591</v>
      </c>
      <c r="B77" s="891">
        <v>3600000</v>
      </c>
      <c r="C77" s="891">
        <v>942929</v>
      </c>
      <c r="D77" s="891">
        <v>2657071</v>
      </c>
      <c r="E77" s="891">
        <v>0</v>
      </c>
      <c r="F77" s="891">
        <f t="shared" si="52"/>
        <v>3600</v>
      </c>
      <c r="G77" s="891">
        <f t="shared" si="53"/>
        <v>942.92899999999997</v>
      </c>
      <c r="H77" s="891">
        <f t="shared" si="54"/>
        <v>2657.0709999999999</v>
      </c>
      <c r="I77" s="891">
        <f t="shared" si="55"/>
        <v>0</v>
      </c>
      <c r="L77" s="1625" t="s">
        <v>403</v>
      </c>
      <c r="M77" s="891">
        <v>21363163</v>
      </c>
      <c r="N77" s="891">
        <f t="shared" si="56"/>
        <v>21363.163</v>
      </c>
      <c r="Q77" s="1625" t="s">
        <v>591</v>
      </c>
      <c r="R77" s="891">
        <v>2728480</v>
      </c>
      <c r="S77" s="891">
        <v>1168819</v>
      </c>
      <c r="T77" s="891">
        <v>1559661</v>
      </c>
      <c r="U77" s="891">
        <v>940338</v>
      </c>
      <c r="V77" s="1622">
        <f t="shared" si="57"/>
        <v>2728.48</v>
      </c>
      <c r="W77" s="1622">
        <f t="shared" si="58"/>
        <v>1168.819</v>
      </c>
      <c r="X77" s="1622">
        <f t="shared" si="59"/>
        <v>1559.6610000000001</v>
      </c>
      <c r="Y77" s="1622">
        <f t="shared" si="60"/>
        <v>940.33799999999997</v>
      </c>
      <c r="AB77" s="1625" t="s">
        <v>392</v>
      </c>
      <c r="AC77" s="891">
        <v>5465146</v>
      </c>
      <c r="AD77" s="1622">
        <f t="shared" si="61"/>
        <v>5465.1459999999997</v>
      </c>
      <c r="AG77" s="1625" t="s">
        <v>590</v>
      </c>
      <c r="AH77" s="891">
        <v>582267</v>
      </c>
      <c r="AI77" s="891">
        <v>0</v>
      </c>
      <c r="AJ77" s="891">
        <v>582267</v>
      </c>
      <c r="AK77" s="891">
        <v>0</v>
      </c>
      <c r="AL77" s="1622">
        <f t="shared" si="62"/>
        <v>582.26700000000005</v>
      </c>
      <c r="AM77" s="1622">
        <f t="shared" si="63"/>
        <v>0</v>
      </c>
      <c r="AN77" s="1622">
        <f t="shared" si="64"/>
        <v>582.26700000000005</v>
      </c>
      <c r="AO77" s="1622">
        <f t="shared" si="65"/>
        <v>0</v>
      </c>
      <c r="AR77" s="1625" t="s">
        <v>595</v>
      </c>
      <c r="AS77" s="1622">
        <v>9407418</v>
      </c>
      <c r="AT77" s="1622">
        <f t="shared" si="66"/>
        <v>9407.4179999999997</v>
      </c>
      <c r="AW77" s="1625" t="s">
        <v>590</v>
      </c>
      <c r="AX77" s="891">
        <v>582267</v>
      </c>
      <c r="AY77" s="891">
        <v>582267</v>
      </c>
      <c r="AZ77" s="891">
        <v>582267</v>
      </c>
      <c r="BA77" s="891">
        <v>0</v>
      </c>
      <c r="BB77" s="1622">
        <f t="shared" si="67"/>
        <v>582.26700000000005</v>
      </c>
      <c r="BC77" s="1622">
        <f t="shared" si="68"/>
        <v>582.26700000000005</v>
      </c>
      <c r="BD77" s="1622">
        <f t="shared" si="69"/>
        <v>582.26700000000005</v>
      </c>
      <c r="BE77" s="1622">
        <f t="shared" si="70"/>
        <v>0</v>
      </c>
      <c r="BH77" s="1625" t="s">
        <v>403</v>
      </c>
      <c r="BI77" s="1622">
        <v>69677483</v>
      </c>
      <c r="BJ77" s="1622">
        <f t="shared" si="71"/>
        <v>69677.482999999993</v>
      </c>
      <c r="BM77" s="1625" t="s">
        <v>590</v>
      </c>
      <c r="BN77" s="1627">
        <v>582267</v>
      </c>
      <c r="BO77" s="1627">
        <v>582267</v>
      </c>
      <c r="BP77" s="1627">
        <v>582267</v>
      </c>
      <c r="BQ77" s="1627">
        <v>0</v>
      </c>
      <c r="BR77" s="1622">
        <f t="shared" si="72"/>
        <v>582.26700000000005</v>
      </c>
      <c r="BS77" s="1622">
        <f t="shared" si="73"/>
        <v>582.26700000000005</v>
      </c>
      <c r="BT77" s="1622">
        <f t="shared" si="74"/>
        <v>582.26700000000005</v>
      </c>
      <c r="BU77" s="1622">
        <f t="shared" si="75"/>
        <v>0</v>
      </c>
      <c r="BX77" s="1624" t="s">
        <v>395</v>
      </c>
      <c r="BY77" s="1622">
        <v>5766995</v>
      </c>
      <c r="BZ77" s="1622">
        <f t="shared" si="76"/>
        <v>5766.9949999999999</v>
      </c>
      <c r="CC77" s="1622" t="s">
        <v>384</v>
      </c>
      <c r="CD77" s="1622">
        <v>18347622</v>
      </c>
      <c r="CE77" s="1622">
        <v>18347622</v>
      </c>
      <c r="CF77" s="1622">
        <v>18347622</v>
      </c>
      <c r="CG77" s="1622">
        <v>0</v>
      </c>
      <c r="CH77" s="1622">
        <f t="shared" si="77"/>
        <v>18347.621999999999</v>
      </c>
      <c r="CI77" s="1622">
        <f t="shared" si="78"/>
        <v>18347.621999999999</v>
      </c>
      <c r="CJ77" s="1622">
        <f t="shared" si="79"/>
        <v>18347.621999999999</v>
      </c>
      <c r="CK77" s="1622">
        <f t="shared" si="80"/>
        <v>0</v>
      </c>
      <c r="CN77" s="1624" t="s">
        <v>394</v>
      </c>
      <c r="CO77" s="1622">
        <v>474317</v>
      </c>
      <c r="CP77" s="1622">
        <f t="shared" si="81"/>
        <v>474.31700000000001</v>
      </c>
      <c r="CS77" s="1625" t="s">
        <v>882</v>
      </c>
      <c r="CT77" s="891">
        <v>0</v>
      </c>
      <c r="CU77" s="891">
        <v>0</v>
      </c>
      <c r="CV77" s="891">
        <v>0</v>
      </c>
      <c r="CW77" s="891">
        <v>0</v>
      </c>
      <c r="CX77" s="1622">
        <f t="shared" si="82"/>
        <v>0</v>
      </c>
      <c r="CY77" s="1622">
        <f t="shared" si="83"/>
        <v>0</v>
      </c>
      <c r="CZ77" s="1622">
        <f t="shared" si="84"/>
        <v>0</v>
      </c>
      <c r="DA77" s="1622">
        <f t="shared" si="85"/>
        <v>0</v>
      </c>
      <c r="DD77" s="1624" t="s">
        <v>402</v>
      </c>
      <c r="DE77" s="1622">
        <v>41424647</v>
      </c>
      <c r="DF77" s="1622">
        <f t="shared" si="86"/>
        <v>41424.646999999997</v>
      </c>
      <c r="DJ77" s="1624" t="s">
        <v>882</v>
      </c>
      <c r="DK77" s="1622">
        <v>0</v>
      </c>
      <c r="DL77" s="1622">
        <v>0</v>
      </c>
      <c r="DM77" s="1622">
        <v>0</v>
      </c>
      <c r="DN77" s="1622">
        <v>0</v>
      </c>
      <c r="DO77" s="1622">
        <f t="shared" si="87"/>
        <v>0</v>
      </c>
      <c r="DP77" s="1622">
        <f t="shared" si="88"/>
        <v>0</v>
      </c>
      <c r="DQ77" s="1622">
        <f t="shared" si="89"/>
        <v>0</v>
      </c>
      <c r="DR77" s="1622">
        <f t="shared" si="90"/>
        <v>0</v>
      </c>
      <c r="DV77" s="780" t="s">
        <v>391</v>
      </c>
      <c r="DW77" s="779">
        <v>1373090</v>
      </c>
      <c r="DX77" s="1626">
        <f t="shared" si="91"/>
        <v>1373.09</v>
      </c>
      <c r="EA77" s="780" t="s">
        <v>882</v>
      </c>
      <c r="EB77" s="779">
        <v>0</v>
      </c>
      <c r="EC77" s="779">
        <v>0</v>
      </c>
      <c r="ED77" s="779">
        <v>0</v>
      </c>
      <c r="EE77" s="779">
        <v>0</v>
      </c>
      <c r="EF77" s="166">
        <f t="shared" si="92"/>
        <v>0</v>
      </c>
      <c r="EG77" s="166">
        <f t="shared" si="93"/>
        <v>0</v>
      </c>
      <c r="EH77" s="166">
        <f t="shared" si="94"/>
        <v>0</v>
      </c>
      <c r="EI77" s="166">
        <f t="shared" si="95"/>
        <v>0</v>
      </c>
    </row>
    <row r="78" spans="1:139" ht="15" customHeight="1" x14ac:dyDescent="0.3">
      <c r="A78" s="1625" t="s">
        <v>592</v>
      </c>
      <c r="B78" s="891">
        <v>500000</v>
      </c>
      <c r="C78" s="891">
        <v>0</v>
      </c>
      <c r="D78" s="891">
        <v>500000</v>
      </c>
      <c r="E78" s="891">
        <v>0</v>
      </c>
      <c r="F78" s="891">
        <f t="shared" si="52"/>
        <v>500</v>
      </c>
      <c r="G78" s="891">
        <f t="shared" si="53"/>
        <v>0</v>
      </c>
      <c r="H78" s="891">
        <f t="shared" si="54"/>
        <v>500</v>
      </c>
      <c r="I78" s="891">
        <f t="shared" si="55"/>
        <v>0</v>
      </c>
      <c r="L78" s="1625" t="s">
        <v>404</v>
      </c>
      <c r="M78" s="891">
        <v>18596403</v>
      </c>
      <c r="N78" s="891">
        <f t="shared" si="56"/>
        <v>18596.402999999998</v>
      </c>
      <c r="Q78" s="1625" t="s">
        <v>592</v>
      </c>
      <c r="R78" s="891">
        <v>500000</v>
      </c>
      <c r="S78" s="891">
        <v>0</v>
      </c>
      <c r="T78" s="891">
        <v>500000</v>
      </c>
      <c r="U78" s="891">
        <v>0</v>
      </c>
      <c r="V78" s="1622">
        <f t="shared" si="57"/>
        <v>500</v>
      </c>
      <c r="W78" s="1622">
        <f t="shared" si="58"/>
        <v>0</v>
      </c>
      <c r="X78" s="1622">
        <f t="shared" si="59"/>
        <v>500</v>
      </c>
      <c r="Y78" s="1622">
        <f t="shared" si="60"/>
        <v>0</v>
      </c>
      <c r="AB78" s="1625" t="s">
        <v>393</v>
      </c>
      <c r="AC78" s="891">
        <v>0</v>
      </c>
      <c r="AD78" s="1622">
        <f t="shared" si="61"/>
        <v>0</v>
      </c>
      <c r="AG78" s="1625" t="s">
        <v>591</v>
      </c>
      <c r="AH78" s="891">
        <v>1168819</v>
      </c>
      <c r="AI78" s="891">
        <v>1010548</v>
      </c>
      <c r="AJ78" s="891">
        <v>1168819</v>
      </c>
      <c r="AK78" s="891">
        <v>0</v>
      </c>
      <c r="AL78" s="1622">
        <f t="shared" si="62"/>
        <v>1168.819</v>
      </c>
      <c r="AM78" s="1622">
        <f t="shared" si="63"/>
        <v>1010.548</v>
      </c>
      <c r="AN78" s="1622">
        <f t="shared" si="64"/>
        <v>1168.819</v>
      </c>
      <c r="AO78" s="1622">
        <f t="shared" si="65"/>
        <v>0</v>
      </c>
      <c r="AR78" s="1625" t="s">
        <v>395</v>
      </c>
      <c r="AS78" s="1622">
        <v>4051542</v>
      </c>
      <c r="AT78" s="1622">
        <f t="shared" si="66"/>
        <v>4051.5419999999999</v>
      </c>
      <c r="AW78" s="1625" t="s">
        <v>591</v>
      </c>
      <c r="AX78" s="891">
        <v>1168819</v>
      </c>
      <c r="AY78" s="891">
        <v>1168819</v>
      </c>
      <c r="AZ78" s="891">
        <v>1168818</v>
      </c>
      <c r="BA78" s="891">
        <v>0</v>
      </c>
      <c r="BB78" s="1622">
        <f t="shared" si="67"/>
        <v>1168.819</v>
      </c>
      <c r="BC78" s="1622">
        <f t="shared" si="68"/>
        <v>1168.819</v>
      </c>
      <c r="BD78" s="1622">
        <f t="shared" si="69"/>
        <v>1168.818</v>
      </c>
      <c r="BE78" s="1622">
        <f t="shared" si="70"/>
        <v>0</v>
      </c>
      <c r="BH78" s="1625" t="s">
        <v>404</v>
      </c>
      <c r="BI78" s="1622">
        <v>63726125</v>
      </c>
      <c r="BJ78" s="1622">
        <f t="shared" si="71"/>
        <v>63726.125</v>
      </c>
      <c r="BM78" s="1625" t="s">
        <v>591</v>
      </c>
      <c r="BN78" s="1627">
        <v>5119233</v>
      </c>
      <c r="BO78" s="1627">
        <v>1168818</v>
      </c>
      <c r="BP78" s="1627">
        <v>1168819</v>
      </c>
      <c r="BQ78" s="1627">
        <v>3950414</v>
      </c>
      <c r="BR78" s="1622">
        <f t="shared" si="72"/>
        <v>5119.2330000000002</v>
      </c>
      <c r="BS78" s="1622">
        <f t="shared" si="73"/>
        <v>1168.818</v>
      </c>
      <c r="BT78" s="1622">
        <f t="shared" si="74"/>
        <v>1168.819</v>
      </c>
      <c r="BU78" s="1622">
        <f t="shared" si="75"/>
        <v>3950.4140000000002</v>
      </c>
      <c r="BX78" s="1624" t="s">
        <v>596</v>
      </c>
      <c r="BY78" s="1622">
        <v>3529915</v>
      </c>
      <c r="BZ78" s="1622">
        <f t="shared" si="76"/>
        <v>3529.915</v>
      </c>
      <c r="CC78" s="1622" t="s">
        <v>590</v>
      </c>
      <c r="CD78" s="1622">
        <v>582267</v>
      </c>
      <c r="CE78" s="1622">
        <v>582267</v>
      </c>
      <c r="CF78" s="1622">
        <v>582267</v>
      </c>
      <c r="CG78" s="1622">
        <v>0</v>
      </c>
      <c r="CH78" s="1622">
        <f t="shared" si="77"/>
        <v>582.26700000000005</v>
      </c>
      <c r="CI78" s="1622">
        <f t="shared" si="78"/>
        <v>582.26700000000005</v>
      </c>
      <c r="CJ78" s="1622">
        <f t="shared" si="79"/>
        <v>582.26700000000005</v>
      </c>
      <c r="CK78" s="1622">
        <f t="shared" si="80"/>
        <v>0</v>
      </c>
      <c r="CN78" s="1624" t="s">
        <v>595</v>
      </c>
      <c r="CO78" s="1622">
        <v>3135806</v>
      </c>
      <c r="CP78" s="1622">
        <f t="shared" si="81"/>
        <v>3135.806</v>
      </c>
      <c r="CS78" s="1625" t="s">
        <v>589</v>
      </c>
      <c r="CT78" s="891">
        <v>2507047</v>
      </c>
      <c r="CU78" s="891">
        <v>1677900</v>
      </c>
      <c r="CV78" s="891">
        <v>2507047</v>
      </c>
      <c r="CW78" s="891">
        <v>0</v>
      </c>
      <c r="CX78" s="1622">
        <f t="shared" si="82"/>
        <v>2507.047</v>
      </c>
      <c r="CY78" s="1622">
        <f t="shared" si="83"/>
        <v>1677.9</v>
      </c>
      <c r="CZ78" s="1622">
        <f t="shared" si="84"/>
        <v>2507.047</v>
      </c>
      <c r="DA78" s="1622">
        <f t="shared" si="85"/>
        <v>0</v>
      </c>
      <c r="DD78" s="1624" t="s">
        <v>403</v>
      </c>
      <c r="DE78" s="1622">
        <v>80904206</v>
      </c>
      <c r="DF78" s="1622">
        <f t="shared" si="86"/>
        <v>80904.206000000006</v>
      </c>
      <c r="DJ78" s="1624" t="s">
        <v>589</v>
      </c>
      <c r="DK78" s="1622">
        <v>2507047</v>
      </c>
      <c r="DL78" s="1622">
        <v>2507047</v>
      </c>
      <c r="DM78" s="1622">
        <v>0</v>
      </c>
      <c r="DN78" s="1622">
        <v>2507047</v>
      </c>
      <c r="DO78" s="1622">
        <f t="shared" si="87"/>
        <v>2507.047</v>
      </c>
      <c r="DP78" s="1622">
        <f t="shared" si="88"/>
        <v>2507.047</v>
      </c>
      <c r="DQ78" s="1622">
        <f t="shared" si="89"/>
        <v>0</v>
      </c>
      <c r="DR78" s="1622">
        <f t="shared" si="90"/>
        <v>2507.047</v>
      </c>
      <c r="DV78" s="780" t="s">
        <v>392</v>
      </c>
      <c r="DW78" s="779">
        <v>5465146</v>
      </c>
      <c r="DX78" s="1626">
        <f t="shared" si="91"/>
        <v>5465.1459999999997</v>
      </c>
      <c r="EA78" s="780" t="s">
        <v>589</v>
      </c>
      <c r="EB78" s="779">
        <v>2507047</v>
      </c>
      <c r="EC78" s="779">
        <v>2507047</v>
      </c>
      <c r="ED78" s="779">
        <v>2507047</v>
      </c>
      <c r="EE78" s="779">
        <v>0</v>
      </c>
      <c r="EF78" s="166">
        <f t="shared" si="92"/>
        <v>2507.047</v>
      </c>
      <c r="EG78" s="166">
        <f t="shared" si="93"/>
        <v>2507.047</v>
      </c>
      <c r="EH78" s="166">
        <f t="shared" si="94"/>
        <v>2507.047</v>
      </c>
      <c r="EI78" s="166">
        <f t="shared" si="95"/>
        <v>0</v>
      </c>
    </row>
    <row r="79" spans="1:139" ht="15" customHeight="1" x14ac:dyDescent="0.3">
      <c r="A79" s="1625" t="s">
        <v>593</v>
      </c>
      <c r="B79" s="891">
        <v>5147900</v>
      </c>
      <c r="C79" s="891">
        <v>1127700</v>
      </c>
      <c r="D79" s="891">
        <v>4020200</v>
      </c>
      <c r="E79" s="891">
        <v>741700</v>
      </c>
      <c r="F79" s="891">
        <f t="shared" si="52"/>
        <v>5147.8999999999996</v>
      </c>
      <c r="G79" s="891">
        <f t="shared" si="53"/>
        <v>1127.7</v>
      </c>
      <c r="H79" s="891">
        <f t="shared" si="54"/>
        <v>4020.2</v>
      </c>
      <c r="I79" s="891">
        <f t="shared" si="55"/>
        <v>741.7</v>
      </c>
      <c r="L79" s="1625" t="s">
        <v>604</v>
      </c>
      <c r="M79" s="891">
        <v>1725510</v>
      </c>
      <c r="N79" s="891">
        <f t="shared" si="56"/>
        <v>1725.51</v>
      </c>
      <c r="Q79" s="1625" t="s">
        <v>593</v>
      </c>
      <c r="R79" s="891">
        <v>5147900</v>
      </c>
      <c r="S79" s="891">
        <v>1127700</v>
      </c>
      <c r="T79" s="891">
        <v>4020200</v>
      </c>
      <c r="U79" s="891">
        <v>1127700</v>
      </c>
      <c r="V79" s="1622">
        <f t="shared" si="57"/>
        <v>5147.8999999999996</v>
      </c>
      <c r="W79" s="1622">
        <f t="shared" si="58"/>
        <v>1127.7</v>
      </c>
      <c r="X79" s="1622">
        <f t="shared" si="59"/>
        <v>4020.2</v>
      </c>
      <c r="Y79" s="1622">
        <f t="shared" si="60"/>
        <v>1127.7</v>
      </c>
      <c r="AB79" s="1625" t="s">
        <v>394</v>
      </c>
      <c r="AC79" s="891">
        <v>2845902</v>
      </c>
      <c r="AD79" s="1622">
        <f t="shared" si="61"/>
        <v>2845.902</v>
      </c>
      <c r="AG79" s="1625" t="s">
        <v>592</v>
      </c>
      <c r="AH79" s="891">
        <v>500000</v>
      </c>
      <c r="AI79" s="891">
        <v>0</v>
      </c>
      <c r="AJ79" s="891">
        <v>0</v>
      </c>
      <c r="AK79" s="891">
        <v>500000</v>
      </c>
      <c r="AL79" s="1622">
        <f t="shared" si="62"/>
        <v>500</v>
      </c>
      <c r="AM79" s="1622">
        <f t="shared" si="63"/>
        <v>0</v>
      </c>
      <c r="AN79" s="1622">
        <f t="shared" si="64"/>
        <v>0</v>
      </c>
      <c r="AO79" s="1622">
        <f t="shared" si="65"/>
        <v>500</v>
      </c>
      <c r="AR79" s="1625" t="s">
        <v>596</v>
      </c>
      <c r="AS79" s="1622">
        <v>1729974</v>
      </c>
      <c r="AT79" s="1622">
        <f t="shared" si="66"/>
        <v>1729.9739999999999</v>
      </c>
      <c r="AW79" s="1625" t="s">
        <v>592</v>
      </c>
      <c r="AX79" s="891">
        <v>100000</v>
      </c>
      <c r="AY79" s="891">
        <v>0</v>
      </c>
      <c r="AZ79" s="891">
        <v>0</v>
      </c>
      <c r="BA79" s="891">
        <v>100000</v>
      </c>
      <c r="BB79" s="1622">
        <f t="shared" si="67"/>
        <v>100</v>
      </c>
      <c r="BC79" s="1622">
        <f t="shared" si="68"/>
        <v>0</v>
      </c>
      <c r="BD79" s="1622">
        <f t="shared" si="69"/>
        <v>0</v>
      </c>
      <c r="BE79" s="1622">
        <f t="shared" si="70"/>
        <v>100</v>
      </c>
      <c r="BH79" s="1625" t="s">
        <v>604</v>
      </c>
      <c r="BI79" s="1622">
        <v>0</v>
      </c>
      <c r="BJ79" s="1622">
        <f t="shared" si="71"/>
        <v>0</v>
      </c>
      <c r="BM79" s="1625" t="s">
        <v>592</v>
      </c>
      <c r="BN79" s="1627">
        <v>196409</v>
      </c>
      <c r="BO79" s="1627">
        <v>0</v>
      </c>
      <c r="BP79" s="1627">
        <v>196409</v>
      </c>
      <c r="BQ79" s="1627">
        <v>0</v>
      </c>
      <c r="BR79" s="1622">
        <f t="shared" si="72"/>
        <v>196.40899999999999</v>
      </c>
      <c r="BS79" s="1622">
        <f t="shared" si="73"/>
        <v>0</v>
      </c>
      <c r="BT79" s="1622">
        <f t="shared" si="74"/>
        <v>196.40899999999999</v>
      </c>
      <c r="BU79" s="1622">
        <f t="shared" si="75"/>
        <v>0</v>
      </c>
      <c r="BX79" s="1624" t="s">
        <v>597</v>
      </c>
      <c r="BY79" s="1622">
        <v>780570</v>
      </c>
      <c r="BZ79" s="1622">
        <f t="shared" si="76"/>
        <v>780.57</v>
      </c>
      <c r="CC79" s="1622" t="s">
        <v>591</v>
      </c>
      <c r="CD79" s="1622">
        <v>5919233</v>
      </c>
      <c r="CE79" s="1622">
        <v>1168818</v>
      </c>
      <c r="CF79" s="1622">
        <v>1168819</v>
      </c>
      <c r="CG79" s="1622">
        <v>4750414</v>
      </c>
      <c r="CH79" s="1622">
        <f t="shared" si="77"/>
        <v>5919.2330000000002</v>
      </c>
      <c r="CI79" s="1622">
        <f t="shared" si="78"/>
        <v>1168.818</v>
      </c>
      <c r="CJ79" s="1622">
        <f t="shared" si="79"/>
        <v>1168.819</v>
      </c>
      <c r="CK79" s="1622">
        <f t="shared" si="80"/>
        <v>4750.4139999999998</v>
      </c>
      <c r="CN79" s="1624" t="s">
        <v>395</v>
      </c>
      <c r="CO79" s="1622">
        <v>13413147</v>
      </c>
      <c r="CP79" s="1622">
        <f t="shared" si="81"/>
        <v>13413.147000000001</v>
      </c>
      <c r="CS79" s="1625" t="s">
        <v>384</v>
      </c>
      <c r="CT79" s="891">
        <v>18347622</v>
      </c>
      <c r="CU79" s="891">
        <v>18347622</v>
      </c>
      <c r="CV79" s="891">
        <v>18347622</v>
      </c>
      <c r="CW79" s="891">
        <v>0</v>
      </c>
      <c r="CX79" s="1622">
        <f t="shared" si="82"/>
        <v>18347.621999999999</v>
      </c>
      <c r="CY79" s="1622">
        <f t="shared" si="83"/>
        <v>18347.621999999999</v>
      </c>
      <c r="CZ79" s="1622">
        <f t="shared" si="84"/>
        <v>18347.621999999999</v>
      </c>
      <c r="DA79" s="1622">
        <f t="shared" si="85"/>
        <v>0</v>
      </c>
      <c r="DD79" s="1624" t="s">
        <v>404</v>
      </c>
      <c r="DE79" s="1622">
        <v>61600572</v>
      </c>
      <c r="DF79" s="1622">
        <f t="shared" si="86"/>
        <v>61600.572</v>
      </c>
      <c r="DJ79" s="1624" t="s">
        <v>384</v>
      </c>
      <c r="DK79" s="1622">
        <v>26807213</v>
      </c>
      <c r="DL79" s="1622">
        <v>26801650</v>
      </c>
      <c r="DM79" s="1622">
        <v>5563</v>
      </c>
      <c r="DN79" s="1622">
        <v>18437622</v>
      </c>
      <c r="DO79" s="1622">
        <f t="shared" si="87"/>
        <v>26807.213</v>
      </c>
      <c r="DP79" s="1622">
        <f t="shared" si="88"/>
        <v>26801.65</v>
      </c>
      <c r="DQ79" s="1622">
        <f t="shared" si="89"/>
        <v>5.5629999999999997</v>
      </c>
      <c r="DR79" s="1622">
        <f t="shared" si="90"/>
        <v>18437.621999999999</v>
      </c>
      <c r="DV79" s="780" t="s">
        <v>393</v>
      </c>
      <c r="DW79" s="779">
        <v>5044080</v>
      </c>
      <c r="DX79" s="1626">
        <f t="shared" si="91"/>
        <v>5044.08</v>
      </c>
      <c r="EA79" s="780" t="s">
        <v>384</v>
      </c>
      <c r="EB79" s="779">
        <v>26801650</v>
      </c>
      <c r="EC79" s="779">
        <v>26801650</v>
      </c>
      <c r="ED79" s="779">
        <v>26801650</v>
      </c>
      <c r="EE79" s="779">
        <v>0</v>
      </c>
      <c r="EF79" s="166">
        <f t="shared" si="92"/>
        <v>26801.65</v>
      </c>
      <c r="EG79" s="166">
        <f t="shared" si="93"/>
        <v>26801.65</v>
      </c>
      <c r="EH79" s="166">
        <f t="shared" si="94"/>
        <v>26801.65</v>
      </c>
      <c r="EI79" s="166">
        <f t="shared" si="95"/>
        <v>0</v>
      </c>
    </row>
    <row r="80" spans="1:139" ht="15" customHeight="1" x14ac:dyDescent="0.3">
      <c r="A80" s="1625" t="s">
        <v>385</v>
      </c>
      <c r="B80" s="891">
        <v>40000</v>
      </c>
      <c r="C80" s="891">
        <v>0</v>
      </c>
      <c r="D80" s="891">
        <v>40000</v>
      </c>
      <c r="E80" s="891">
        <v>0</v>
      </c>
      <c r="F80" s="891">
        <f t="shared" si="52"/>
        <v>40</v>
      </c>
      <c r="G80" s="891">
        <f t="shared" si="53"/>
        <v>0</v>
      </c>
      <c r="H80" s="891">
        <f t="shared" si="54"/>
        <v>40</v>
      </c>
      <c r="I80" s="891">
        <f t="shared" si="55"/>
        <v>0</v>
      </c>
      <c r="L80" s="1625" t="s">
        <v>605</v>
      </c>
      <c r="M80" s="891">
        <v>0</v>
      </c>
      <c r="N80" s="891">
        <f t="shared" si="56"/>
        <v>0</v>
      </c>
      <c r="Q80" s="1625" t="s">
        <v>385</v>
      </c>
      <c r="R80" s="891">
        <v>3117749</v>
      </c>
      <c r="S80" s="891">
        <v>1435735</v>
      </c>
      <c r="T80" s="891">
        <v>1682014</v>
      </c>
      <c r="U80" s="891">
        <v>1435735</v>
      </c>
      <c r="V80" s="1622">
        <f t="shared" si="57"/>
        <v>3117.7489999999998</v>
      </c>
      <c r="W80" s="1622">
        <f t="shared" si="58"/>
        <v>1435.7349999999999</v>
      </c>
      <c r="X80" s="1622">
        <f t="shared" si="59"/>
        <v>1682.0139999999999</v>
      </c>
      <c r="Y80" s="1622">
        <f t="shared" si="60"/>
        <v>1435.7349999999999</v>
      </c>
      <c r="AB80" s="1625" t="s">
        <v>595</v>
      </c>
      <c r="AC80" s="891">
        <v>0</v>
      </c>
      <c r="AD80" s="1622">
        <f t="shared" si="61"/>
        <v>0</v>
      </c>
      <c r="AG80" s="1625" t="s">
        <v>593</v>
      </c>
      <c r="AH80" s="891">
        <v>5147900</v>
      </c>
      <c r="AI80" s="891">
        <v>1277700</v>
      </c>
      <c r="AJ80" s="891">
        <v>1277700</v>
      </c>
      <c r="AK80" s="891">
        <v>3870200</v>
      </c>
      <c r="AL80" s="1622">
        <f t="shared" si="62"/>
        <v>5147.8999999999996</v>
      </c>
      <c r="AM80" s="1622">
        <f t="shared" si="63"/>
        <v>1277.7</v>
      </c>
      <c r="AN80" s="1622">
        <f t="shared" si="64"/>
        <v>1277.7</v>
      </c>
      <c r="AO80" s="1622">
        <f t="shared" si="65"/>
        <v>3870.2</v>
      </c>
      <c r="AR80" s="1625" t="s">
        <v>597</v>
      </c>
      <c r="AS80" s="1622">
        <v>2321568</v>
      </c>
      <c r="AT80" s="1622">
        <f t="shared" si="66"/>
        <v>2321.5680000000002</v>
      </c>
      <c r="AW80" s="1625" t="s">
        <v>593</v>
      </c>
      <c r="AX80" s="891">
        <v>4085778</v>
      </c>
      <c r="AY80" s="891">
        <v>2086424</v>
      </c>
      <c r="AZ80" s="891">
        <v>1277700</v>
      </c>
      <c r="BA80" s="891">
        <v>1999354</v>
      </c>
      <c r="BB80" s="1622">
        <f t="shared" si="67"/>
        <v>4085.7779999999998</v>
      </c>
      <c r="BC80" s="1622">
        <f t="shared" si="68"/>
        <v>2086.424</v>
      </c>
      <c r="BD80" s="1622">
        <f t="shared" si="69"/>
        <v>1277.7</v>
      </c>
      <c r="BE80" s="1622">
        <f t="shared" si="70"/>
        <v>1999.354</v>
      </c>
      <c r="BH80" s="1625" t="s">
        <v>605</v>
      </c>
      <c r="BI80" s="1622">
        <v>4910108</v>
      </c>
      <c r="BJ80" s="1622">
        <f t="shared" si="71"/>
        <v>4910.1080000000002</v>
      </c>
      <c r="BM80" s="1625" t="s">
        <v>593</v>
      </c>
      <c r="BN80" s="1627">
        <v>3796224</v>
      </c>
      <c r="BO80" s="1627">
        <v>2159413</v>
      </c>
      <c r="BP80" s="1627">
        <v>2678253</v>
      </c>
      <c r="BQ80" s="1627">
        <v>1117971</v>
      </c>
      <c r="BR80" s="1622">
        <f t="shared" si="72"/>
        <v>3796.2240000000002</v>
      </c>
      <c r="BS80" s="1622">
        <f t="shared" si="73"/>
        <v>2159.413</v>
      </c>
      <c r="BT80" s="1622">
        <f t="shared" si="74"/>
        <v>2678.2530000000002</v>
      </c>
      <c r="BU80" s="1622">
        <f t="shared" si="75"/>
        <v>1117.971</v>
      </c>
      <c r="BX80" s="1624" t="s">
        <v>599</v>
      </c>
      <c r="BY80" s="1622">
        <v>0</v>
      </c>
      <c r="BZ80" s="1622">
        <f t="shared" si="76"/>
        <v>0</v>
      </c>
      <c r="CC80" s="1622" t="s">
        <v>592</v>
      </c>
      <c r="CD80" s="1622">
        <v>354941</v>
      </c>
      <c r="CE80" s="1622">
        <v>0</v>
      </c>
      <c r="CF80" s="1622">
        <v>354941</v>
      </c>
      <c r="CG80" s="1622">
        <v>0</v>
      </c>
      <c r="CH80" s="1622">
        <f t="shared" si="77"/>
        <v>354.94099999999997</v>
      </c>
      <c r="CI80" s="1622">
        <f t="shared" si="78"/>
        <v>0</v>
      </c>
      <c r="CJ80" s="1622">
        <f t="shared" si="79"/>
        <v>354.94099999999997</v>
      </c>
      <c r="CK80" s="1622">
        <f t="shared" si="80"/>
        <v>0</v>
      </c>
      <c r="CN80" s="1624" t="s">
        <v>596</v>
      </c>
      <c r="CO80" s="1622">
        <v>10944192</v>
      </c>
      <c r="CP80" s="1622">
        <f t="shared" si="81"/>
        <v>10944.191999999999</v>
      </c>
      <c r="CS80" s="1625" t="s">
        <v>590</v>
      </c>
      <c r="CT80" s="891">
        <v>582267</v>
      </c>
      <c r="CU80" s="891">
        <v>582267</v>
      </c>
      <c r="CV80" s="891">
        <v>582267</v>
      </c>
      <c r="CW80" s="891">
        <v>0</v>
      </c>
      <c r="CX80" s="1622">
        <f t="shared" si="82"/>
        <v>582.26700000000005</v>
      </c>
      <c r="CY80" s="1622">
        <f t="shared" si="83"/>
        <v>582.26700000000005</v>
      </c>
      <c r="CZ80" s="1622">
        <f t="shared" si="84"/>
        <v>582.26700000000005</v>
      </c>
      <c r="DA80" s="1622">
        <f t="shared" si="85"/>
        <v>0</v>
      </c>
      <c r="DD80" s="1624" t="s">
        <v>604</v>
      </c>
      <c r="DE80" s="1622">
        <v>9257234</v>
      </c>
      <c r="DF80" s="1622">
        <f t="shared" si="86"/>
        <v>9257.2340000000004</v>
      </c>
      <c r="DJ80" s="1624" t="s">
        <v>590</v>
      </c>
      <c r="DK80" s="1622">
        <v>582267</v>
      </c>
      <c r="DL80" s="1622">
        <v>582267</v>
      </c>
      <c r="DM80" s="1622">
        <v>0</v>
      </c>
      <c r="DN80" s="1622">
        <v>582267</v>
      </c>
      <c r="DO80" s="1622">
        <f t="shared" si="87"/>
        <v>582.26700000000005</v>
      </c>
      <c r="DP80" s="1622">
        <f t="shared" si="88"/>
        <v>582.26700000000005</v>
      </c>
      <c r="DQ80" s="1622">
        <f t="shared" si="89"/>
        <v>0</v>
      </c>
      <c r="DR80" s="1622">
        <f t="shared" si="90"/>
        <v>582.26700000000005</v>
      </c>
      <c r="DV80" s="780" t="s">
        <v>394</v>
      </c>
      <c r="DW80" s="779">
        <v>948634</v>
      </c>
      <c r="DX80" s="1626">
        <f t="shared" si="91"/>
        <v>948.63400000000001</v>
      </c>
      <c r="EA80" s="780" t="s">
        <v>590</v>
      </c>
      <c r="EB80" s="779">
        <v>582267</v>
      </c>
      <c r="EC80" s="779">
        <v>582267</v>
      </c>
      <c r="ED80" s="779">
        <v>582267</v>
      </c>
      <c r="EE80" s="779">
        <v>0</v>
      </c>
      <c r="EF80" s="166">
        <f t="shared" si="92"/>
        <v>582.26700000000005</v>
      </c>
      <c r="EG80" s="166">
        <f t="shared" si="93"/>
        <v>582.26700000000005</v>
      </c>
      <c r="EH80" s="166">
        <f t="shared" si="94"/>
        <v>582.26700000000005</v>
      </c>
      <c r="EI80" s="166">
        <f t="shared" si="95"/>
        <v>0</v>
      </c>
    </row>
    <row r="81" spans="1:139" ht="15" customHeight="1" x14ac:dyDescent="0.3">
      <c r="A81" s="1625" t="s">
        <v>386</v>
      </c>
      <c r="B81" s="891">
        <v>35320</v>
      </c>
      <c r="C81" s="891">
        <v>0</v>
      </c>
      <c r="D81" s="891">
        <v>35320</v>
      </c>
      <c r="E81" s="891">
        <v>0</v>
      </c>
      <c r="F81" s="891">
        <f t="shared" si="52"/>
        <v>35.32</v>
      </c>
      <c r="G81" s="891">
        <f t="shared" si="53"/>
        <v>0</v>
      </c>
      <c r="H81" s="891">
        <f t="shared" si="54"/>
        <v>35.32</v>
      </c>
      <c r="I81" s="891">
        <f t="shared" si="55"/>
        <v>0</v>
      </c>
      <c r="L81" s="1625" t="s">
        <v>494</v>
      </c>
      <c r="M81" s="891">
        <v>1041250</v>
      </c>
      <c r="N81" s="891">
        <f t="shared" si="56"/>
        <v>1041.25</v>
      </c>
      <c r="Q81" s="1625" t="s">
        <v>386</v>
      </c>
      <c r="R81" s="891">
        <v>24640</v>
      </c>
      <c r="S81" s="891">
        <v>0</v>
      </c>
      <c r="T81" s="891">
        <v>24640</v>
      </c>
      <c r="U81" s="891">
        <v>0</v>
      </c>
      <c r="V81" s="1622">
        <f t="shared" si="57"/>
        <v>24.64</v>
      </c>
      <c r="W81" s="1622">
        <f t="shared" si="58"/>
        <v>0</v>
      </c>
      <c r="X81" s="1622">
        <f t="shared" si="59"/>
        <v>24.64</v>
      </c>
      <c r="Y81" s="1622">
        <f t="shared" si="60"/>
        <v>0</v>
      </c>
      <c r="AB81" s="1625" t="s">
        <v>395</v>
      </c>
      <c r="AC81" s="891">
        <v>2683999</v>
      </c>
      <c r="AD81" s="1622">
        <f t="shared" si="61"/>
        <v>2683.9989999999998</v>
      </c>
      <c r="AG81" s="1625" t="s">
        <v>385</v>
      </c>
      <c r="AH81" s="891">
        <v>5051518</v>
      </c>
      <c r="AI81" s="891">
        <v>1435735</v>
      </c>
      <c r="AJ81" s="891">
        <v>5011518</v>
      </c>
      <c r="AK81" s="891">
        <v>40000</v>
      </c>
      <c r="AL81" s="1622">
        <f t="shared" si="62"/>
        <v>5051.518</v>
      </c>
      <c r="AM81" s="1622">
        <f t="shared" si="63"/>
        <v>1435.7349999999999</v>
      </c>
      <c r="AN81" s="1622">
        <f t="shared" si="64"/>
        <v>5011.518</v>
      </c>
      <c r="AO81" s="1622">
        <f t="shared" si="65"/>
        <v>40</v>
      </c>
      <c r="AR81" s="1625" t="s">
        <v>598</v>
      </c>
      <c r="AS81" s="1622">
        <v>0</v>
      </c>
      <c r="AT81" s="1622">
        <f t="shared" si="66"/>
        <v>0</v>
      </c>
      <c r="AW81" s="1625" t="s">
        <v>594</v>
      </c>
      <c r="AX81" s="891">
        <v>715428</v>
      </c>
      <c r="AY81" s="891">
        <v>715428</v>
      </c>
      <c r="AZ81" s="891">
        <v>715428</v>
      </c>
      <c r="BA81" s="891">
        <v>0</v>
      </c>
      <c r="BB81" s="1622">
        <f t="shared" si="67"/>
        <v>715.428</v>
      </c>
      <c r="BC81" s="1622">
        <f t="shared" si="68"/>
        <v>715.428</v>
      </c>
      <c r="BD81" s="1622">
        <f t="shared" si="69"/>
        <v>715.428</v>
      </c>
      <c r="BE81" s="1622">
        <f t="shared" si="70"/>
        <v>0</v>
      </c>
      <c r="BH81" s="1625" t="s">
        <v>494</v>
      </c>
      <c r="BI81" s="1622">
        <v>1041250</v>
      </c>
      <c r="BJ81" s="1622">
        <f t="shared" si="71"/>
        <v>1041.25</v>
      </c>
      <c r="BM81" s="1625" t="s">
        <v>594</v>
      </c>
      <c r="BN81" s="1627">
        <v>715428</v>
      </c>
      <c r="BO81" s="1627">
        <v>715428</v>
      </c>
      <c r="BP81" s="1627">
        <v>715428</v>
      </c>
      <c r="BQ81" s="1627">
        <v>0</v>
      </c>
      <c r="BR81" s="1622">
        <f t="shared" si="72"/>
        <v>715.428</v>
      </c>
      <c r="BS81" s="1622">
        <f t="shared" si="73"/>
        <v>715.428</v>
      </c>
      <c r="BT81" s="1622">
        <f t="shared" si="74"/>
        <v>715.428</v>
      </c>
      <c r="BU81" s="1622">
        <f t="shared" si="75"/>
        <v>0</v>
      </c>
      <c r="BX81" s="1624" t="s">
        <v>600</v>
      </c>
      <c r="BY81" s="1622">
        <v>1456510</v>
      </c>
      <c r="BZ81" s="1622">
        <f t="shared" si="76"/>
        <v>1456.51</v>
      </c>
      <c r="CC81" s="1622" t="s">
        <v>593</v>
      </c>
      <c r="CD81" s="1622">
        <v>4559342</v>
      </c>
      <c r="CE81" s="1622">
        <v>2678253</v>
      </c>
      <c r="CF81" s="1622">
        <v>3296257</v>
      </c>
      <c r="CG81" s="1622">
        <v>1263085</v>
      </c>
      <c r="CH81" s="1622">
        <f t="shared" si="77"/>
        <v>4559.3419999999996</v>
      </c>
      <c r="CI81" s="1622">
        <f t="shared" si="78"/>
        <v>2678.2530000000002</v>
      </c>
      <c r="CJ81" s="1622">
        <f t="shared" si="79"/>
        <v>3296.2570000000001</v>
      </c>
      <c r="CK81" s="1622">
        <f t="shared" si="80"/>
        <v>1263.085</v>
      </c>
      <c r="CN81" s="1624" t="s">
        <v>597</v>
      </c>
      <c r="CO81" s="1622">
        <v>2000776</v>
      </c>
      <c r="CP81" s="1622">
        <f t="shared" si="81"/>
        <v>2000.7760000000001</v>
      </c>
      <c r="CS81" s="1625" t="s">
        <v>591</v>
      </c>
      <c r="CT81" s="891">
        <v>6255600</v>
      </c>
      <c r="CU81" s="891">
        <v>1747965</v>
      </c>
      <c r="CV81" s="891">
        <v>2305600</v>
      </c>
      <c r="CW81" s="891">
        <v>3950000</v>
      </c>
      <c r="CX81" s="1622">
        <f t="shared" si="82"/>
        <v>6255.6</v>
      </c>
      <c r="CY81" s="1622">
        <f t="shared" si="83"/>
        <v>1747.9649999999999</v>
      </c>
      <c r="CZ81" s="1622">
        <f t="shared" si="84"/>
        <v>2305.6</v>
      </c>
      <c r="DA81" s="1622">
        <f t="shared" si="85"/>
        <v>3950</v>
      </c>
      <c r="DD81" s="1624" t="s">
        <v>605</v>
      </c>
      <c r="DE81" s="1622">
        <v>5268684</v>
      </c>
      <c r="DF81" s="1622">
        <f t="shared" si="86"/>
        <v>5268.6840000000002</v>
      </c>
      <c r="DJ81" s="1624" t="s">
        <v>591</v>
      </c>
      <c r="DK81" s="1622">
        <v>13005759</v>
      </c>
      <c r="DL81" s="1622">
        <v>3296195</v>
      </c>
      <c r="DM81" s="1622">
        <v>9709564</v>
      </c>
      <c r="DN81" s="1622">
        <v>3296195</v>
      </c>
      <c r="DO81" s="1622">
        <f t="shared" si="87"/>
        <v>13005.759</v>
      </c>
      <c r="DP81" s="1622">
        <f t="shared" si="88"/>
        <v>3296.1950000000002</v>
      </c>
      <c r="DQ81" s="1622">
        <f t="shared" si="89"/>
        <v>9709.5640000000003</v>
      </c>
      <c r="DR81" s="1622">
        <f t="shared" si="90"/>
        <v>3296.1950000000002</v>
      </c>
      <c r="DV81" s="780" t="s">
        <v>595</v>
      </c>
      <c r="DW81" s="779">
        <v>3135806</v>
      </c>
      <c r="DX81" s="1626">
        <f t="shared" si="91"/>
        <v>3135.806</v>
      </c>
      <c r="EA81" s="780" t="s">
        <v>591</v>
      </c>
      <c r="EB81" s="779">
        <v>13898135</v>
      </c>
      <c r="EC81" s="779">
        <v>3296195</v>
      </c>
      <c r="ED81" s="779">
        <v>4398135</v>
      </c>
      <c r="EE81" s="779">
        <v>9500000</v>
      </c>
      <c r="EF81" s="166">
        <f t="shared" si="92"/>
        <v>13898.135</v>
      </c>
      <c r="EG81" s="166">
        <f t="shared" si="93"/>
        <v>3296.1950000000002</v>
      </c>
      <c r="EH81" s="166">
        <f t="shared" si="94"/>
        <v>4398.1350000000002</v>
      </c>
      <c r="EI81" s="166">
        <f t="shared" si="95"/>
        <v>9500</v>
      </c>
    </row>
    <row r="82" spans="1:139" ht="15" customHeight="1" x14ac:dyDescent="0.3">
      <c r="A82" s="1625" t="s">
        <v>387</v>
      </c>
      <c r="B82" s="891">
        <v>168529769</v>
      </c>
      <c r="C82" s="891">
        <v>148822584</v>
      </c>
      <c r="D82" s="891">
        <v>19707185</v>
      </c>
      <c r="E82" s="891">
        <v>7648069</v>
      </c>
      <c r="F82" s="891">
        <f t="shared" si="52"/>
        <v>168529.769</v>
      </c>
      <c r="G82" s="891">
        <f t="shared" si="53"/>
        <v>148822.584</v>
      </c>
      <c r="H82" s="891">
        <f t="shared" si="54"/>
        <v>19707.185000000001</v>
      </c>
      <c r="I82" s="891">
        <f t="shared" si="55"/>
        <v>7648.0690000000004</v>
      </c>
      <c r="L82" s="1625" t="s">
        <v>606</v>
      </c>
      <c r="M82" s="891">
        <v>0</v>
      </c>
      <c r="N82" s="891">
        <f t="shared" si="56"/>
        <v>0</v>
      </c>
      <c r="Q82" s="1625" t="s">
        <v>387</v>
      </c>
      <c r="R82" s="891">
        <v>167529769</v>
      </c>
      <c r="S82" s="891">
        <v>149062584</v>
      </c>
      <c r="T82" s="891">
        <v>18467185</v>
      </c>
      <c r="U82" s="891">
        <v>17142641</v>
      </c>
      <c r="V82" s="1622">
        <f t="shared" si="57"/>
        <v>167529.769</v>
      </c>
      <c r="W82" s="1622">
        <f t="shared" si="58"/>
        <v>149062.584</v>
      </c>
      <c r="X82" s="1622">
        <f t="shared" si="59"/>
        <v>18467.185000000001</v>
      </c>
      <c r="Y82" s="1622">
        <f t="shared" si="60"/>
        <v>17142.641</v>
      </c>
      <c r="AB82" s="1625" t="s">
        <v>596</v>
      </c>
      <c r="AC82" s="891">
        <v>0</v>
      </c>
      <c r="AD82" s="1622">
        <f t="shared" si="61"/>
        <v>0</v>
      </c>
      <c r="AG82" s="1625" t="s">
        <v>386</v>
      </c>
      <c r="AH82" s="891">
        <v>20070</v>
      </c>
      <c r="AI82" s="891">
        <v>0</v>
      </c>
      <c r="AJ82" s="891">
        <v>0</v>
      </c>
      <c r="AK82" s="891">
        <v>20070</v>
      </c>
      <c r="AL82" s="1622">
        <f t="shared" si="62"/>
        <v>20.07</v>
      </c>
      <c r="AM82" s="1622">
        <f t="shared" si="63"/>
        <v>0</v>
      </c>
      <c r="AN82" s="1622">
        <f t="shared" si="64"/>
        <v>0</v>
      </c>
      <c r="AO82" s="1622">
        <f t="shared" si="65"/>
        <v>20.07</v>
      </c>
      <c r="AR82" s="1625" t="s">
        <v>599</v>
      </c>
      <c r="AS82" s="1622">
        <v>0</v>
      </c>
      <c r="AT82" s="1622">
        <f t="shared" si="66"/>
        <v>0</v>
      </c>
      <c r="AW82" s="1625" t="s">
        <v>385</v>
      </c>
      <c r="AX82" s="891">
        <v>5051518</v>
      </c>
      <c r="AY82" s="891">
        <v>5011518</v>
      </c>
      <c r="AZ82" s="891">
        <v>5011518</v>
      </c>
      <c r="BA82" s="891">
        <v>40000</v>
      </c>
      <c r="BB82" s="1622">
        <f t="shared" si="67"/>
        <v>5051.518</v>
      </c>
      <c r="BC82" s="1622">
        <f t="shared" si="68"/>
        <v>5011.518</v>
      </c>
      <c r="BD82" s="1622">
        <f t="shared" si="69"/>
        <v>5011.518</v>
      </c>
      <c r="BE82" s="1622">
        <f t="shared" si="70"/>
        <v>40</v>
      </c>
      <c r="BH82" s="1625" t="s">
        <v>607</v>
      </c>
      <c r="BI82" s="1622">
        <v>4335000</v>
      </c>
      <c r="BJ82" s="1622">
        <f t="shared" si="71"/>
        <v>4335</v>
      </c>
      <c r="BM82" s="1625" t="s">
        <v>385</v>
      </c>
      <c r="BN82" s="1627">
        <v>6494594</v>
      </c>
      <c r="BO82" s="1627">
        <v>5011518</v>
      </c>
      <c r="BP82" s="1627">
        <v>6494594</v>
      </c>
      <c r="BQ82" s="1627">
        <v>0</v>
      </c>
      <c r="BR82" s="1622">
        <f t="shared" si="72"/>
        <v>6494.5940000000001</v>
      </c>
      <c r="BS82" s="1622">
        <f t="shared" si="73"/>
        <v>5011.518</v>
      </c>
      <c r="BT82" s="1622">
        <f t="shared" si="74"/>
        <v>6494.5940000000001</v>
      </c>
      <c r="BU82" s="1622">
        <f t="shared" si="75"/>
        <v>0</v>
      </c>
      <c r="BX82" s="1624" t="s">
        <v>397</v>
      </c>
      <c r="BY82" s="1622">
        <v>547081</v>
      </c>
      <c r="BZ82" s="1622">
        <f t="shared" si="76"/>
        <v>547.08100000000002</v>
      </c>
      <c r="CC82" s="1622" t="s">
        <v>594</v>
      </c>
      <c r="CD82" s="1622">
        <v>715428</v>
      </c>
      <c r="CE82" s="1622">
        <v>715428</v>
      </c>
      <c r="CF82" s="1622">
        <v>715428</v>
      </c>
      <c r="CG82" s="1622">
        <v>0</v>
      </c>
      <c r="CH82" s="1622">
        <f t="shared" si="77"/>
        <v>715.428</v>
      </c>
      <c r="CI82" s="1622">
        <f t="shared" si="78"/>
        <v>715.428</v>
      </c>
      <c r="CJ82" s="1622">
        <f t="shared" si="79"/>
        <v>715.428</v>
      </c>
      <c r="CK82" s="1622">
        <f t="shared" si="80"/>
        <v>0</v>
      </c>
      <c r="CN82" s="1624" t="s">
        <v>600</v>
      </c>
      <c r="CO82" s="1622">
        <v>468179</v>
      </c>
      <c r="CP82" s="1622">
        <f t="shared" si="81"/>
        <v>468.17899999999997</v>
      </c>
      <c r="CS82" s="1625" t="s">
        <v>592</v>
      </c>
      <c r="CT82" s="891">
        <v>0</v>
      </c>
      <c r="CU82" s="891">
        <v>0</v>
      </c>
      <c r="CV82" s="891">
        <v>0</v>
      </c>
      <c r="CW82" s="891">
        <v>0</v>
      </c>
      <c r="CX82" s="1622">
        <f t="shared" si="82"/>
        <v>0</v>
      </c>
      <c r="CY82" s="1622">
        <f t="shared" si="83"/>
        <v>0</v>
      </c>
      <c r="CZ82" s="1622">
        <f t="shared" si="84"/>
        <v>0</v>
      </c>
      <c r="DA82" s="1622">
        <f t="shared" si="85"/>
        <v>0</v>
      </c>
      <c r="DD82" s="1624" t="s">
        <v>494</v>
      </c>
      <c r="DE82" s="1622">
        <v>4777716</v>
      </c>
      <c r="DF82" s="1622">
        <f t="shared" si="86"/>
        <v>4777.7160000000003</v>
      </c>
      <c r="DJ82" s="1624" t="s">
        <v>592</v>
      </c>
      <c r="DK82" s="1622">
        <v>0</v>
      </c>
      <c r="DL82" s="1622">
        <v>0</v>
      </c>
      <c r="DM82" s="1622">
        <v>0</v>
      </c>
      <c r="DN82" s="1622">
        <v>0</v>
      </c>
      <c r="DO82" s="1622">
        <f t="shared" si="87"/>
        <v>0</v>
      </c>
      <c r="DP82" s="1622">
        <f t="shared" si="88"/>
        <v>0</v>
      </c>
      <c r="DQ82" s="1622">
        <f t="shared" si="89"/>
        <v>0</v>
      </c>
      <c r="DR82" s="1622">
        <f t="shared" si="90"/>
        <v>0</v>
      </c>
      <c r="DV82" s="780" t="s">
        <v>395</v>
      </c>
      <c r="DW82" s="779">
        <v>297500</v>
      </c>
      <c r="DX82" s="1626">
        <f t="shared" si="91"/>
        <v>297.5</v>
      </c>
      <c r="EA82" s="780" t="s">
        <v>592</v>
      </c>
      <c r="EB82" s="779">
        <v>0</v>
      </c>
      <c r="EC82" s="779">
        <v>0</v>
      </c>
      <c r="ED82" s="779">
        <v>0</v>
      </c>
      <c r="EE82" s="779">
        <v>0</v>
      </c>
      <c r="EF82" s="166">
        <f t="shared" si="92"/>
        <v>0</v>
      </c>
      <c r="EG82" s="166">
        <f t="shared" si="93"/>
        <v>0</v>
      </c>
      <c r="EH82" s="166">
        <f t="shared" si="94"/>
        <v>0</v>
      </c>
      <c r="EI82" s="166">
        <f t="shared" si="95"/>
        <v>0</v>
      </c>
    </row>
    <row r="83" spans="1:139" ht="15" customHeight="1" x14ac:dyDescent="0.3">
      <c r="A83" s="1625" t="s">
        <v>388</v>
      </c>
      <c r="B83" s="891">
        <v>13278000</v>
      </c>
      <c r="C83" s="891">
        <v>10714000</v>
      </c>
      <c r="D83" s="891">
        <v>2564000</v>
      </c>
      <c r="E83" s="891">
        <v>429900</v>
      </c>
      <c r="F83" s="891">
        <f t="shared" si="52"/>
        <v>13278</v>
      </c>
      <c r="G83" s="891">
        <f t="shared" si="53"/>
        <v>10714</v>
      </c>
      <c r="H83" s="891">
        <f t="shared" si="54"/>
        <v>2564</v>
      </c>
      <c r="I83" s="891">
        <f t="shared" si="55"/>
        <v>429.9</v>
      </c>
      <c r="L83" s="1625" t="s">
        <v>405</v>
      </c>
      <c r="M83" s="891">
        <v>0</v>
      </c>
      <c r="N83" s="891">
        <f t="shared" si="56"/>
        <v>0</v>
      </c>
      <c r="Q83" s="1625" t="s">
        <v>388</v>
      </c>
      <c r="R83" s="891">
        <v>13278000</v>
      </c>
      <c r="S83" s="891">
        <v>10714000</v>
      </c>
      <c r="T83" s="891">
        <v>2564000</v>
      </c>
      <c r="U83" s="891">
        <v>1100100</v>
      </c>
      <c r="V83" s="1622">
        <f t="shared" si="57"/>
        <v>13278</v>
      </c>
      <c r="W83" s="1622">
        <f t="shared" si="58"/>
        <v>10714</v>
      </c>
      <c r="X83" s="1622">
        <f t="shared" si="59"/>
        <v>2564</v>
      </c>
      <c r="Y83" s="1622">
        <f t="shared" si="60"/>
        <v>1100.0999999999999</v>
      </c>
      <c r="AB83" s="1625" t="s">
        <v>597</v>
      </c>
      <c r="AC83" s="891">
        <v>2215820</v>
      </c>
      <c r="AD83" s="1622">
        <f t="shared" si="61"/>
        <v>2215.8200000000002</v>
      </c>
      <c r="AG83" s="1625" t="s">
        <v>387</v>
      </c>
      <c r="AH83" s="891">
        <v>167333369</v>
      </c>
      <c r="AI83" s="891">
        <v>28167137</v>
      </c>
      <c r="AJ83" s="891">
        <v>157421145</v>
      </c>
      <c r="AK83" s="891">
        <v>9912224</v>
      </c>
      <c r="AL83" s="1622">
        <f t="shared" si="62"/>
        <v>167333.36900000001</v>
      </c>
      <c r="AM83" s="1622">
        <f t="shared" si="63"/>
        <v>28167.136999999999</v>
      </c>
      <c r="AN83" s="1622">
        <f t="shared" si="64"/>
        <v>157421.14499999999</v>
      </c>
      <c r="AO83" s="1622">
        <f t="shared" si="65"/>
        <v>9912.2240000000002</v>
      </c>
      <c r="AR83" s="1625" t="s">
        <v>397</v>
      </c>
      <c r="AS83" s="1622">
        <v>1450684</v>
      </c>
      <c r="AT83" s="1622">
        <f t="shared" si="66"/>
        <v>1450.684</v>
      </c>
      <c r="AW83" s="1625" t="s">
        <v>386</v>
      </c>
      <c r="AX83" s="891">
        <v>0</v>
      </c>
      <c r="AY83" s="891">
        <v>0</v>
      </c>
      <c r="AZ83" s="891">
        <v>0</v>
      </c>
      <c r="BA83" s="891">
        <v>0</v>
      </c>
      <c r="BB83" s="1622">
        <f t="shared" si="67"/>
        <v>0</v>
      </c>
      <c r="BC83" s="1622">
        <f t="shared" si="68"/>
        <v>0</v>
      </c>
      <c r="BD83" s="1622">
        <f t="shared" si="69"/>
        <v>0</v>
      </c>
      <c r="BE83" s="1622">
        <f t="shared" si="70"/>
        <v>0</v>
      </c>
      <c r="BH83" s="1625" t="s">
        <v>406</v>
      </c>
      <c r="BI83" s="1622">
        <v>4335000</v>
      </c>
      <c r="BJ83" s="1622">
        <f t="shared" si="71"/>
        <v>4335</v>
      </c>
      <c r="BM83" s="1625" t="s">
        <v>386</v>
      </c>
      <c r="BN83" s="1627">
        <v>0</v>
      </c>
      <c r="BO83" s="1627">
        <v>0</v>
      </c>
      <c r="BP83" s="1627">
        <v>0</v>
      </c>
      <c r="BQ83" s="1627">
        <v>0</v>
      </c>
      <c r="BR83" s="1622">
        <f t="shared" si="72"/>
        <v>0</v>
      </c>
      <c r="BS83" s="1622">
        <f t="shared" si="73"/>
        <v>0</v>
      </c>
      <c r="BT83" s="1622">
        <f t="shared" si="74"/>
        <v>0</v>
      </c>
      <c r="BU83" s="1622">
        <f t="shared" si="75"/>
        <v>0</v>
      </c>
      <c r="BX83" s="1624" t="s">
        <v>398</v>
      </c>
      <c r="BY83" s="1622">
        <v>547081</v>
      </c>
      <c r="BZ83" s="1622">
        <f t="shared" si="76"/>
        <v>547.08100000000002</v>
      </c>
      <c r="CC83" s="1622" t="s">
        <v>385</v>
      </c>
      <c r="CD83" s="1622">
        <v>7519573</v>
      </c>
      <c r="CE83" s="1622">
        <v>6036497</v>
      </c>
      <c r="CF83" s="1622">
        <v>7519573</v>
      </c>
      <c r="CG83" s="1622">
        <v>0</v>
      </c>
      <c r="CH83" s="1622">
        <f t="shared" si="77"/>
        <v>7519.5730000000003</v>
      </c>
      <c r="CI83" s="1622">
        <f t="shared" si="78"/>
        <v>6036.4970000000003</v>
      </c>
      <c r="CJ83" s="1622">
        <f t="shared" si="79"/>
        <v>7519.5730000000003</v>
      </c>
      <c r="CK83" s="1622">
        <f t="shared" si="80"/>
        <v>0</v>
      </c>
      <c r="CN83" s="1624" t="s">
        <v>397</v>
      </c>
      <c r="CO83" s="1622">
        <v>332730</v>
      </c>
      <c r="CP83" s="1622">
        <f t="shared" si="81"/>
        <v>332.73</v>
      </c>
      <c r="CS83" s="1625" t="s">
        <v>593</v>
      </c>
      <c r="CT83" s="891">
        <v>4052502</v>
      </c>
      <c r="CU83" s="891">
        <v>3853926</v>
      </c>
      <c r="CV83" s="891">
        <v>3853927</v>
      </c>
      <c r="CW83" s="891">
        <v>198575</v>
      </c>
      <c r="CX83" s="1622">
        <f t="shared" si="82"/>
        <v>4052.502</v>
      </c>
      <c r="CY83" s="1622">
        <f t="shared" si="83"/>
        <v>3853.9259999999999</v>
      </c>
      <c r="CZ83" s="1622">
        <f t="shared" si="84"/>
        <v>3853.9270000000001</v>
      </c>
      <c r="DA83" s="1622">
        <f t="shared" si="85"/>
        <v>198.57499999999999</v>
      </c>
      <c r="DD83" s="1624" t="s">
        <v>606</v>
      </c>
      <c r="DE83" s="1622">
        <v>4309</v>
      </c>
      <c r="DF83" s="1622">
        <f t="shared" si="86"/>
        <v>4.3090000000000002</v>
      </c>
      <c r="DJ83" s="1624" t="s">
        <v>593</v>
      </c>
      <c r="DK83" s="1622">
        <v>4471382</v>
      </c>
      <c r="DL83" s="1622">
        <v>4272806</v>
      </c>
      <c r="DM83" s="1622">
        <v>198576</v>
      </c>
      <c r="DN83" s="1622">
        <v>4272806</v>
      </c>
      <c r="DO83" s="1622">
        <f t="shared" si="87"/>
        <v>4471.3819999999996</v>
      </c>
      <c r="DP83" s="1622">
        <f t="shared" si="88"/>
        <v>4272.8059999999996</v>
      </c>
      <c r="DQ83" s="1622">
        <f t="shared" si="89"/>
        <v>198.57599999999999</v>
      </c>
      <c r="DR83" s="1622">
        <f t="shared" si="90"/>
        <v>4272.8059999999996</v>
      </c>
      <c r="DV83" s="780" t="s">
        <v>596</v>
      </c>
      <c r="DW83" s="779">
        <v>0</v>
      </c>
      <c r="DX83" s="1626">
        <f t="shared" si="91"/>
        <v>0</v>
      </c>
      <c r="EA83" s="780" t="s">
        <v>593</v>
      </c>
      <c r="EB83" s="779">
        <v>6948040</v>
      </c>
      <c r="EC83" s="779">
        <v>4272806</v>
      </c>
      <c r="ED83" s="779">
        <v>4272806</v>
      </c>
      <c r="EE83" s="779">
        <v>2675234</v>
      </c>
      <c r="EF83" s="166">
        <f t="shared" si="92"/>
        <v>6948.04</v>
      </c>
      <c r="EG83" s="166">
        <f t="shared" si="93"/>
        <v>4272.8059999999996</v>
      </c>
      <c r="EH83" s="166">
        <f t="shared" si="94"/>
        <v>4272.8059999999996</v>
      </c>
      <c r="EI83" s="166">
        <f t="shared" si="95"/>
        <v>2675.2339999999999</v>
      </c>
    </row>
    <row r="84" spans="1:139" ht="15" customHeight="1" x14ac:dyDescent="0.3">
      <c r="A84" s="1625" t="s">
        <v>389</v>
      </c>
      <c r="B84" s="891">
        <v>16584000</v>
      </c>
      <c r="C84" s="891">
        <v>11365189</v>
      </c>
      <c r="D84" s="891">
        <v>5218811</v>
      </c>
      <c r="E84" s="891">
        <v>96326</v>
      </c>
      <c r="F84" s="891">
        <f t="shared" si="52"/>
        <v>16584</v>
      </c>
      <c r="G84" s="891">
        <f t="shared" si="53"/>
        <v>11365.189</v>
      </c>
      <c r="H84" s="891">
        <f t="shared" si="54"/>
        <v>5218.8109999999997</v>
      </c>
      <c r="I84" s="891">
        <f t="shared" si="55"/>
        <v>96.325999999999993</v>
      </c>
      <c r="L84" s="1625" t="s">
        <v>607</v>
      </c>
      <c r="M84" s="891">
        <v>13606334</v>
      </c>
      <c r="N84" s="891">
        <f t="shared" si="56"/>
        <v>13606.334000000001</v>
      </c>
      <c r="Q84" s="1625" t="s">
        <v>389</v>
      </c>
      <c r="R84" s="891">
        <v>16584000</v>
      </c>
      <c r="S84" s="891">
        <v>11365189</v>
      </c>
      <c r="T84" s="891">
        <v>5218811</v>
      </c>
      <c r="U84" s="891">
        <v>2486406</v>
      </c>
      <c r="V84" s="1622">
        <f t="shared" si="57"/>
        <v>16584</v>
      </c>
      <c r="W84" s="1622">
        <f t="shared" si="58"/>
        <v>11365.189</v>
      </c>
      <c r="X84" s="1622">
        <f t="shared" si="59"/>
        <v>5218.8109999999997</v>
      </c>
      <c r="Y84" s="1622">
        <f t="shared" si="60"/>
        <v>2486.4059999999999</v>
      </c>
      <c r="AB84" s="1625" t="s">
        <v>598</v>
      </c>
      <c r="AC84" s="891">
        <v>0</v>
      </c>
      <c r="AD84" s="1622">
        <f t="shared" si="61"/>
        <v>0</v>
      </c>
      <c r="AG84" s="1625" t="s">
        <v>388</v>
      </c>
      <c r="AH84" s="891">
        <v>13278000</v>
      </c>
      <c r="AI84" s="891">
        <v>2211240</v>
      </c>
      <c r="AJ84" s="891">
        <v>10714000</v>
      </c>
      <c r="AK84" s="891">
        <v>2564000</v>
      </c>
      <c r="AL84" s="1622">
        <f t="shared" si="62"/>
        <v>13278</v>
      </c>
      <c r="AM84" s="1622">
        <f t="shared" si="63"/>
        <v>2211.2399999999998</v>
      </c>
      <c r="AN84" s="1622">
        <f t="shared" si="64"/>
        <v>10714</v>
      </c>
      <c r="AO84" s="1622">
        <f t="shared" si="65"/>
        <v>2564</v>
      </c>
      <c r="AR84" s="1625" t="s">
        <v>398</v>
      </c>
      <c r="AS84" s="1622">
        <v>1450684</v>
      </c>
      <c r="AT84" s="1622">
        <f t="shared" si="66"/>
        <v>1450.684</v>
      </c>
      <c r="AW84" s="1625" t="s">
        <v>387</v>
      </c>
      <c r="AX84" s="891">
        <v>165242801</v>
      </c>
      <c r="AY84" s="891">
        <v>157421145</v>
      </c>
      <c r="AZ84" s="891">
        <v>40610383</v>
      </c>
      <c r="BA84" s="891">
        <v>7821656</v>
      </c>
      <c r="BB84" s="1622">
        <f t="shared" si="67"/>
        <v>165242.80100000001</v>
      </c>
      <c r="BC84" s="1622">
        <f t="shared" si="68"/>
        <v>157421.14499999999</v>
      </c>
      <c r="BD84" s="1622">
        <f t="shared" si="69"/>
        <v>40610.383000000002</v>
      </c>
      <c r="BE84" s="1622">
        <f t="shared" si="70"/>
        <v>7821.6559999999999</v>
      </c>
      <c r="BH84" s="1625" t="s">
        <v>407</v>
      </c>
      <c r="BI84" s="1622">
        <v>0</v>
      </c>
      <c r="BJ84" s="1622">
        <f t="shared" si="71"/>
        <v>0</v>
      </c>
      <c r="BM84" s="1625" t="s">
        <v>387</v>
      </c>
      <c r="BN84" s="1627">
        <v>161738165</v>
      </c>
      <c r="BO84" s="1627">
        <v>48732775</v>
      </c>
      <c r="BP84" s="1627">
        <v>158076145</v>
      </c>
      <c r="BQ84" s="1627">
        <v>3662020</v>
      </c>
      <c r="BR84" s="1622">
        <f t="shared" si="72"/>
        <v>161738.16500000001</v>
      </c>
      <c r="BS84" s="1622">
        <f t="shared" si="73"/>
        <v>48732.775000000001</v>
      </c>
      <c r="BT84" s="1622">
        <f t="shared" si="74"/>
        <v>158076.14499999999</v>
      </c>
      <c r="BU84" s="1622">
        <f t="shared" si="75"/>
        <v>3662.02</v>
      </c>
      <c r="BX84" s="1624" t="s">
        <v>400</v>
      </c>
      <c r="BY84" s="1622">
        <v>31858171</v>
      </c>
      <c r="BZ84" s="1622">
        <f t="shared" si="76"/>
        <v>31858.170999999998</v>
      </c>
      <c r="CC84" s="1622" t="s">
        <v>386</v>
      </c>
      <c r="CD84" s="1622">
        <v>0</v>
      </c>
      <c r="CE84" s="1622">
        <v>0</v>
      </c>
      <c r="CF84" s="1622">
        <v>0</v>
      </c>
      <c r="CG84" s="1622">
        <v>0</v>
      </c>
      <c r="CH84" s="1622">
        <f t="shared" si="77"/>
        <v>0</v>
      </c>
      <c r="CI84" s="1622">
        <f t="shared" si="78"/>
        <v>0</v>
      </c>
      <c r="CJ84" s="1622">
        <f t="shared" si="79"/>
        <v>0</v>
      </c>
      <c r="CK84" s="1622">
        <f t="shared" si="80"/>
        <v>0</v>
      </c>
      <c r="CN84" s="1624" t="s">
        <v>398</v>
      </c>
      <c r="CO84" s="1622">
        <v>259664</v>
      </c>
      <c r="CP84" s="1622">
        <f t="shared" si="81"/>
        <v>259.66399999999999</v>
      </c>
      <c r="CS84" s="1625" t="s">
        <v>594</v>
      </c>
      <c r="CT84" s="891">
        <v>715428</v>
      </c>
      <c r="CU84" s="891">
        <v>715428</v>
      </c>
      <c r="CV84" s="891">
        <v>715428</v>
      </c>
      <c r="CW84" s="891">
        <v>0</v>
      </c>
      <c r="CX84" s="1622">
        <f t="shared" si="82"/>
        <v>715.428</v>
      </c>
      <c r="CY84" s="1622">
        <f t="shared" si="83"/>
        <v>715.428</v>
      </c>
      <c r="CZ84" s="1622">
        <f t="shared" si="84"/>
        <v>715.428</v>
      </c>
      <c r="DA84" s="1622">
        <f t="shared" si="85"/>
        <v>0</v>
      </c>
      <c r="DD84" s="1624" t="s">
        <v>405</v>
      </c>
      <c r="DE84" s="1622">
        <v>4309</v>
      </c>
      <c r="DF84" s="1622">
        <f t="shared" si="86"/>
        <v>4.3090000000000002</v>
      </c>
      <c r="DJ84" s="1624" t="s">
        <v>594</v>
      </c>
      <c r="DK84" s="1622">
        <v>715428</v>
      </c>
      <c r="DL84" s="1622">
        <v>715428</v>
      </c>
      <c r="DM84" s="1622">
        <v>0</v>
      </c>
      <c r="DN84" s="1622">
        <v>715428</v>
      </c>
      <c r="DO84" s="1622">
        <f t="shared" si="87"/>
        <v>715.428</v>
      </c>
      <c r="DP84" s="1622">
        <f t="shared" si="88"/>
        <v>715.428</v>
      </c>
      <c r="DQ84" s="1622">
        <f t="shared" si="89"/>
        <v>0</v>
      </c>
      <c r="DR84" s="1622">
        <f t="shared" si="90"/>
        <v>715.428</v>
      </c>
      <c r="DV84" s="780" t="s">
        <v>597</v>
      </c>
      <c r="DW84" s="779">
        <v>297500</v>
      </c>
      <c r="DX84" s="1626">
        <f t="shared" si="91"/>
        <v>297.5</v>
      </c>
      <c r="EA84" s="780" t="s">
        <v>594</v>
      </c>
      <c r="EB84" s="779">
        <v>715428</v>
      </c>
      <c r="EC84" s="779">
        <v>715428</v>
      </c>
      <c r="ED84" s="779">
        <v>715428</v>
      </c>
      <c r="EE84" s="779">
        <v>0</v>
      </c>
      <c r="EF84" s="166">
        <f t="shared" si="92"/>
        <v>715.428</v>
      </c>
      <c r="EG84" s="166">
        <f t="shared" si="93"/>
        <v>715.428</v>
      </c>
      <c r="EH84" s="166">
        <f t="shared" si="94"/>
        <v>715.428</v>
      </c>
      <c r="EI84" s="166">
        <f t="shared" si="95"/>
        <v>0</v>
      </c>
    </row>
    <row r="85" spans="1:139" ht="15" customHeight="1" x14ac:dyDescent="0.3">
      <c r="A85" s="1625" t="s">
        <v>390</v>
      </c>
      <c r="B85" s="891">
        <v>2930000</v>
      </c>
      <c r="C85" s="891">
        <v>1680000</v>
      </c>
      <c r="D85" s="891">
        <v>1250000</v>
      </c>
      <c r="E85" s="891">
        <v>60250</v>
      </c>
      <c r="F85" s="891">
        <f t="shared" si="52"/>
        <v>2930</v>
      </c>
      <c r="G85" s="891">
        <f t="shared" si="53"/>
        <v>1680</v>
      </c>
      <c r="H85" s="891">
        <f t="shared" si="54"/>
        <v>1250</v>
      </c>
      <c r="I85" s="891">
        <f t="shared" si="55"/>
        <v>60.25</v>
      </c>
      <c r="L85" s="1625" t="s">
        <v>406</v>
      </c>
      <c r="M85" s="891">
        <v>9873000</v>
      </c>
      <c r="N85" s="891">
        <f t="shared" si="56"/>
        <v>9873</v>
      </c>
      <c r="Q85" s="1625" t="s">
        <v>390</v>
      </c>
      <c r="R85" s="891">
        <v>2930000</v>
      </c>
      <c r="S85" s="891">
        <v>1680000</v>
      </c>
      <c r="T85" s="891">
        <v>1250000</v>
      </c>
      <c r="U85" s="891">
        <v>129500</v>
      </c>
      <c r="V85" s="1622">
        <f t="shared" si="57"/>
        <v>2930</v>
      </c>
      <c r="W85" s="1622">
        <f t="shared" si="58"/>
        <v>1680</v>
      </c>
      <c r="X85" s="1622">
        <f t="shared" si="59"/>
        <v>1250</v>
      </c>
      <c r="Y85" s="1622">
        <f t="shared" si="60"/>
        <v>129.5</v>
      </c>
      <c r="AB85" s="1625" t="s">
        <v>600</v>
      </c>
      <c r="AC85" s="891">
        <v>468179</v>
      </c>
      <c r="AD85" s="1622">
        <f t="shared" si="61"/>
        <v>468.17899999999997</v>
      </c>
      <c r="AG85" s="1625" t="s">
        <v>389</v>
      </c>
      <c r="AH85" s="891">
        <v>16584000</v>
      </c>
      <c r="AI85" s="891">
        <v>3496776</v>
      </c>
      <c r="AJ85" s="891">
        <v>11365189</v>
      </c>
      <c r="AK85" s="891">
        <v>5218811</v>
      </c>
      <c r="AL85" s="1622">
        <f t="shared" si="62"/>
        <v>16584</v>
      </c>
      <c r="AM85" s="1622">
        <f t="shared" si="63"/>
        <v>3496.7759999999998</v>
      </c>
      <c r="AN85" s="1622">
        <f t="shared" si="64"/>
        <v>11365.189</v>
      </c>
      <c r="AO85" s="1622">
        <f t="shared" si="65"/>
        <v>5218.8109999999997</v>
      </c>
      <c r="AR85" s="1625" t="s">
        <v>400</v>
      </c>
      <c r="AS85" s="1622">
        <v>34095476</v>
      </c>
      <c r="AT85" s="1622">
        <f t="shared" si="66"/>
        <v>34095.476000000002</v>
      </c>
      <c r="AW85" s="1625" t="s">
        <v>388</v>
      </c>
      <c r="AX85" s="891">
        <v>13278000</v>
      </c>
      <c r="AY85" s="891">
        <v>10714000</v>
      </c>
      <c r="AZ85" s="891">
        <v>2803240</v>
      </c>
      <c r="BA85" s="891">
        <v>2564000</v>
      </c>
      <c r="BB85" s="1622">
        <f t="shared" si="67"/>
        <v>13278</v>
      </c>
      <c r="BC85" s="1622">
        <f t="shared" si="68"/>
        <v>10714</v>
      </c>
      <c r="BD85" s="1622">
        <f t="shared" si="69"/>
        <v>2803.24</v>
      </c>
      <c r="BE85" s="1622">
        <f t="shared" si="70"/>
        <v>2564</v>
      </c>
      <c r="BH85" s="1625" t="s">
        <v>408</v>
      </c>
      <c r="BI85" s="1622">
        <v>0</v>
      </c>
      <c r="BJ85" s="1622">
        <f t="shared" si="71"/>
        <v>0</v>
      </c>
      <c r="BM85" s="1625" t="s">
        <v>388</v>
      </c>
      <c r="BN85" s="1627">
        <v>11194000</v>
      </c>
      <c r="BO85" s="1627">
        <v>3832770</v>
      </c>
      <c r="BP85" s="1627">
        <v>11194000</v>
      </c>
      <c r="BQ85" s="1627">
        <v>0</v>
      </c>
      <c r="BR85" s="1622">
        <f t="shared" si="72"/>
        <v>11194</v>
      </c>
      <c r="BS85" s="1622">
        <f t="shared" si="73"/>
        <v>3832.77</v>
      </c>
      <c r="BT85" s="1622">
        <f t="shared" si="74"/>
        <v>11194</v>
      </c>
      <c r="BU85" s="1622">
        <f t="shared" si="75"/>
        <v>0</v>
      </c>
      <c r="BX85" s="1624" t="s">
        <v>401</v>
      </c>
      <c r="BY85" s="1622">
        <v>7606330</v>
      </c>
      <c r="BZ85" s="1622">
        <f t="shared" si="76"/>
        <v>7606.33</v>
      </c>
      <c r="CC85" s="1622" t="s">
        <v>387</v>
      </c>
      <c r="CD85" s="1622">
        <v>168326145</v>
      </c>
      <c r="CE85" s="1622">
        <v>63757558</v>
      </c>
      <c r="CF85" s="1622">
        <v>158076145</v>
      </c>
      <c r="CG85" s="1622">
        <v>10250000</v>
      </c>
      <c r="CH85" s="1622">
        <f t="shared" si="77"/>
        <v>168326.14499999999</v>
      </c>
      <c r="CI85" s="1622">
        <f t="shared" si="78"/>
        <v>63757.557999999997</v>
      </c>
      <c r="CJ85" s="1622">
        <f t="shared" si="79"/>
        <v>158076.14499999999</v>
      </c>
      <c r="CK85" s="1622">
        <f t="shared" si="80"/>
        <v>10250</v>
      </c>
      <c r="CN85" s="1624" t="s">
        <v>399</v>
      </c>
      <c r="CO85" s="1622">
        <v>73066</v>
      </c>
      <c r="CP85" s="1622">
        <f t="shared" si="81"/>
        <v>73.066000000000003</v>
      </c>
      <c r="CS85" s="1625" t="s">
        <v>385</v>
      </c>
      <c r="CT85" s="891">
        <v>7519573</v>
      </c>
      <c r="CU85" s="891">
        <v>7380602</v>
      </c>
      <c r="CV85" s="891">
        <v>7519573</v>
      </c>
      <c r="CW85" s="891">
        <v>0</v>
      </c>
      <c r="CX85" s="1622">
        <f t="shared" si="82"/>
        <v>7519.5730000000003</v>
      </c>
      <c r="CY85" s="1622">
        <f t="shared" si="83"/>
        <v>7380.6019999999999</v>
      </c>
      <c r="CZ85" s="1622">
        <f t="shared" si="84"/>
        <v>7519.5730000000003</v>
      </c>
      <c r="DA85" s="1622">
        <f t="shared" si="85"/>
        <v>0</v>
      </c>
      <c r="DD85" s="1624" t="s">
        <v>607</v>
      </c>
      <c r="DE85" s="1622">
        <v>459061054</v>
      </c>
      <c r="DF85" s="1622">
        <f t="shared" si="86"/>
        <v>459061.054</v>
      </c>
      <c r="DJ85" s="1624" t="s">
        <v>385</v>
      </c>
      <c r="DK85" s="1622">
        <v>9819573</v>
      </c>
      <c r="DL85" s="1622">
        <v>7939405</v>
      </c>
      <c r="DM85" s="1622">
        <v>1880168</v>
      </c>
      <c r="DN85" s="1622">
        <v>7380602</v>
      </c>
      <c r="DO85" s="1622">
        <f t="shared" si="87"/>
        <v>9819.5730000000003</v>
      </c>
      <c r="DP85" s="1622">
        <f t="shared" si="88"/>
        <v>7939.4049999999997</v>
      </c>
      <c r="DQ85" s="1622">
        <f t="shared" si="89"/>
        <v>1880.1679999999999</v>
      </c>
      <c r="DR85" s="1622">
        <f t="shared" si="90"/>
        <v>7380.6019999999999</v>
      </c>
      <c r="DV85" s="780" t="s">
        <v>598</v>
      </c>
      <c r="DW85" s="779">
        <v>0</v>
      </c>
      <c r="DX85" s="1626">
        <f t="shared" si="91"/>
        <v>0</v>
      </c>
      <c r="EA85" s="780" t="s">
        <v>385</v>
      </c>
      <c r="EB85" s="779">
        <v>9939405</v>
      </c>
      <c r="EC85" s="779">
        <v>9380159</v>
      </c>
      <c r="ED85" s="779">
        <v>9674120</v>
      </c>
      <c r="EE85" s="779">
        <v>265285</v>
      </c>
      <c r="EF85" s="166">
        <f t="shared" si="92"/>
        <v>9939.4050000000007</v>
      </c>
      <c r="EG85" s="166">
        <f t="shared" si="93"/>
        <v>9380.1589999999997</v>
      </c>
      <c r="EH85" s="166">
        <f t="shared" si="94"/>
        <v>9674.1200000000008</v>
      </c>
      <c r="EI85" s="166">
        <f t="shared" si="95"/>
        <v>265.28500000000003</v>
      </c>
    </row>
    <row r="86" spans="1:139" ht="15" customHeight="1" x14ac:dyDescent="0.3">
      <c r="A86" s="1625" t="s">
        <v>391</v>
      </c>
      <c r="B86" s="891">
        <v>18000000</v>
      </c>
      <c r="C86" s="891">
        <v>16000000</v>
      </c>
      <c r="D86" s="891">
        <v>2000000</v>
      </c>
      <c r="E86" s="891">
        <v>1596447</v>
      </c>
      <c r="F86" s="891">
        <f t="shared" si="52"/>
        <v>18000</v>
      </c>
      <c r="G86" s="891">
        <f t="shared" si="53"/>
        <v>16000</v>
      </c>
      <c r="H86" s="891">
        <f t="shared" si="54"/>
        <v>2000</v>
      </c>
      <c r="I86" s="891">
        <f t="shared" si="55"/>
        <v>1596.4469999999999</v>
      </c>
      <c r="L86" s="1625" t="s">
        <v>408</v>
      </c>
      <c r="M86" s="891">
        <v>3733334</v>
      </c>
      <c r="N86" s="891">
        <f t="shared" si="56"/>
        <v>3733.3339999999998</v>
      </c>
      <c r="Q86" s="1625" t="s">
        <v>391</v>
      </c>
      <c r="R86" s="891">
        <v>17000000</v>
      </c>
      <c r="S86" s="891">
        <v>16240000</v>
      </c>
      <c r="T86" s="891">
        <v>760000</v>
      </c>
      <c r="U86" s="891">
        <v>2496343</v>
      </c>
      <c r="V86" s="1622">
        <f t="shared" si="57"/>
        <v>17000</v>
      </c>
      <c r="W86" s="1622">
        <f t="shared" si="58"/>
        <v>16240</v>
      </c>
      <c r="X86" s="1622">
        <f t="shared" si="59"/>
        <v>760</v>
      </c>
      <c r="Y86" s="1622">
        <f t="shared" si="60"/>
        <v>2496.3429999999998</v>
      </c>
      <c r="AB86" s="1625" t="s">
        <v>397</v>
      </c>
      <c r="AC86" s="891">
        <v>4399269</v>
      </c>
      <c r="AD86" s="1622">
        <f t="shared" si="61"/>
        <v>4399.2690000000002</v>
      </c>
      <c r="AG86" s="1625" t="s">
        <v>390</v>
      </c>
      <c r="AH86" s="891">
        <v>2930000</v>
      </c>
      <c r="AI86" s="891">
        <v>129500</v>
      </c>
      <c r="AJ86" s="891">
        <v>1680000</v>
      </c>
      <c r="AK86" s="891">
        <v>1250000</v>
      </c>
      <c r="AL86" s="1622">
        <f t="shared" si="62"/>
        <v>2930</v>
      </c>
      <c r="AM86" s="1622">
        <f t="shared" si="63"/>
        <v>129.5</v>
      </c>
      <c r="AN86" s="1622">
        <f t="shared" si="64"/>
        <v>1680</v>
      </c>
      <c r="AO86" s="1622">
        <f t="shared" si="65"/>
        <v>1250</v>
      </c>
      <c r="AR86" s="1625" t="s">
        <v>401</v>
      </c>
      <c r="AS86" s="1622">
        <v>7553683</v>
      </c>
      <c r="AT86" s="1622">
        <f t="shared" si="66"/>
        <v>7553.683</v>
      </c>
      <c r="AW86" s="1625" t="s">
        <v>389</v>
      </c>
      <c r="AX86" s="891">
        <v>14584000</v>
      </c>
      <c r="AY86" s="891">
        <v>11365189</v>
      </c>
      <c r="AZ86" s="891">
        <v>4367259</v>
      </c>
      <c r="BA86" s="891">
        <v>3218811</v>
      </c>
      <c r="BB86" s="1622">
        <f t="shared" si="67"/>
        <v>14584</v>
      </c>
      <c r="BC86" s="1622">
        <f t="shared" si="68"/>
        <v>11365.189</v>
      </c>
      <c r="BD86" s="1622">
        <f t="shared" si="69"/>
        <v>4367.259</v>
      </c>
      <c r="BE86" s="1622">
        <f t="shared" si="70"/>
        <v>3218.8110000000001</v>
      </c>
      <c r="BH86" s="1625" t="s">
        <v>409</v>
      </c>
      <c r="BI86" s="1622">
        <v>0</v>
      </c>
      <c r="BJ86" s="1622">
        <f t="shared" si="71"/>
        <v>0</v>
      </c>
      <c r="BM86" s="1625" t="s">
        <v>389</v>
      </c>
      <c r="BN86" s="1627">
        <v>13952209</v>
      </c>
      <c r="BO86" s="1627">
        <v>5855125</v>
      </c>
      <c r="BP86" s="1627">
        <v>11540189</v>
      </c>
      <c r="BQ86" s="1627">
        <v>2412020</v>
      </c>
      <c r="BR86" s="1622">
        <f t="shared" si="72"/>
        <v>13952.209000000001</v>
      </c>
      <c r="BS86" s="1622">
        <f t="shared" si="73"/>
        <v>5855.125</v>
      </c>
      <c r="BT86" s="1622">
        <f t="shared" si="74"/>
        <v>11540.189</v>
      </c>
      <c r="BU86" s="1622">
        <f t="shared" si="75"/>
        <v>2412.02</v>
      </c>
      <c r="BX86" s="1624" t="s">
        <v>601</v>
      </c>
      <c r="BY86" s="1622">
        <v>10036233</v>
      </c>
      <c r="BZ86" s="1622">
        <f t="shared" si="76"/>
        <v>10036.233</v>
      </c>
      <c r="CC86" s="1622" t="s">
        <v>388</v>
      </c>
      <c r="CD86" s="1622">
        <v>11194000</v>
      </c>
      <c r="CE86" s="1622">
        <v>4656916</v>
      </c>
      <c r="CF86" s="1622">
        <v>11194000</v>
      </c>
      <c r="CG86" s="1622">
        <v>0</v>
      </c>
      <c r="CH86" s="1622">
        <f t="shared" si="77"/>
        <v>11194</v>
      </c>
      <c r="CI86" s="1622">
        <f t="shared" si="78"/>
        <v>4656.9160000000002</v>
      </c>
      <c r="CJ86" s="1622">
        <f t="shared" si="79"/>
        <v>11194</v>
      </c>
      <c r="CK86" s="1622">
        <f t="shared" si="80"/>
        <v>0</v>
      </c>
      <c r="CN86" s="1624" t="s">
        <v>400</v>
      </c>
      <c r="CO86" s="1622">
        <v>23020208</v>
      </c>
      <c r="CP86" s="1622">
        <f t="shared" si="81"/>
        <v>23020.207999999999</v>
      </c>
      <c r="CS86" s="1625" t="s">
        <v>386</v>
      </c>
      <c r="CT86" s="891">
        <v>0</v>
      </c>
      <c r="CU86" s="891">
        <v>0</v>
      </c>
      <c r="CV86" s="891">
        <v>0</v>
      </c>
      <c r="CW86" s="891">
        <v>0</v>
      </c>
      <c r="CX86" s="1622">
        <f t="shared" si="82"/>
        <v>0</v>
      </c>
      <c r="CY86" s="1622">
        <f t="shared" si="83"/>
        <v>0</v>
      </c>
      <c r="CZ86" s="1622">
        <f t="shared" si="84"/>
        <v>0</v>
      </c>
      <c r="DA86" s="1622">
        <f t="shared" si="85"/>
        <v>0</v>
      </c>
      <c r="DD86" s="1624" t="s">
        <v>406</v>
      </c>
      <c r="DE86" s="1622">
        <v>140387667</v>
      </c>
      <c r="DF86" s="1622">
        <f t="shared" si="86"/>
        <v>140387.66699999999</v>
      </c>
      <c r="DJ86" s="1624" t="s">
        <v>386</v>
      </c>
      <c r="DK86" s="1622">
        <v>0</v>
      </c>
      <c r="DL86" s="1622">
        <v>0</v>
      </c>
      <c r="DM86" s="1622">
        <v>0</v>
      </c>
      <c r="DN86" s="1622">
        <v>0</v>
      </c>
      <c r="DO86" s="1622">
        <f t="shared" si="87"/>
        <v>0</v>
      </c>
      <c r="DP86" s="1622">
        <f t="shared" si="88"/>
        <v>0</v>
      </c>
      <c r="DQ86" s="1622">
        <f t="shared" si="89"/>
        <v>0</v>
      </c>
      <c r="DR86" s="1622">
        <f t="shared" si="90"/>
        <v>0</v>
      </c>
      <c r="DV86" s="780" t="s">
        <v>600</v>
      </c>
      <c r="DW86" s="779">
        <v>0</v>
      </c>
      <c r="DX86" s="1626">
        <f t="shared" si="91"/>
        <v>0</v>
      </c>
      <c r="EA86" s="780" t="s">
        <v>386</v>
      </c>
      <c r="EB86" s="779">
        <v>353430</v>
      </c>
      <c r="EC86" s="779">
        <v>0</v>
      </c>
      <c r="ED86" s="779">
        <v>353430</v>
      </c>
      <c r="EE86" s="779">
        <v>0</v>
      </c>
      <c r="EF86" s="166">
        <f t="shared" si="92"/>
        <v>353.43</v>
      </c>
      <c r="EG86" s="166">
        <f t="shared" si="93"/>
        <v>0</v>
      </c>
      <c r="EH86" s="166">
        <f t="shared" si="94"/>
        <v>353.43</v>
      </c>
      <c r="EI86" s="166">
        <f t="shared" si="95"/>
        <v>0</v>
      </c>
    </row>
    <row r="87" spans="1:139" ht="15" customHeight="1" x14ac:dyDescent="0.3">
      <c r="A87" s="1625" t="s">
        <v>392</v>
      </c>
      <c r="B87" s="891">
        <v>65582000</v>
      </c>
      <c r="C87" s="891">
        <v>65581752</v>
      </c>
      <c r="D87" s="891">
        <v>248</v>
      </c>
      <c r="E87" s="891">
        <v>5465146</v>
      </c>
      <c r="F87" s="891">
        <f t="shared" si="52"/>
        <v>65582</v>
      </c>
      <c r="G87" s="891">
        <f t="shared" si="53"/>
        <v>65581.751999999993</v>
      </c>
      <c r="H87" s="891">
        <f t="shared" si="54"/>
        <v>0.248</v>
      </c>
      <c r="I87" s="891">
        <f t="shared" si="55"/>
        <v>5465.1459999999997</v>
      </c>
      <c r="L87" s="1625" t="s">
        <v>608</v>
      </c>
      <c r="M87" s="891">
        <v>649037</v>
      </c>
      <c r="N87" s="891">
        <f t="shared" si="56"/>
        <v>649.03700000000003</v>
      </c>
      <c r="Q87" s="1625" t="s">
        <v>392</v>
      </c>
      <c r="R87" s="891">
        <v>65582000</v>
      </c>
      <c r="S87" s="891">
        <v>65581752</v>
      </c>
      <c r="T87" s="891">
        <v>248</v>
      </c>
      <c r="U87" s="891">
        <v>10930292</v>
      </c>
      <c r="V87" s="1622">
        <f t="shared" si="57"/>
        <v>65582</v>
      </c>
      <c r="W87" s="1622">
        <f t="shared" si="58"/>
        <v>65581.751999999993</v>
      </c>
      <c r="X87" s="1622">
        <f t="shared" si="59"/>
        <v>0.248</v>
      </c>
      <c r="Y87" s="1622">
        <f t="shared" si="60"/>
        <v>10930.291999999999</v>
      </c>
      <c r="AB87" s="1625" t="s">
        <v>398</v>
      </c>
      <c r="AC87" s="891">
        <v>639285</v>
      </c>
      <c r="AD87" s="1622">
        <f t="shared" si="61"/>
        <v>639.28499999999997</v>
      </c>
      <c r="AG87" s="1625" t="s">
        <v>391</v>
      </c>
      <c r="AH87" s="891">
        <v>16330320</v>
      </c>
      <c r="AI87" s="891">
        <v>3088281</v>
      </c>
      <c r="AJ87" s="891">
        <v>16240000</v>
      </c>
      <c r="AK87" s="891">
        <v>90320</v>
      </c>
      <c r="AL87" s="1622">
        <f t="shared" si="62"/>
        <v>16330.32</v>
      </c>
      <c r="AM87" s="1622">
        <f t="shared" si="63"/>
        <v>3088.2809999999999</v>
      </c>
      <c r="AN87" s="1622">
        <f t="shared" si="64"/>
        <v>16240</v>
      </c>
      <c r="AO87" s="1622">
        <f t="shared" si="65"/>
        <v>90.32</v>
      </c>
      <c r="AR87" s="1625" t="s">
        <v>493</v>
      </c>
      <c r="AS87" s="1622">
        <v>0</v>
      </c>
      <c r="AT87" s="1622">
        <f t="shared" si="66"/>
        <v>0</v>
      </c>
      <c r="AW87" s="1625" t="s">
        <v>390</v>
      </c>
      <c r="AX87" s="891">
        <v>2930000</v>
      </c>
      <c r="AY87" s="891">
        <v>1680000</v>
      </c>
      <c r="AZ87" s="891">
        <v>214050</v>
      </c>
      <c r="BA87" s="891">
        <v>1250000</v>
      </c>
      <c r="BB87" s="1622">
        <f t="shared" si="67"/>
        <v>2930</v>
      </c>
      <c r="BC87" s="1622">
        <f t="shared" si="68"/>
        <v>1680</v>
      </c>
      <c r="BD87" s="1622">
        <f t="shared" si="69"/>
        <v>214.05</v>
      </c>
      <c r="BE87" s="1622">
        <f t="shared" si="70"/>
        <v>1250</v>
      </c>
      <c r="BH87" s="1625" t="s">
        <v>608</v>
      </c>
      <c r="BI87" s="1622">
        <v>1544709</v>
      </c>
      <c r="BJ87" s="1622">
        <f t="shared" si="71"/>
        <v>1544.7090000000001</v>
      </c>
      <c r="BM87" s="1625" t="s">
        <v>390</v>
      </c>
      <c r="BN87" s="1627">
        <v>2930000</v>
      </c>
      <c r="BO87" s="1627">
        <v>333900</v>
      </c>
      <c r="BP87" s="1627">
        <v>1680000</v>
      </c>
      <c r="BQ87" s="1627">
        <v>1250000</v>
      </c>
      <c r="BR87" s="1622">
        <f t="shared" si="72"/>
        <v>2930</v>
      </c>
      <c r="BS87" s="1622">
        <f t="shared" si="73"/>
        <v>333.9</v>
      </c>
      <c r="BT87" s="1622">
        <f t="shared" si="74"/>
        <v>1680</v>
      </c>
      <c r="BU87" s="1622">
        <f t="shared" si="75"/>
        <v>1250</v>
      </c>
      <c r="BX87" s="1624" t="s">
        <v>602</v>
      </c>
      <c r="BY87" s="1622">
        <v>7413711</v>
      </c>
      <c r="BZ87" s="1622">
        <f t="shared" si="76"/>
        <v>7413.7110000000002</v>
      </c>
      <c r="CC87" s="1622" t="s">
        <v>389</v>
      </c>
      <c r="CD87" s="1622">
        <v>20540189</v>
      </c>
      <c r="CE87" s="1622">
        <v>6692736</v>
      </c>
      <c r="CF87" s="1622">
        <v>11540189</v>
      </c>
      <c r="CG87" s="1622">
        <v>9000000</v>
      </c>
      <c r="CH87" s="1622">
        <f t="shared" si="77"/>
        <v>20540.188999999998</v>
      </c>
      <c r="CI87" s="1622">
        <f t="shared" si="78"/>
        <v>6692.7359999999999</v>
      </c>
      <c r="CJ87" s="1622">
        <f t="shared" si="79"/>
        <v>11540.189</v>
      </c>
      <c r="CK87" s="1622">
        <f t="shared" si="80"/>
        <v>9000</v>
      </c>
      <c r="CN87" s="1624" t="s">
        <v>401</v>
      </c>
      <c r="CO87" s="1622">
        <v>6225078</v>
      </c>
      <c r="CP87" s="1622">
        <f t="shared" si="81"/>
        <v>6225.0780000000004</v>
      </c>
      <c r="CS87" s="1625" t="s">
        <v>387</v>
      </c>
      <c r="CT87" s="891">
        <v>168326145</v>
      </c>
      <c r="CU87" s="891">
        <v>76979259</v>
      </c>
      <c r="CV87" s="891">
        <v>167076145</v>
      </c>
      <c r="CW87" s="891">
        <v>1250000</v>
      </c>
      <c r="CX87" s="1622">
        <f t="shared" si="82"/>
        <v>168326.14499999999</v>
      </c>
      <c r="CY87" s="1622">
        <f t="shared" si="83"/>
        <v>76979.259000000005</v>
      </c>
      <c r="CZ87" s="1622">
        <f t="shared" si="84"/>
        <v>167076.14499999999</v>
      </c>
      <c r="DA87" s="1622">
        <f t="shared" si="85"/>
        <v>1250</v>
      </c>
      <c r="DD87" s="1624" t="s">
        <v>407</v>
      </c>
      <c r="DE87" s="1622">
        <v>0</v>
      </c>
      <c r="DF87" s="1622">
        <f t="shared" si="86"/>
        <v>0</v>
      </c>
      <c r="DJ87" s="1624" t="s">
        <v>387</v>
      </c>
      <c r="DK87" s="1622">
        <v>163816085</v>
      </c>
      <c r="DL87" s="1622">
        <v>161923395</v>
      </c>
      <c r="DM87" s="1622">
        <v>1892690</v>
      </c>
      <c r="DN87" s="1622">
        <v>97294589</v>
      </c>
      <c r="DO87" s="1622">
        <f t="shared" si="87"/>
        <v>163816.08499999999</v>
      </c>
      <c r="DP87" s="1622">
        <f t="shared" si="88"/>
        <v>161923.39499999999</v>
      </c>
      <c r="DQ87" s="1622">
        <f t="shared" si="89"/>
        <v>1892.69</v>
      </c>
      <c r="DR87" s="1622">
        <f t="shared" si="90"/>
        <v>97294.589000000007</v>
      </c>
      <c r="DV87" s="780" t="s">
        <v>397</v>
      </c>
      <c r="DW87" s="779">
        <v>882089</v>
      </c>
      <c r="DX87" s="1626">
        <f t="shared" si="91"/>
        <v>882.08900000000006</v>
      </c>
      <c r="EA87" s="780" t="s">
        <v>387</v>
      </c>
      <c r="EB87" s="779">
        <v>167437161</v>
      </c>
      <c r="EC87" s="779">
        <v>114874244</v>
      </c>
      <c r="ED87" s="779">
        <v>166187161</v>
      </c>
      <c r="EE87" s="779">
        <v>1250000</v>
      </c>
      <c r="EF87" s="166">
        <f t="shared" si="92"/>
        <v>167437.16099999999</v>
      </c>
      <c r="EG87" s="166">
        <f t="shared" si="93"/>
        <v>114874.24400000001</v>
      </c>
      <c r="EH87" s="166">
        <f t="shared" si="94"/>
        <v>166187.16099999999</v>
      </c>
      <c r="EI87" s="166">
        <f t="shared" si="95"/>
        <v>1250</v>
      </c>
    </row>
    <row r="88" spans="1:139" ht="15" customHeight="1" x14ac:dyDescent="0.3">
      <c r="A88" s="1625" t="s">
        <v>393</v>
      </c>
      <c r="B88" s="891">
        <v>7155769</v>
      </c>
      <c r="C88" s="891">
        <v>160163</v>
      </c>
      <c r="D88" s="891">
        <v>6995606</v>
      </c>
      <c r="E88" s="891">
        <v>0</v>
      </c>
      <c r="F88" s="891">
        <f t="shared" si="52"/>
        <v>7155.7690000000002</v>
      </c>
      <c r="G88" s="891">
        <f t="shared" si="53"/>
        <v>160.16300000000001</v>
      </c>
      <c r="H88" s="891">
        <f t="shared" si="54"/>
        <v>6995.6059999999998</v>
      </c>
      <c r="I88" s="891">
        <f t="shared" si="55"/>
        <v>0</v>
      </c>
      <c r="L88" s="1625" t="s">
        <v>410</v>
      </c>
      <c r="M88" s="891">
        <v>649037</v>
      </c>
      <c r="N88" s="891">
        <f t="shared" si="56"/>
        <v>649.03700000000003</v>
      </c>
      <c r="Q88" s="1625" t="s">
        <v>393</v>
      </c>
      <c r="R88" s="891">
        <v>7155769</v>
      </c>
      <c r="S88" s="891">
        <v>160163</v>
      </c>
      <c r="T88" s="891">
        <v>6995606</v>
      </c>
      <c r="U88" s="891">
        <v>0</v>
      </c>
      <c r="V88" s="1622">
        <f t="shared" si="57"/>
        <v>7155.7690000000002</v>
      </c>
      <c r="W88" s="1622">
        <f t="shared" si="58"/>
        <v>160.16300000000001</v>
      </c>
      <c r="X88" s="1622">
        <f t="shared" si="59"/>
        <v>6995.6059999999998</v>
      </c>
      <c r="Y88" s="1622">
        <f t="shared" si="60"/>
        <v>0</v>
      </c>
      <c r="AB88" s="1625" t="s">
        <v>399</v>
      </c>
      <c r="AC88" s="891">
        <v>3759984</v>
      </c>
      <c r="AD88" s="1622">
        <f t="shared" si="61"/>
        <v>3759.9839999999999</v>
      </c>
      <c r="AG88" s="1625" t="s">
        <v>392</v>
      </c>
      <c r="AH88" s="891">
        <v>65582000</v>
      </c>
      <c r="AI88" s="891">
        <v>16395438</v>
      </c>
      <c r="AJ88" s="891">
        <v>65581752</v>
      </c>
      <c r="AK88" s="891">
        <v>248</v>
      </c>
      <c r="AL88" s="1622">
        <f t="shared" si="62"/>
        <v>65582</v>
      </c>
      <c r="AM88" s="1622">
        <f t="shared" si="63"/>
        <v>16395.437999999998</v>
      </c>
      <c r="AN88" s="1622">
        <f t="shared" si="64"/>
        <v>65581.751999999993</v>
      </c>
      <c r="AO88" s="1622">
        <f t="shared" si="65"/>
        <v>0.248</v>
      </c>
      <c r="AR88" s="1625" t="s">
        <v>601</v>
      </c>
      <c r="AS88" s="1622">
        <v>14540784</v>
      </c>
      <c r="AT88" s="1622">
        <f t="shared" si="66"/>
        <v>14540.784</v>
      </c>
      <c r="AW88" s="1625" t="s">
        <v>391</v>
      </c>
      <c r="AX88" s="891">
        <v>16240000</v>
      </c>
      <c r="AY88" s="891">
        <v>16240000</v>
      </c>
      <c r="AZ88" s="891">
        <v>4577076</v>
      </c>
      <c r="BA88" s="891">
        <v>0</v>
      </c>
      <c r="BB88" s="1622">
        <f t="shared" si="67"/>
        <v>16240</v>
      </c>
      <c r="BC88" s="1622">
        <f t="shared" si="68"/>
        <v>16240</v>
      </c>
      <c r="BD88" s="1622">
        <f t="shared" si="69"/>
        <v>4577.076</v>
      </c>
      <c r="BE88" s="1622">
        <f t="shared" si="70"/>
        <v>0</v>
      </c>
      <c r="BH88" s="1625" t="s">
        <v>410</v>
      </c>
      <c r="BI88" s="1622">
        <v>1544709</v>
      </c>
      <c r="BJ88" s="1622">
        <f t="shared" si="71"/>
        <v>1544.7090000000001</v>
      </c>
      <c r="BM88" s="1625" t="s">
        <v>391</v>
      </c>
      <c r="BN88" s="1627">
        <v>16240000</v>
      </c>
      <c r="BO88" s="1627">
        <v>4597076</v>
      </c>
      <c r="BP88" s="1627">
        <v>16240000</v>
      </c>
      <c r="BQ88" s="1627">
        <v>0</v>
      </c>
      <c r="BR88" s="1622">
        <f t="shared" si="72"/>
        <v>16240</v>
      </c>
      <c r="BS88" s="1622">
        <f t="shared" si="73"/>
        <v>4597.076</v>
      </c>
      <c r="BT88" s="1622">
        <f t="shared" si="74"/>
        <v>16240</v>
      </c>
      <c r="BU88" s="1622">
        <f t="shared" si="75"/>
        <v>0</v>
      </c>
      <c r="BX88" s="1624" t="s">
        <v>603</v>
      </c>
      <c r="BY88" s="1622">
        <v>0</v>
      </c>
      <c r="BZ88" s="1622">
        <f t="shared" si="76"/>
        <v>0</v>
      </c>
      <c r="CC88" s="1622" t="s">
        <v>390</v>
      </c>
      <c r="CD88" s="1622">
        <v>2930000</v>
      </c>
      <c r="CE88" s="1622">
        <v>449750</v>
      </c>
      <c r="CF88" s="1622">
        <v>1680000</v>
      </c>
      <c r="CG88" s="1622">
        <v>1250000</v>
      </c>
      <c r="CH88" s="1622">
        <f t="shared" si="77"/>
        <v>2930</v>
      </c>
      <c r="CI88" s="1622">
        <f t="shared" si="78"/>
        <v>449.75</v>
      </c>
      <c r="CJ88" s="1622">
        <f t="shared" si="79"/>
        <v>1680</v>
      </c>
      <c r="CK88" s="1622">
        <f t="shared" si="80"/>
        <v>1250</v>
      </c>
      <c r="CN88" s="1624" t="s">
        <v>601</v>
      </c>
      <c r="CO88" s="1622">
        <v>10306098</v>
      </c>
      <c r="CP88" s="1622">
        <f t="shared" si="81"/>
        <v>10306.098</v>
      </c>
      <c r="CS88" s="1625" t="s">
        <v>388</v>
      </c>
      <c r="CT88" s="891">
        <v>11194000</v>
      </c>
      <c r="CU88" s="891">
        <v>5742393</v>
      </c>
      <c r="CV88" s="891">
        <v>11194000</v>
      </c>
      <c r="CW88" s="891">
        <v>0</v>
      </c>
      <c r="CX88" s="1622">
        <f t="shared" si="82"/>
        <v>11194</v>
      </c>
      <c r="CY88" s="1622">
        <f t="shared" si="83"/>
        <v>5742.393</v>
      </c>
      <c r="CZ88" s="1622">
        <f t="shared" si="84"/>
        <v>11194</v>
      </c>
      <c r="DA88" s="1622">
        <f t="shared" si="85"/>
        <v>0</v>
      </c>
      <c r="DD88" s="1624" t="s">
        <v>408</v>
      </c>
      <c r="DE88" s="1622">
        <v>306354477</v>
      </c>
      <c r="DF88" s="1622">
        <f t="shared" si="86"/>
        <v>306354.47700000001</v>
      </c>
      <c r="DJ88" s="1624" t="s">
        <v>388</v>
      </c>
      <c r="DK88" s="1622">
        <v>11504000</v>
      </c>
      <c r="DL88" s="1622">
        <v>11504000</v>
      </c>
      <c r="DM88" s="1622">
        <v>0</v>
      </c>
      <c r="DN88" s="1622">
        <v>7409260</v>
      </c>
      <c r="DO88" s="1622">
        <f t="shared" si="87"/>
        <v>11504</v>
      </c>
      <c r="DP88" s="1622">
        <f t="shared" si="88"/>
        <v>11504</v>
      </c>
      <c r="DQ88" s="1622">
        <f t="shared" si="89"/>
        <v>0</v>
      </c>
      <c r="DR88" s="1622">
        <f t="shared" si="90"/>
        <v>7409.26</v>
      </c>
      <c r="DV88" s="780" t="s">
        <v>398</v>
      </c>
      <c r="DW88" s="779">
        <v>882089</v>
      </c>
      <c r="DX88" s="1626">
        <f t="shared" si="91"/>
        <v>882.08900000000006</v>
      </c>
      <c r="EA88" s="780" t="s">
        <v>388</v>
      </c>
      <c r="EB88" s="779">
        <v>11504000</v>
      </c>
      <c r="EC88" s="779">
        <v>8349799</v>
      </c>
      <c r="ED88" s="779">
        <v>11504000</v>
      </c>
      <c r="EE88" s="779">
        <v>0</v>
      </c>
      <c r="EF88" s="166">
        <f t="shared" si="92"/>
        <v>11504</v>
      </c>
      <c r="EG88" s="166">
        <f t="shared" si="93"/>
        <v>8349.7990000000009</v>
      </c>
      <c r="EH88" s="166">
        <f t="shared" si="94"/>
        <v>11504</v>
      </c>
      <c r="EI88" s="166">
        <f t="shared" si="95"/>
        <v>0</v>
      </c>
    </row>
    <row r="89" spans="1:139" ht="15" customHeight="1" x14ac:dyDescent="0.3">
      <c r="A89" s="1625" t="s">
        <v>394</v>
      </c>
      <c r="B89" s="891">
        <v>6600000</v>
      </c>
      <c r="C89" s="891">
        <v>5691808</v>
      </c>
      <c r="D89" s="891">
        <v>908192</v>
      </c>
      <c r="E89" s="891">
        <v>0</v>
      </c>
      <c r="F89" s="891">
        <f t="shared" si="52"/>
        <v>6600</v>
      </c>
      <c r="G89" s="891">
        <f t="shared" si="53"/>
        <v>5691.808</v>
      </c>
      <c r="H89" s="891">
        <f t="shared" si="54"/>
        <v>908.19200000000001</v>
      </c>
      <c r="I89" s="891">
        <f t="shared" si="55"/>
        <v>0</v>
      </c>
      <c r="L89" s="1625" t="s">
        <v>609</v>
      </c>
      <c r="M89" s="891">
        <v>0</v>
      </c>
      <c r="N89" s="891">
        <f t="shared" si="56"/>
        <v>0</v>
      </c>
      <c r="Q89" s="1625" t="s">
        <v>394</v>
      </c>
      <c r="R89" s="891">
        <v>6600000</v>
      </c>
      <c r="S89" s="891">
        <v>5691808</v>
      </c>
      <c r="T89" s="891">
        <v>908192</v>
      </c>
      <c r="U89" s="891">
        <v>0</v>
      </c>
      <c r="V89" s="1622">
        <f t="shared" si="57"/>
        <v>6600</v>
      </c>
      <c r="W89" s="1622">
        <f t="shared" si="58"/>
        <v>5691.808</v>
      </c>
      <c r="X89" s="1622">
        <f t="shared" si="59"/>
        <v>908.19200000000001</v>
      </c>
      <c r="Y89" s="1622">
        <f t="shared" si="60"/>
        <v>0</v>
      </c>
      <c r="AB89" s="1625" t="s">
        <v>400</v>
      </c>
      <c r="AC89" s="891">
        <v>36131913</v>
      </c>
      <c r="AD89" s="1622">
        <f t="shared" si="61"/>
        <v>36131.913</v>
      </c>
      <c r="AG89" s="1625" t="s">
        <v>393</v>
      </c>
      <c r="AH89" s="891">
        <v>7114286</v>
      </c>
      <c r="AI89" s="891">
        <v>0</v>
      </c>
      <c r="AJ89" s="891">
        <v>7095769</v>
      </c>
      <c r="AK89" s="891">
        <v>18517</v>
      </c>
      <c r="AL89" s="1622">
        <f t="shared" si="62"/>
        <v>7114.2860000000001</v>
      </c>
      <c r="AM89" s="1622">
        <f t="shared" si="63"/>
        <v>0</v>
      </c>
      <c r="AN89" s="1622">
        <f t="shared" si="64"/>
        <v>7095.7690000000002</v>
      </c>
      <c r="AO89" s="1622">
        <f t="shared" si="65"/>
        <v>18.516999999999999</v>
      </c>
      <c r="AR89" s="1625" t="s">
        <v>602</v>
      </c>
      <c r="AS89" s="1622">
        <v>6809000</v>
      </c>
      <c r="AT89" s="1622">
        <f t="shared" si="66"/>
        <v>6809</v>
      </c>
      <c r="AW89" s="1625" t="s">
        <v>392</v>
      </c>
      <c r="AX89" s="891">
        <v>65581752</v>
      </c>
      <c r="AY89" s="891">
        <v>65581752</v>
      </c>
      <c r="AZ89" s="891">
        <v>16395438</v>
      </c>
      <c r="BA89" s="891">
        <v>0</v>
      </c>
      <c r="BB89" s="1622">
        <f t="shared" si="67"/>
        <v>65581.751999999993</v>
      </c>
      <c r="BC89" s="1622">
        <f t="shared" si="68"/>
        <v>65581.751999999993</v>
      </c>
      <c r="BD89" s="1622">
        <f t="shared" si="69"/>
        <v>16395.437999999998</v>
      </c>
      <c r="BE89" s="1622">
        <f t="shared" si="70"/>
        <v>0</v>
      </c>
      <c r="BH89" s="1625" t="s">
        <v>411</v>
      </c>
      <c r="BI89" s="1622">
        <v>0</v>
      </c>
      <c r="BJ89" s="1622">
        <f t="shared" si="71"/>
        <v>0</v>
      </c>
      <c r="BM89" s="1625" t="s">
        <v>392</v>
      </c>
      <c r="BN89" s="1627">
        <v>65581752</v>
      </c>
      <c r="BO89" s="1627">
        <v>21860584</v>
      </c>
      <c r="BP89" s="1627">
        <v>65581752</v>
      </c>
      <c r="BQ89" s="1627">
        <v>0</v>
      </c>
      <c r="BR89" s="1622">
        <f t="shared" si="72"/>
        <v>65581.751999999993</v>
      </c>
      <c r="BS89" s="1622">
        <f t="shared" si="73"/>
        <v>21860.583999999999</v>
      </c>
      <c r="BT89" s="1622">
        <f t="shared" si="74"/>
        <v>65581.751999999993</v>
      </c>
      <c r="BU89" s="1622">
        <f t="shared" si="75"/>
        <v>0</v>
      </c>
      <c r="BX89" s="1624" t="s">
        <v>402</v>
      </c>
      <c r="BY89" s="1622">
        <v>6801897</v>
      </c>
      <c r="BZ89" s="1622">
        <f t="shared" si="76"/>
        <v>6801.8969999999999</v>
      </c>
      <c r="CC89" s="1622" t="s">
        <v>391</v>
      </c>
      <c r="CD89" s="1622">
        <v>16240000</v>
      </c>
      <c r="CE89" s="1622">
        <v>6107494</v>
      </c>
      <c r="CF89" s="1622">
        <v>16240000</v>
      </c>
      <c r="CG89" s="1622">
        <v>0</v>
      </c>
      <c r="CH89" s="1622">
        <f t="shared" si="77"/>
        <v>16240</v>
      </c>
      <c r="CI89" s="1622">
        <f t="shared" si="78"/>
        <v>6107.4939999999997</v>
      </c>
      <c r="CJ89" s="1622">
        <f t="shared" si="79"/>
        <v>16240</v>
      </c>
      <c r="CK89" s="1622">
        <f t="shared" si="80"/>
        <v>0</v>
      </c>
      <c r="CN89" s="1624" t="s">
        <v>602</v>
      </c>
      <c r="CO89" s="1622">
        <v>4427000</v>
      </c>
      <c r="CP89" s="1622">
        <f t="shared" si="81"/>
        <v>4427</v>
      </c>
      <c r="CS89" s="1625" t="s">
        <v>389</v>
      </c>
      <c r="CT89" s="891">
        <v>20540189</v>
      </c>
      <c r="CU89" s="891">
        <v>8145103</v>
      </c>
      <c r="CV89" s="891">
        <v>20540189</v>
      </c>
      <c r="CW89" s="891">
        <v>0</v>
      </c>
      <c r="CX89" s="1622">
        <f t="shared" si="82"/>
        <v>20540.188999999998</v>
      </c>
      <c r="CY89" s="1622">
        <f t="shared" si="83"/>
        <v>8145.1030000000001</v>
      </c>
      <c r="CZ89" s="1622">
        <f t="shared" si="84"/>
        <v>20540.188999999998</v>
      </c>
      <c r="DA89" s="1622">
        <f t="shared" si="85"/>
        <v>0</v>
      </c>
      <c r="DD89" s="1624" t="s">
        <v>409</v>
      </c>
      <c r="DE89" s="1622">
        <v>12318910</v>
      </c>
      <c r="DF89" s="1622">
        <f t="shared" si="86"/>
        <v>12318.91</v>
      </c>
      <c r="DJ89" s="1624" t="s">
        <v>389</v>
      </c>
      <c r="DK89" s="1622">
        <v>15360129</v>
      </c>
      <c r="DL89" s="1622">
        <v>14720189</v>
      </c>
      <c r="DM89" s="1622">
        <v>639940</v>
      </c>
      <c r="DN89" s="1622">
        <v>9487968</v>
      </c>
      <c r="DO89" s="1622">
        <f t="shared" si="87"/>
        <v>15360.129000000001</v>
      </c>
      <c r="DP89" s="1622">
        <f t="shared" si="88"/>
        <v>14720.189</v>
      </c>
      <c r="DQ89" s="1622">
        <f t="shared" si="89"/>
        <v>639.94000000000005</v>
      </c>
      <c r="DR89" s="1622">
        <f t="shared" si="90"/>
        <v>9487.9680000000008</v>
      </c>
      <c r="DV89" s="780" t="s">
        <v>399</v>
      </c>
      <c r="DW89" s="779">
        <v>0</v>
      </c>
      <c r="DX89" s="1626">
        <f t="shared" si="91"/>
        <v>0</v>
      </c>
      <c r="EA89" s="780" t="s">
        <v>389</v>
      </c>
      <c r="EB89" s="779">
        <v>18983955</v>
      </c>
      <c r="EC89" s="779">
        <v>10160328</v>
      </c>
      <c r="ED89" s="779">
        <v>18983955</v>
      </c>
      <c r="EE89" s="779">
        <v>0</v>
      </c>
      <c r="EF89" s="166">
        <f t="shared" si="92"/>
        <v>18983.955000000002</v>
      </c>
      <c r="EG89" s="166">
        <f t="shared" si="93"/>
        <v>10160.328</v>
      </c>
      <c r="EH89" s="166">
        <f t="shared" si="94"/>
        <v>18983.955000000002</v>
      </c>
      <c r="EI89" s="166">
        <f t="shared" si="95"/>
        <v>0</v>
      </c>
    </row>
    <row r="90" spans="1:139" ht="15" customHeight="1" x14ac:dyDescent="0.3">
      <c r="A90" s="1625" t="s">
        <v>595</v>
      </c>
      <c r="B90" s="891">
        <v>38400000</v>
      </c>
      <c r="C90" s="891">
        <v>37629672</v>
      </c>
      <c r="D90" s="891">
        <v>770328</v>
      </c>
      <c r="E90" s="891">
        <v>0</v>
      </c>
      <c r="F90" s="891">
        <f t="shared" si="52"/>
        <v>38400</v>
      </c>
      <c r="G90" s="891">
        <f t="shared" si="53"/>
        <v>37629.671999999999</v>
      </c>
      <c r="H90" s="891">
        <f t="shared" si="54"/>
        <v>770.32799999999997</v>
      </c>
      <c r="I90" s="891">
        <f t="shared" si="55"/>
        <v>0</v>
      </c>
      <c r="L90" s="1625" t="s">
        <v>412</v>
      </c>
      <c r="M90" s="891">
        <v>7734844</v>
      </c>
      <c r="N90" s="891">
        <f t="shared" si="56"/>
        <v>7734.8440000000001</v>
      </c>
      <c r="Q90" s="1625" t="s">
        <v>595</v>
      </c>
      <c r="R90" s="891">
        <v>38400000</v>
      </c>
      <c r="S90" s="891">
        <v>37629672</v>
      </c>
      <c r="T90" s="891">
        <v>770328</v>
      </c>
      <c r="U90" s="891">
        <v>0</v>
      </c>
      <c r="V90" s="1622">
        <f t="shared" si="57"/>
        <v>38400</v>
      </c>
      <c r="W90" s="1622">
        <f t="shared" si="58"/>
        <v>37629.671999999999</v>
      </c>
      <c r="X90" s="1622">
        <f t="shared" si="59"/>
        <v>770.32799999999997</v>
      </c>
      <c r="Y90" s="1622">
        <f t="shared" si="60"/>
        <v>0</v>
      </c>
      <c r="AB90" s="1625" t="s">
        <v>401</v>
      </c>
      <c r="AC90" s="891">
        <v>8761982</v>
      </c>
      <c r="AD90" s="1622">
        <f t="shared" si="61"/>
        <v>8761.982</v>
      </c>
      <c r="AG90" s="1625" t="s">
        <v>394</v>
      </c>
      <c r="AH90" s="891">
        <v>7114763</v>
      </c>
      <c r="AI90" s="891">
        <v>2845902</v>
      </c>
      <c r="AJ90" s="891">
        <v>7114763</v>
      </c>
      <c r="AK90" s="891">
        <v>0</v>
      </c>
      <c r="AL90" s="1622">
        <f t="shared" si="62"/>
        <v>7114.7629999999999</v>
      </c>
      <c r="AM90" s="1622">
        <f t="shared" si="63"/>
        <v>2845.902</v>
      </c>
      <c r="AN90" s="1622">
        <f t="shared" si="64"/>
        <v>7114.7629999999999</v>
      </c>
      <c r="AO90" s="1622">
        <f t="shared" si="65"/>
        <v>0</v>
      </c>
      <c r="AR90" s="1625" t="s">
        <v>603</v>
      </c>
      <c r="AS90" s="1622">
        <v>609021</v>
      </c>
      <c r="AT90" s="1622">
        <f t="shared" si="66"/>
        <v>609.02099999999996</v>
      </c>
      <c r="AW90" s="1625" t="s">
        <v>393</v>
      </c>
      <c r="AX90" s="891">
        <v>7114286</v>
      </c>
      <c r="AY90" s="891">
        <v>7095769</v>
      </c>
      <c r="AZ90" s="891">
        <v>0</v>
      </c>
      <c r="BA90" s="891">
        <v>18517</v>
      </c>
      <c r="BB90" s="1622">
        <f t="shared" si="67"/>
        <v>7114.2860000000001</v>
      </c>
      <c r="BC90" s="1622">
        <f t="shared" si="68"/>
        <v>7095.7690000000002</v>
      </c>
      <c r="BD90" s="1622">
        <f t="shared" si="69"/>
        <v>0</v>
      </c>
      <c r="BE90" s="1622">
        <f t="shared" si="70"/>
        <v>18.516999999999999</v>
      </c>
      <c r="BH90" s="1625" t="s">
        <v>610</v>
      </c>
      <c r="BI90" s="1622">
        <v>183168000</v>
      </c>
      <c r="BJ90" s="1622">
        <f t="shared" si="71"/>
        <v>183168</v>
      </c>
      <c r="BM90" s="1625" t="s">
        <v>393</v>
      </c>
      <c r="BN90" s="1627">
        <v>7095769</v>
      </c>
      <c r="BO90" s="1627">
        <v>0</v>
      </c>
      <c r="BP90" s="1627">
        <v>7095769</v>
      </c>
      <c r="BQ90" s="1627">
        <v>0</v>
      </c>
      <c r="BR90" s="1622">
        <f t="shared" si="72"/>
        <v>7095.7690000000002</v>
      </c>
      <c r="BS90" s="1622">
        <f t="shared" si="73"/>
        <v>0</v>
      </c>
      <c r="BT90" s="1622">
        <f t="shared" si="74"/>
        <v>7095.7690000000002</v>
      </c>
      <c r="BU90" s="1622">
        <f t="shared" si="75"/>
        <v>0</v>
      </c>
      <c r="BX90" s="1624" t="s">
        <v>403</v>
      </c>
      <c r="BY90" s="1622">
        <v>27384336</v>
      </c>
      <c r="BZ90" s="1622">
        <f t="shared" si="76"/>
        <v>27384.335999999999</v>
      </c>
      <c r="CC90" s="1622" t="s">
        <v>392</v>
      </c>
      <c r="CD90" s="1622">
        <v>65581752</v>
      </c>
      <c r="CE90" s="1622">
        <v>27325730</v>
      </c>
      <c r="CF90" s="1622">
        <v>65581752</v>
      </c>
      <c r="CG90" s="1622">
        <v>0</v>
      </c>
      <c r="CH90" s="1622">
        <f t="shared" si="77"/>
        <v>65581.751999999993</v>
      </c>
      <c r="CI90" s="1622">
        <f t="shared" si="78"/>
        <v>27325.73</v>
      </c>
      <c r="CJ90" s="1622">
        <f t="shared" si="79"/>
        <v>65581.751999999993</v>
      </c>
      <c r="CK90" s="1622">
        <f t="shared" si="80"/>
        <v>0</v>
      </c>
      <c r="CN90" s="1624" t="s">
        <v>402</v>
      </c>
      <c r="CO90" s="1622">
        <v>2062032</v>
      </c>
      <c r="CP90" s="1622">
        <f t="shared" si="81"/>
        <v>2062.0320000000002</v>
      </c>
      <c r="CS90" s="1625" t="s">
        <v>390</v>
      </c>
      <c r="CT90" s="891">
        <v>2930000</v>
      </c>
      <c r="CU90" s="891">
        <v>751900</v>
      </c>
      <c r="CV90" s="891">
        <v>1680000</v>
      </c>
      <c r="CW90" s="891">
        <v>1250000</v>
      </c>
      <c r="CX90" s="1622">
        <f t="shared" si="82"/>
        <v>2930</v>
      </c>
      <c r="CY90" s="1622">
        <f t="shared" si="83"/>
        <v>751.9</v>
      </c>
      <c r="CZ90" s="1622">
        <f t="shared" si="84"/>
        <v>1680</v>
      </c>
      <c r="DA90" s="1622">
        <f t="shared" si="85"/>
        <v>1250</v>
      </c>
      <c r="DD90" s="1624" t="s">
        <v>608</v>
      </c>
      <c r="DE90" s="1622">
        <v>1336685</v>
      </c>
      <c r="DF90" s="1622">
        <f t="shared" si="86"/>
        <v>1336.6849999999999</v>
      </c>
      <c r="DJ90" s="1624" t="s">
        <v>390</v>
      </c>
      <c r="DK90" s="1622">
        <v>3290000</v>
      </c>
      <c r="DL90" s="1622">
        <v>2037250</v>
      </c>
      <c r="DM90" s="1622">
        <v>1252750</v>
      </c>
      <c r="DN90" s="1622">
        <v>1109150</v>
      </c>
      <c r="DO90" s="1622">
        <f t="shared" si="87"/>
        <v>3290</v>
      </c>
      <c r="DP90" s="1622">
        <f t="shared" si="88"/>
        <v>2037.25</v>
      </c>
      <c r="DQ90" s="1622">
        <f t="shared" si="89"/>
        <v>1252.75</v>
      </c>
      <c r="DR90" s="1622">
        <f t="shared" si="90"/>
        <v>1109.1500000000001</v>
      </c>
      <c r="DV90" s="780" t="s">
        <v>400</v>
      </c>
      <c r="DW90" s="779">
        <v>53864068</v>
      </c>
      <c r="DX90" s="1626">
        <f t="shared" si="91"/>
        <v>53864.067999999999</v>
      </c>
      <c r="EA90" s="780" t="s">
        <v>390</v>
      </c>
      <c r="EB90" s="779">
        <v>3287250</v>
      </c>
      <c r="EC90" s="779">
        <v>1109150</v>
      </c>
      <c r="ED90" s="779">
        <v>2037250</v>
      </c>
      <c r="EE90" s="779">
        <v>1250000</v>
      </c>
      <c r="EF90" s="166">
        <f t="shared" si="92"/>
        <v>3287.25</v>
      </c>
      <c r="EG90" s="166">
        <f t="shared" si="93"/>
        <v>1109.1500000000001</v>
      </c>
      <c r="EH90" s="166">
        <f t="shared" si="94"/>
        <v>2037.25</v>
      </c>
      <c r="EI90" s="166">
        <f t="shared" si="95"/>
        <v>1250</v>
      </c>
    </row>
    <row r="91" spans="1:139" ht="15" customHeight="1" x14ac:dyDescent="0.3">
      <c r="A91" s="1625" t="s">
        <v>395</v>
      </c>
      <c r="B91" s="891">
        <v>64128500</v>
      </c>
      <c r="C91" s="891">
        <v>24845846</v>
      </c>
      <c r="D91" s="891">
        <v>39282654</v>
      </c>
      <c r="E91" s="891">
        <v>14879873</v>
      </c>
      <c r="F91" s="891">
        <f t="shared" si="52"/>
        <v>64128.5</v>
      </c>
      <c r="G91" s="891">
        <f t="shared" si="53"/>
        <v>24845.846000000001</v>
      </c>
      <c r="H91" s="891">
        <f t="shared" si="54"/>
        <v>39282.654000000002</v>
      </c>
      <c r="I91" s="891">
        <f t="shared" si="55"/>
        <v>14879.873</v>
      </c>
      <c r="L91" s="1625" t="s">
        <v>413</v>
      </c>
      <c r="M91" s="891">
        <v>7734844</v>
      </c>
      <c r="N91" s="891">
        <f t="shared" si="56"/>
        <v>7734.8440000000001</v>
      </c>
      <c r="Q91" s="1625" t="s">
        <v>395</v>
      </c>
      <c r="R91" s="891">
        <v>74783152</v>
      </c>
      <c r="S91" s="891">
        <v>26754948</v>
      </c>
      <c r="T91" s="891">
        <v>48028204</v>
      </c>
      <c r="U91" s="891">
        <v>20497062</v>
      </c>
      <c r="V91" s="1622">
        <f t="shared" si="57"/>
        <v>74783.152000000002</v>
      </c>
      <c r="W91" s="1622">
        <f t="shared" si="58"/>
        <v>26754.948</v>
      </c>
      <c r="X91" s="1622">
        <f t="shared" si="59"/>
        <v>48028.203999999998</v>
      </c>
      <c r="Y91" s="1622">
        <f t="shared" si="60"/>
        <v>20497.062000000002</v>
      </c>
      <c r="AB91" s="1625" t="s">
        <v>493</v>
      </c>
      <c r="AC91" s="891">
        <v>0</v>
      </c>
      <c r="AD91" s="1622">
        <f t="shared" si="61"/>
        <v>0</v>
      </c>
      <c r="AG91" s="1625" t="s">
        <v>595</v>
      </c>
      <c r="AH91" s="891">
        <v>38400000</v>
      </c>
      <c r="AI91" s="891">
        <v>0</v>
      </c>
      <c r="AJ91" s="891">
        <v>37629672</v>
      </c>
      <c r="AK91" s="891">
        <v>770328</v>
      </c>
      <c r="AL91" s="1622">
        <f t="shared" si="62"/>
        <v>38400</v>
      </c>
      <c r="AM91" s="1622">
        <f t="shared" si="63"/>
        <v>0</v>
      </c>
      <c r="AN91" s="1622">
        <f t="shared" si="64"/>
        <v>37629.671999999999</v>
      </c>
      <c r="AO91" s="1622">
        <f t="shared" si="65"/>
        <v>770.32799999999997</v>
      </c>
      <c r="AR91" s="1625" t="s">
        <v>402</v>
      </c>
      <c r="AS91" s="1622">
        <v>4582988</v>
      </c>
      <c r="AT91" s="1622">
        <f t="shared" si="66"/>
        <v>4582.9880000000003</v>
      </c>
      <c r="AW91" s="1625" t="s">
        <v>394</v>
      </c>
      <c r="AX91" s="891">
        <v>7114763</v>
      </c>
      <c r="AY91" s="891">
        <v>7114763</v>
      </c>
      <c r="AZ91" s="891">
        <v>2845902</v>
      </c>
      <c r="BA91" s="891">
        <v>0</v>
      </c>
      <c r="BB91" s="1622">
        <f t="shared" si="67"/>
        <v>7114.7629999999999</v>
      </c>
      <c r="BC91" s="1622">
        <f t="shared" si="68"/>
        <v>7114.7629999999999</v>
      </c>
      <c r="BD91" s="1622">
        <f t="shared" si="69"/>
        <v>2845.902</v>
      </c>
      <c r="BE91" s="1622">
        <f t="shared" si="70"/>
        <v>0</v>
      </c>
      <c r="BH91" s="1625" t="s">
        <v>611</v>
      </c>
      <c r="BI91" s="1622">
        <v>183168000</v>
      </c>
      <c r="BJ91" s="1622">
        <f t="shared" si="71"/>
        <v>183168</v>
      </c>
      <c r="BM91" s="1625" t="s">
        <v>394</v>
      </c>
      <c r="BN91" s="1627">
        <v>7114763</v>
      </c>
      <c r="BO91" s="1627">
        <v>2845902</v>
      </c>
      <c r="BP91" s="1627">
        <v>7114763</v>
      </c>
      <c r="BQ91" s="1627">
        <v>0</v>
      </c>
      <c r="BR91" s="1622">
        <f t="shared" si="72"/>
        <v>7114.7629999999999</v>
      </c>
      <c r="BS91" s="1622">
        <f t="shared" si="73"/>
        <v>2845.902</v>
      </c>
      <c r="BT91" s="1622">
        <f t="shared" si="74"/>
        <v>7114.7629999999999</v>
      </c>
      <c r="BU91" s="1622">
        <f t="shared" si="75"/>
        <v>0</v>
      </c>
      <c r="BX91" s="1624" t="s">
        <v>404</v>
      </c>
      <c r="BY91" s="1622">
        <v>21403648</v>
      </c>
      <c r="BZ91" s="1622">
        <f t="shared" si="76"/>
        <v>21403.648000000001</v>
      </c>
      <c r="CC91" s="1622" t="s">
        <v>393</v>
      </c>
      <c r="CD91" s="1622">
        <v>7095769</v>
      </c>
      <c r="CE91" s="1622">
        <v>0</v>
      </c>
      <c r="CF91" s="1622">
        <v>7095769</v>
      </c>
      <c r="CG91" s="1622">
        <v>0</v>
      </c>
      <c r="CH91" s="1622">
        <f t="shared" si="77"/>
        <v>7095.7690000000002</v>
      </c>
      <c r="CI91" s="1622">
        <f t="shared" si="78"/>
        <v>0</v>
      </c>
      <c r="CJ91" s="1622">
        <f t="shared" si="79"/>
        <v>7095.7690000000002</v>
      </c>
      <c r="CK91" s="1622">
        <f t="shared" si="80"/>
        <v>0</v>
      </c>
      <c r="CN91" s="1624" t="s">
        <v>403</v>
      </c>
      <c r="CO91" s="1622">
        <v>97271547</v>
      </c>
      <c r="CP91" s="1622">
        <f t="shared" si="81"/>
        <v>97271.547000000006</v>
      </c>
      <c r="CS91" s="1625" t="s">
        <v>391</v>
      </c>
      <c r="CT91" s="891">
        <v>16240000</v>
      </c>
      <c r="CU91" s="891">
        <v>7413932</v>
      </c>
      <c r="CV91" s="891">
        <v>16240000</v>
      </c>
      <c r="CW91" s="891">
        <v>0</v>
      </c>
      <c r="CX91" s="1622">
        <f t="shared" si="82"/>
        <v>16240</v>
      </c>
      <c r="CY91" s="1622">
        <f t="shared" si="83"/>
        <v>7413.9319999999998</v>
      </c>
      <c r="CZ91" s="1622">
        <f t="shared" si="84"/>
        <v>16240</v>
      </c>
      <c r="DA91" s="1622">
        <f t="shared" si="85"/>
        <v>0</v>
      </c>
      <c r="DD91" s="1624" t="s">
        <v>410</v>
      </c>
      <c r="DE91" s="1622">
        <v>1336685</v>
      </c>
      <c r="DF91" s="1622">
        <f t="shared" si="86"/>
        <v>1336.6849999999999</v>
      </c>
      <c r="DJ91" s="1624" t="s">
        <v>391</v>
      </c>
      <c r="DK91" s="1622">
        <v>16240000</v>
      </c>
      <c r="DL91" s="1622">
        <v>16240000</v>
      </c>
      <c r="DM91" s="1622">
        <v>0</v>
      </c>
      <c r="DN91" s="1622">
        <v>9347548</v>
      </c>
      <c r="DO91" s="1622">
        <f t="shared" si="87"/>
        <v>16240</v>
      </c>
      <c r="DP91" s="1622">
        <f t="shared" si="88"/>
        <v>16240</v>
      </c>
      <c r="DQ91" s="1622">
        <f t="shared" si="89"/>
        <v>0</v>
      </c>
      <c r="DR91" s="1622">
        <f t="shared" si="90"/>
        <v>9347.5480000000007</v>
      </c>
      <c r="DV91" s="780" t="s">
        <v>401</v>
      </c>
      <c r="DW91" s="779">
        <v>8012084</v>
      </c>
      <c r="DX91" s="1626">
        <f t="shared" si="91"/>
        <v>8012.0839999999998</v>
      </c>
      <c r="EA91" s="780" t="s">
        <v>391</v>
      </c>
      <c r="EB91" s="779">
        <v>16240000</v>
      </c>
      <c r="EC91" s="779">
        <v>10720638</v>
      </c>
      <c r="ED91" s="779">
        <v>16240000</v>
      </c>
      <c r="EE91" s="779">
        <v>0</v>
      </c>
      <c r="EF91" s="166">
        <f t="shared" si="92"/>
        <v>16240</v>
      </c>
      <c r="EG91" s="166">
        <f t="shared" si="93"/>
        <v>10720.638000000001</v>
      </c>
      <c r="EH91" s="166">
        <f t="shared" si="94"/>
        <v>16240</v>
      </c>
      <c r="EI91" s="166">
        <f t="shared" si="95"/>
        <v>0</v>
      </c>
    </row>
    <row r="92" spans="1:139" ht="15" customHeight="1" x14ac:dyDescent="0.3">
      <c r="A92" s="1625" t="s">
        <v>596</v>
      </c>
      <c r="B92" s="891">
        <v>26300000</v>
      </c>
      <c r="C92" s="891">
        <v>17778645</v>
      </c>
      <c r="D92" s="891">
        <v>8521355</v>
      </c>
      <c r="E92" s="891">
        <v>13197645</v>
      </c>
      <c r="F92" s="891">
        <f t="shared" si="52"/>
        <v>26300</v>
      </c>
      <c r="G92" s="891">
        <f t="shared" si="53"/>
        <v>17778.645</v>
      </c>
      <c r="H92" s="891">
        <f t="shared" si="54"/>
        <v>8521.3549999999996</v>
      </c>
      <c r="I92" s="891">
        <f t="shared" si="55"/>
        <v>13197.645</v>
      </c>
      <c r="L92" s="1625" t="s">
        <v>532</v>
      </c>
      <c r="M92" s="891">
        <v>7734844</v>
      </c>
      <c r="N92" s="891">
        <f t="shared" si="56"/>
        <v>7734.8440000000001</v>
      </c>
      <c r="Q92" s="1625" t="s">
        <v>596</v>
      </c>
      <c r="R92" s="891">
        <v>43644827</v>
      </c>
      <c r="S92" s="891">
        <v>17778645</v>
      </c>
      <c r="T92" s="891">
        <v>25866182</v>
      </c>
      <c r="U92" s="891">
        <v>17778645</v>
      </c>
      <c r="V92" s="1622">
        <f t="shared" si="57"/>
        <v>43644.826999999997</v>
      </c>
      <c r="W92" s="1622">
        <f t="shared" si="58"/>
        <v>17778.645</v>
      </c>
      <c r="X92" s="1622">
        <f t="shared" si="59"/>
        <v>25866.182000000001</v>
      </c>
      <c r="Y92" s="1622">
        <f t="shared" si="60"/>
        <v>17778.645</v>
      </c>
      <c r="AB92" s="1625" t="s">
        <v>601</v>
      </c>
      <c r="AC92" s="891">
        <v>15047941</v>
      </c>
      <c r="AD92" s="1622">
        <f t="shared" si="61"/>
        <v>15047.941000000001</v>
      </c>
      <c r="AG92" s="1625" t="s">
        <v>395</v>
      </c>
      <c r="AH92" s="891">
        <v>74521863</v>
      </c>
      <c r="AI92" s="891">
        <v>23181061</v>
      </c>
      <c r="AJ92" s="891">
        <v>29533080</v>
      </c>
      <c r="AK92" s="891">
        <v>44988783</v>
      </c>
      <c r="AL92" s="1622">
        <f t="shared" si="62"/>
        <v>74521.862999999998</v>
      </c>
      <c r="AM92" s="1622">
        <f t="shared" si="63"/>
        <v>23181.061000000002</v>
      </c>
      <c r="AN92" s="1622">
        <f t="shared" si="64"/>
        <v>29533.08</v>
      </c>
      <c r="AO92" s="1622">
        <f t="shared" si="65"/>
        <v>44988.783000000003</v>
      </c>
      <c r="AR92" s="1625" t="s">
        <v>403</v>
      </c>
      <c r="AS92" s="1622">
        <v>70709307</v>
      </c>
      <c r="AT92" s="1622">
        <f t="shared" si="66"/>
        <v>70709.307000000001</v>
      </c>
      <c r="AW92" s="1625" t="s">
        <v>595</v>
      </c>
      <c r="AX92" s="891">
        <v>38400000</v>
      </c>
      <c r="AY92" s="891">
        <v>37629672</v>
      </c>
      <c r="AZ92" s="891">
        <v>9407418</v>
      </c>
      <c r="BA92" s="891">
        <v>770328</v>
      </c>
      <c r="BB92" s="1622">
        <f t="shared" si="67"/>
        <v>38400</v>
      </c>
      <c r="BC92" s="1622">
        <f t="shared" si="68"/>
        <v>37629.671999999999</v>
      </c>
      <c r="BD92" s="1622">
        <f t="shared" si="69"/>
        <v>9407.4179999999997</v>
      </c>
      <c r="BE92" s="1622">
        <f t="shared" si="70"/>
        <v>770.32799999999997</v>
      </c>
      <c r="BH92" s="1625" t="s">
        <v>612</v>
      </c>
      <c r="BI92" s="1622">
        <v>183168000</v>
      </c>
      <c r="BJ92" s="1622">
        <f t="shared" si="71"/>
        <v>183168</v>
      </c>
      <c r="BM92" s="1625" t="s">
        <v>595</v>
      </c>
      <c r="BN92" s="1627">
        <v>37629672</v>
      </c>
      <c r="BO92" s="1627">
        <v>9407418</v>
      </c>
      <c r="BP92" s="1627">
        <v>37629672</v>
      </c>
      <c r="BQ92" s="1627">
        <v>0</v>
      </c>
      <c r="BR92" s="1622">
        <f t="shared" si="72"/>
        <v>37629.671999999999</v>
      </c>
      <c r="BS92" s="1622">
        <f t="shared" si="73"/>
        <v>9407.4179999999997</v>
      </c>
      <c r="BT92" s="1622">
        <f t="shared" si="74"/>
        <v>37629.671999999999</v>
      </c>
      <c r="BU92" s="1622">
        <f t="shared" si="75"/>
        <v>0</v>
      </c>
      <c r="BX92" s="1624" t="s">
        <v>605</v>
      </c>
      <c r="BY92" s="1622">
        <v>4939438</v>
      </c>
      <c r="BZ92" s="1622">
        <f t="shared" si="76"/>
        <v>4939.4380000000001</v>
      </c>
      <c r="CC92" s="1622" t="s">
        <v>394</v>
      </c>
      <c r="CD92" s="1622">
        <v>7114763</v>
      </c>
      <c r="CE92" s="1622">
        <v>2845902</v>
      </c>
      <c r="CF92" s="1622">
        <v>7114763</v>
      </c>
      <c r="CG92" s="1622">
        <v>0</v>
      </c>
      <c r="CH92" s="1622">
        <f t="shared" si="77"/>
        <v>7114.7629999999999</v>
      </c>
      <c r="CI92" s="1622">
        <f t="shared" si="78"/>
        <v>2845.902</v>
      </c>
      <c r="CJ92" s="1622">
        <f t="shared" si="79"/>
        <v>7114.7629999999999</v>
      </c>
      <c r="CK92" s="1622">
        <f t="shared" si="80"/>
        <v>0</v>
      </c>
      <c r="CN92" s="1624" t="s">
        <v>404</v>
      </c>
      <c r="CO92" s="1622">
        <v>92289405</v>
      </c>
      <c r="CP92" s="1622">
        <f t="shared" si="81"/>
        <v>92289.404999999999</v>
      </c>
      <c r="CS92" s="1625" t="s">
        <v>392</v>
      </c>
      <c r="CT92" s="891">
        <v>65581752</v>
      </c>
      <c r="CU92" s="891">
        <v>32790876</v>
      </c>
      <c r="CV92" s="891">
        <v>65581752</v>
      </c>
      <c r="CW92" s="891">
        <v>0</v>
      </c>
      <c r="CX92" s="1622">
        <f t="shared" si="82"/>
        <v>65581.751999999993</v>
      </c>
      <c r="CY92" s="1622">
        <f t="shared" si="83"/>
        <v>32790.875999999997</v>
      </c>
      <c r="CZ92" s="1622">
        <f t="shared" si="84"/>
        <v>65581.751999999993</v>
      </c>
      <c r="DA92" s="1622">
        <f t="shared" si="85"/>
        <v>0</v>
      </c>
      <c r="DD92" s="1624" t="s">
        <v>411</v>
      </c>
      <c r="DE92" s="1622">
        <v>0</v>
      </c>
      <c r="DF92" s="1622">
        <f t="shared" si="86"/>
        <v>0</v>
      </c>
      <c r="DJ92" s="1624" t="s">
        <v>392</v>
      </c>
      <c r="DK92" s="1622">
        <v>65581752</v>
      </c>
      <c r="DL92" s="1622">
        <v>65581752</v>
      </c>
      <c r="DM92" s="1622">
        <v>0</v>
      </c>
      <c r="DN92" s="1622">
        <v>43721168</v>
      </c>
      <c r="DO92" s="1622">
        <f t="shared" si="87"/>
        <v>65581.751999999993</v>
      </c>
      <c r="DP92" s="1622">
        <f t="shared" si="88"/>
        <v>65581.751999999993</v>
      </c>
      <c r="DQ92" s="1622">
        <f t="shared" si="89"/>
        <v>0</v>
      </c>
      <c r="DR92" s="1622">
        <f t="shared" si="90"/>
        <v>43721.167999999998</v>
      </c>
      <c r="DV92" s="780" t="s">
        <v>493</v>
      </c>
      <c r="DW92" s="779">
        <v>0</v>
      </c>
      <c r="DX92" s="1626">
        <f t="shared" si="91"/>
        <v>0</v>
      </c>
      <c r="EA92" s="780" t="s">
        <v>392</v>
      </c>
      <c r="EB92" s="779">
        <v>65581752</v>
      </c>
      <c r="EC92" s="779">
        <v>49186314</v>
      </c>
      <c r="ED92" s="779">
        <v>65581752</v>
      </c>
      <c r="EE92" s="779">
        <v>0</v>
      </c>
      <c r="EF92" s="166">
        <f t="shared" si="92"/>
        <v>65581.751999999993</v>
      </c>
      <c r="EG92" s="166">
        <f t="shared" si="93"/>
        <v>49186.313999999998</v>
      </c>
      <c r="EH92" s="166">
        <f t="shared" si="94"/>
        <v>65581.751999999993</v>
      </c>
      <c r="EI92" s="166">
        <f t="shared" si="95"/>
        <v>0</v>
      </c>
    </row>
    <row r="93" spans="1:139" ht="15" customHeight="1" x14ac:dyDescent="0.3">
      <c r="A93" s="1625" t="s">
        <v>597</v>
      </c>
      <c r="B93" s="891">
        <v>26512200</v>
      </c>
      <c r="C93" s="891">
        <v>2353494</v>
      </c>
      <c r="D93" s="891">
        <v>24158706</v>
      </c>
      <c r="E93" s="891">
        <v>297749</v>
      </c>
      <c r="F93" s="891">
        <f t="shared" si="52"/>
        <v>26512.2</v>
      </c>
      <c r="G93" s="891">
        <f t="shared" si="53"/>
        <v>2353.4940000000001</v>
      </c>
      <c r="H93" s="891">
        <f t="shared" si="54"/>
        <v>24158.705999999998</v>
      </c>
      <c r="I93" s="891">
        <f t="shared" si="55"/>
        <v>297.74900000000002</v>
      </c>
      <c r="L93" s="1625" t="s">
        <v>638</v>
      </c>
      <c r="M93" s="891">
        <v>7589416</v>
      </c>
      <c r="N93" s="891">
        <f t="shared" si="56"/>
        <v>7589.4160000000002</v>
      </c>
      <c r="Q93" s="1625" t="s">
        <v>597</v>
      </c>
      <c r="R93" s="891">
        <v>21322025</v>
      </c>
      <c r="S93" s="891">
        <v>4262596</v>
      </c>
      <c r="T93" s="891">
        <v>17059429</v>
      </c>
      <c r="U93" s="891">
        <v>1333938</v>
      </c>
      <c r="V93" s="1622">
        <f t="shared" si="57"/>
        <v>21322.025000000001</v>
      </c>
      <c r="W93" s="1622">
        <f t="shared" si="58"/>
        <v>4262.5959999999995</v>
      </c>
      <c r="X93" s="1622">
        <f t="shared" si="59"/>
        <v>17059.429</v>
      </c>
      <c r="Y93" s="1622">
        <f t="shared" si="60"/>
        <v>1333.9380000000001</v>
      </c>
      <c r="AB93" s="1625" t="s">
        <v>602</v>
      </c>
      <c r="AC93" s="891">
        <v>6091500</v>
      </c>
      <c r="AD93" s="1622">
        <f t="shared" si="61"/>
        <v>6091.5</v>
      </c>
      <c r="AG93" s="1625" t="s">
        <v>596</v>
      </c>
      <c r="AH93" s="891">
        <v>44713474</v>
      </c>
      <c r="AI93" s="891">
        <v>17778645</v>
      </c>
      <c r="AJ93" s="891">
        <v>19508619</v>
      </c>
      <c r="AK93" s="891">
        <v>25204855</v>
      </c>
      <c r="AL93" s="1622">
        <f t="shared" si="62"/>
        <v>44713.474000000002</v>
      </c>
      <c r="AM93" s="1622">
        <f t="shared" si="63"/>
        <v>17778.645</v>
      </c>
      <c r="AN93" s="1622">
        <f t="shared" si="64"/>
        <v>19508.618999999999</v>
      </c>
      <c r="AO93" s="1622">
        <f t="shared" si="65"/>
        <v>25204.855</v>
      </c>
      <c r="AR93" s="1625" t="s">
        <v>404</v>
      </c>
      <c r="AS93" s="1622">
        <v>64741689</v>
      </c>
      <c r="AT93" s="1622">
        <f t="shared" si="66"/>
        <v>64741.688999999998</v>
      </c>
      <c r="AW93" s="1625" t="s">
        <v>395</v>
      </c>
      <c r="AX93" s="891">
        <v>62915716</v>
      </c>
      <c r="AY93" s="891">
        <v>50833946</v>
      </c>
      <c r="AZ93" s="891">
        <v>27232603</v>
      </c>
      <c r="BA93" s="891">
        <v>12081770</v>
      </c>
      <c r="BB93" s="1622">
        <f t="shared" si="67"/>
        <v>62915.716</v>
      </c>
      <c r="BC93" s="1622">
        <f t="shared" si="68"/>
        <v>50833.946000000004</v>
      </c>
      <c r="BD93" s="1622">
        <f t="shared" si="69"/>
        <v>27232.602999999999</v>
      </c>
      <c r="BE93" s="1622">
        <f t="shared" si="70"/>
        <v>12081.77</v>
      </c>
      <c r="BH93" s="1625" t="s">
        <v>412</v>
      </c>
      <c r="BI93" s="1622">
        <v>7985469</v>
      </c>
      <c r="BJ93" s="1622">
        <f t="shared" si="71"/>
        <v>7985.4690000000001</v>
      </c>
      <c r="BM93" s="1625" t="s">
        <v>395</v>
      </c>
      <c r="BN93" s="1627">
        <v>79915107</v>
      </c>
      <c r="BO93" s="1627">
        <v>49945082</v>
      </c>
      <c r="BP93" s="1627">
        <v>56957640</v>
      </c>
      <c r="BQ93" s="1627">
        <v>22957467</v>
      </c>
      <c r="BR93" s="1622">
        <f t="shared" si="72"/>
        <v>79915.107000000004</v>
      </c>
      <c r="BS93" s="1622">
        <f t="shared" si="73"/>
        <v>49945.082000000002</v>
      </c>
      <c r="BT93" s="1622">
        <f t="shared" si="74"/>
        <v>56957.64</v>
      </c>
      <c r="BU93" s="1622">
        <f t="shared" si="75"/>
        <v>22957.467000000001</v>
      </c>
      <c r="BX93" s="1624" t="s">
        <v>494</v>
      </c>
      <c r="BY93" s="1622">
        <v>1041250</v>
      </c>
      <c r="BZ93" s="1622">
        <f t="shared" si="76"/>
        <v>1041.25</v>
      </c>
      <c r="CC93" s="1622" t="s">
        <v>595</v>
      </c>
      <c r="CD93" s="1622">
        <v>37629672</v>
      </c>
      <c r="CE93" s="1622">
        <v>15679030</v>
      </c>
      <c r="CF93" s="1622">
        <v>37629672</v>
      </c>
      <c r="CG93" s="1622">
        <v>0</v>
      </c>
      <c r="CH93" s="1622">
        <f t="shared" si="77"/>
        <v>37629.671999999999</v>
      </c>
      <c r="CI93" s="1622">
        <f t="shared" si="78"/>
        <v>15679.03</v>
      </c>
      <c r="CJ93" s="1622">
        <f t="shared" si="79"/>
        <v>37629.671999999999</v>
      </c>
      <c r="CK93" s="1622">
        <f t="shared" si="80"/>
        <v>0</v>
      </c>
      <c r="CN93" s="1624" t="s">
        <v>604</v>
      </c>
      <c r="CO93" s="1622">
        <v>0</v>
      </c>
      <c r="CP93" s="1622">
        <f t="shared" si="81"/>
        <v>0</v>
      </c>
      <c r="CS93" s="1625" t="s">
        <v>393</v>
      </c>
      <c r="CT93" s="891">
        <v>7095769</v>
      </c>
      <c r="CU93" s="891">
        <v>0</v>
      </c>
      <c r="CV93" s="891">
        <v>7095769</v>
      </c>
      <c r="CW93" s="891">
        <v>0</v>
      </c>
      <c r="CX93" s="1622">
        <f t="shared" si="82"/>
        <v>7095.7690000000002</v>
      </c>
      <c r="CY93" s="1622">
        <f t="shared" si="83"/>
        <v>0</v>
      </c>
      <c r="CZ93" s="1622">
        <f t="shared" si="84"/>
        <v>7095.7690000000002</v>
      </c>
      <c r="DA93" s="1622">
        <f t="shared" si="85"/>
        <v>0</v>
      </c>
      <c r="DD93" s="1624" t="s">
        <v>412</v>
      </c>
      <c r="DE93" s="1622">
        <v>7985469</v>
      </c>
      <c r="DF93" s="1622">
        <f t="shared" si="86"/>
        <v>7985.4690000000001</v>
      </c>
      <c r="DJ93" s="1624" t="s">
        <v>393</v>
      </c>
      <c r="DK93" s="1622">
        <v>7095769</v>
      </c>
      <c r="DL93" s="1622">
        <v>7095769</v>
      </c>
      <c r="DM93" s="1622">
        <v>0</v>
      </c>
      <c r="DN93" s="1622">
        <v>0</v>
      </c>
      <c r="DO93" s="1622">
        <f t="shared" si="87"/>
        <v>7095.7690000000002</v>
      </c>
      <c r="DP93" s="1622">
        <f t="shared" si="88"/>
        <v>7095.7690000000002</v>
      </c>
      <c r="DQ93" s="1622">
        <f t="shared" si="89"/>
        <v>0</v>
      </c>
      <c r="DR93" s="1622">
        <f t="shared" si="90"/>
        <v>0</v>
      </c>
      <c r="DV93" s="780" t="s">
        <v>601</v>
      </c>
      <c r="DW93" s="779">
        <v>5694397</v>
      </c>
      <c r="DX93" s="1626">
        <f t="shared" si="91"/>
        <v>5694.3969999999999</v>
      </c>
      <c r="EA93" s="780" t="s">
        <v>393</v>
      </c>
      <c r="EB93" s="779">
        <v>7095769</v>
      </c>
      <c r="EC93" s="779">
        <v>5044080</v>
      </c>
      <c r="ED93" s="779">
        <v>7095769</v>
      </c>
      <c r="EE93" s="779">
        <v>0</v>
      </c>
      <c r="EF93" s="166">
        <f t="shared" si="92"/>
        <v>7095.7690000000002</v>
      </c>
      <c r="EG93" s="166">
        <f t="shared" si="93"/>
        <v>5044.08</v>
      </c>
      <c r="EH93" s="166">
        <f t="shared" si="94"/>
        <v>7095.7690000000002</v>
      </c>
      <c r="EI93" s="166">
        <f t="shared" si="95"/>
        <v>0</v>
      </c>
    </row>
    <row r="94" spans="1:139" ht="15" customHeight="1" x14ac:dyDescent="0.3">
      <c r="A94" s="1625" t="s">
        <v>598</v>
      </c>
      <c r="B94" s="891">
        <v>2000000</v>
      </c>
      <c r="C94" s="891">
        <v>0</v>
      </c>
      <c r="D94" s="891">
        <v>2000000</v>
      </c>
      <c r="E94" s="891">
        <v>0</v>
      </c>
      <c r="F94" s="891">
        <f t="shared" si="52"/>
        <v>2000</v>
      </c>
      <c r="G94" s="891">
        <f t="shared" si="53"/>
        <v>0</v>
      </c>
      <c r="H94" s="891">
        <f t="shared" si="54"/>
        <v>2000</v>
      </c>
      <c r="I94" s="891">
        <f t="shared" si="55"/>
        <v>0</v>
      </c>
      <c r="L94" s="1625" t="s">
        <v>639</v>
      </c>
      <c r="M94" s="891">
        <v>7589416</v>
      </c>
      <c r="N94" s="891">
        <f t="shared" si="56"/>
        <v>7589.4160000000002</v>
      </c>
      <c r="Q94" s="1625" t="s">
        <v>598</v>
      </c>
      <c r="R94" s="891">
        <v>2000000</v>
      </c>
      <c r="S94" s="891">
        <v>0</v>
      </c>
      <c r="T94" s="891">
        <v>2000000</v>
      </c>
      <c r="U94" s="891">
        <v>0</v>
      </c>
      <c r="V94" s="1622">
        <f t="shared" si="57"/>
        <v>2000</v>
      </c>
      <c r="W94" s="1622">
        <f t="shared" si="58"/>
        <v>0</v>
      </c>
      <c r="X94" s="1622">
        <f t="shared" si="59"/>
        <v>2000</v>
      </c>
      <c r="Y94" s="1622">
        <f t="shared" si="60"/>
        <v>0</v>
      </c>
      <c r="AB94" s="1625" t="s">
        <v>603</v>
      </c>
      <c r="AC94" s="891">
        <v>311640</v>
      </c>
      <c r="AD94" s="1622">
        <f t="shared" si="61"/>
        <v>311.64</v>
      </c>
      <c r="AG94" s="1625" t="s">
        <v>597</v>
      </c>
      <c r="AH94" s="891">
        <v>21060736</v>
      </c>
      <c r="AI94" s="891">
        <v>3549758</v>
      </c>
      <c r="AJ94" s="891">
        <v>5310754</v>
      </c>
      <c r="AK94" s="891">
        <v>15749982</v>
      </c>
      <c r="AL94" s="1622">
        <f t="shared" si="62"/>
        <v>21060.736000000001</v>
      </c>
      <c r="AM94" s="1622">
        <f t="shared" si="63"/>
        <v>3549.7579999999998</v>
      </c>
      <c r="AN94" s="1622">
        <f t="shared" si="64"/>
        <v>5310.7539999999999</v>
      </c>
      <c r="AO94" s="1622">
        <f t="shared" si="65"/>
        <v>15749.982</v>
      </c>
      <c r="AR94" s="1625" t="s">
        <v>604</v>
      </c>
      <c r="AS94" s="1622">
        <v>0</v>
      </c>
      <c r="AT94" s="1622">
        <f t="shared" si="66"/>
        <v>0</v>
      </c>
      <c r="AW94" s="1625" t="s">
        <v>596</v>
      </c>
      <c r="AX94" s="891">
        <v>40002733</v>
      </c>
      <c r="AY94" s="891">
        <v>39797630</v>
      </c>
      <c r="AZ94" s="891">
        <v>19508619</v>
      </c>
      <c r="BA94" s="891">
        <v>205103</v>
      </c>
      <c r="BB94" s="1622">
        <f t="shared" si="67"/>
        <v>40002.733</v>
      </c>
      <c r="BC94" s="1622">
        <f t="shared" si="68"/>
        <v>39797.629999999997</v>
      </c>
      <c r="BD94" s="1622">
        <f t="shared" si="69"/>
        <v>19508.618999999999</v>
      </c>
      <c r="BE94" s="1622">
        <f t="shared" si="70"/>
        <v>205.10300000000001</v>
      </c>
      <c r="BH94" s="1625" t="s">
        <v>538</v>
      </c>
      <c r="BI94" s="1622">
        <v>0</v>
      </c>
      <c r="BJ94" s="1622">
        <f t="shared" si="71"/>
        <v>0</v>
      </c>
      <c r="BM94" s="1625" t="s">
        <v>596</v>
      </c>
      <c r="BN94" s="1627">
        <v>57327545</v>
      </c>
      <c r="BO94" s="1627">
        <v>39797630</v>
      </c>
      <c r="BP94" s="1627">
        <v>43327545</v>
      </c>
      <c r="BQ94" s="1627">
        <v>14000000</v>
      </c>
      <c r="BR94" s="1622">
        <f t="shared" si="72"/>
        <v>57327.544999999998</v>
      </c>
      <c r="BS94" s="1622">
        <f t="shared" si="73"/>
        <v>39797.629999999997</v>
      </c>
      <c r="BT94" s="1622">
        <f t="shared" si="74"/>
        <v>43327.544999999998</v>
      </c>
      <c r="BU94" s="1622">
        <f t="shared" si="75"/>
        <v>14000</v>
      </c>
      <c r="BX94" s="1624" t="s">
        <v>606</v>
      </c>
      <c r="BY94" s="1622">
        <v>0</v>
      </c>
      <c r="BZ94" s="1622">
        <f t="shared" si="76"/>
        <v>0</v>
      </c>
      <c r="CC94" s="1622" t="s">
        <v>395</v>
      </c>
      <c r="CD94" s="1622">
        <v>75461647</v>
      </c>
      <c r="CE94" s="1622">
        <v>55712077</v>
      </c>
      <c r="CF94" s="1622">
        <v>69017618</v>
      </c>
      <c r="CG94" s="1622">
        <v>6444029</v>
      </c>
      <c r="CH94" s="1622">
        <f t="shared" si="77"/>
        <v>75461.646999999997</v>
      </c>
      <c r="CI94" s="1622">
        <f t="shared" si="78"/>
        <v>55712.076999999997</v>
      </c>
      <c r="CJ94" s="1622">
        <f t="shared" si="79"/>
        <v>69017.618000000002</v>
      </c>
      <c r="CK94" s="1622">
        <f t="shared" si="80"/>
        <v>6444.0290000000005</v>
      </c>
      <c r="CN94" s="1624" t="s">
        <v>605</v>
      </c>
      <c r="CO94" s="1622">
        <v>4982142</v>
      </c>
      <c r="CP94" s="1622">
        <f t="shared" si="81"/>
        <v>4982.1419999999998</v>
      </c>
      <c r="CS94" s="1625" t="s">
        <v>394</v>
      </c>
      <c r="CT94" s="891">
        <v>7114763</v>
      </c>
      <c r="CU94" s="891">
        <v>3320219</v>
      </c>
      <c r="CV94" s="891">
        <v>7114763</v>
      </c>
      <c r="CW94" s="891">
        <v>0</v>
      </c>
      <c r="CX94" s="1622">
        <f t="shared" si="82"/>
        <v>7114.7629999999999</v>
      </c>
      <c r="CY94" s="1622">
        <f t="shared" si="83"/>
        <v>3320.2190000000001</v>
      </c>
      <c r="CZ94" s="1622">
        <f t="shared" si="84"/>
        <v>7114.7629999999999</v>
      </c>
      <c r="DA94" s="1622">
        <f t="shared" si="85"/>
        <v>0</v>
      </c>
      <c r="DD94" s="1624" t="s">
        <v>413</v>
      </c>
      <c r="DE94" s="1622">
        <v>7985469</v>
      </c>
      <c r="DF94" s="1622">
        <f t="shared" si="86"/>
        <v>7985.4690000000001</v>
      </c>
      <c r="DJ94" s="1624" t="s">
        <v>394</v>
      </c>
      <c r="DK94" s="1622">
        <v>7114763</v>
      </c>
      <c r="DL94" s="1622">
        <v>7114763</v>
      </c>
      <c r="DM94" s="1622">
        <v>0</v>
      </c>
      <c r="DN94" s="1622">
        <v>4268853</v>
      </c>
      <c r="DO94" s="1622">
        <f t="shared" si="87"/>
        <v>7114.7629999999999</v>
      </c>
      <c r="DP94" s="1622">
        <f t="shared" si="88"/>
        <v>7114.7629999999999</v>
      </c>
      <c r="DQ94" s="1622">
        <f t="shared" si="89"/>
        <v>0</v>
      </c>
      <c r="DR94" s="1622">
        <f t="shared" si="90"/>
        <v>4268.8530000000001</v>
      </c>
      <c r="DV94" s="780" t="s">
        <v>602</v>
      </c>
      <c r="DW94" s="779">
        <v>6202000</v>
      </c>
      <c r="DX94" s="1626">
        <f t="shared" si="91"/>
        <v>6202</v>
      </c>
      <c r="EA94" s="780" t="s">
        <v>394</v>
      </c>
      <c r="EB94" s="779">
        <v>7114763</v>
      </c>
      <c r="EC94" s="779">
        <v>5217487</v>
      </c>
      <c r="ED94" s="779">
        <v>7114763</v>
      </c>
      <c r="EE94" s="779">
        <v>0</v>
      </c>
      <c r="EF94" s="166">
        <f t="shared" si="92"/>
        <v>7114.7629999999999</v>
      </c>
      <c r="EG94" s="166">
        <f t="shared" si="93"/>
        <v>5217.4870000000001</v>
      </c>
      <c r="EH94" s="166">
        <f t="shared" si="94"/>
        <v>7114.7629999999999</v>
      </c>
      <c r="EI94" s="166">
        <f t="shared" si="95"/>
        <v>0</v>
      </c>
    </row>
    <row r="95" spans="1:139" ht="15" customHeight="1" x14ac:dyDescent="0.3">
      <c r="A95" s="1625" t="s">
        <v>599</v>
      </c>
      <c r="B95" s="891">
        <v>916300</v>
      </c>
      <c r="C95" s="891">
        <v>916300</v>
      </c>
      <c r="D95" s="891">
        <v>0</v>
      </c>
      <c r="E95" s="891">
        <v>916300</v>
      </c>
      <c r="F95" s="891">
        <f t="shared" si="52"/>
        <v>916.3</v>
      </c>
      <c r="G95" s="891">
        <f t="shared" si="53"/>
        <v>916.3</v>
      </c>
      <c r="H95" s="891">
        <f t="shared" si="54"/>
        <v>0</v>
      </c>
      <c r="I95" s="891">
        <f t="shared" si="55"/>
        <v>916.3</v>
      </c>
      <c r="L95" s="1625" t="s">
        <v>416</v>
      </c>
      <c r="M95" s="891">
        <v>1149016</v>
      </c>
      <c r="N95" s="891">
        <f t="shared" si="56"/>
        <v>1149.0160000000001</v>
      </c>
      <c r="Q95" s="1625" t="s">
        <v>599</v>
      </c>
      <c r="R95" s="891">
        <v>916300</v>
      </c>
      <c r="S95" s="891">
        <v>916300</v>
      </c>
      <c r="T95" s="891">
        <v>0</v>
      </c>
      <c r="U95" s="891">
        <v>916300</v>
      </c>
      <c r="V95" s="1622">
        <f t="shared" si="57"/>
        <v>916.3</v>
      </c>
      <c r="W95" s="1622">
        <f t="shared" si="58"/>
        <v>916.3</v>
      </c>
      <c r="X95" s="1622">
        <f t="shared" si="59"/>
        <v>0</v>
      </c>
      <c r="Y95" s="1622">
        <f t="shared" si="60"/>
        <v>916.3</v>
      </c>
      <c r="AB95" s="1625" t="s">
        <v>402</v>
      </c>
      <c r="AC95" s="891">
        <v>5918850</v>
      </c>
      <c r="AD95" s="1622">
        <f t="shared" si="61"/>
        <v>5918.85</v>
      </c>
      <c r="AG95" s="1625" t="s">
        <v>598</v>
      </c>
      <c r="AH95" s="891">
        <v>931353</v>
      </c>
      <c r="AI95" s="891">
        <v>0</v>
      </c>
      <c r="AJ95" s="891">
        <v>0</v>
      </c>
      <c r="AK95" s="891">
        <v>931353</v>
      </c>
      <c r="AL95" s="1622">
        <f t="shared" si="62"/>
        <v>931.35299999999995</v>
      </c>
      <c r="AM95" s="1622">
        <f t="shared" si="63"/>
        <v>0</v>
      </c>
      <c r="AN95" s="1622">
        <f t="shared" si="64"/>
        <v>0</v>
      </c>
      <c r="AO95" s="1622">
        <f t="shared" si="65"/>
        <v>931.35299999999995</v>
      </c>
      <c r="AR95" s="1625" t="s">
        <v>605</v>
      </c>
      <c r="AS95" s="1622">
        <v>4926368</v>
      </c>
      <c r="AT95" s="1622">
        <f t="shared" si="66"/>
        <v>4926.3680000000004</v>
      </c>
      <c r="AW95" s="1625" t="s">
        <v>597</v>
      </c>
      <c r="AX95" s="891">
        <v>14894383</v>
      </c>
      <c r="AY95" s="891">
        <v>6322609</v>
      </c>
      <c r="AZ95" s="891">
        <v>5871326</v>
      </c>
      <c r="BA95" s="891">
        <v>8571774</v>
      </c>
      <c r="BB95" s="1622">
        <f t="shared" si="67"/>
        <v>14894.383</v>
      </c>
      <c r="BC95" s="1622">
        <f t="shared" si="68"/>
        <v>6322.6090000000004</v>
      </c>
      <c r="BD95" s="1622">
        <f t="shared" si="69"/>
        <v>5871.326</v>
      </c>
      <c r="BE95" s="1622">
        <f t="shared" si="70"/>
        <v>8571.7739999999994</v>
      </c>
      <c r="BH95" s="1625" t="s">
        <v>1024</v>
      </c>
      <c r="BI95" s="1622">
        <v>0</v>
      </c>
      <c r="BJ95" s="1622">
        <f t="shared" si="71"/>
        <v>0</v>
      </c>
      <c r="BM95" s="1625" t="s">
        <v>597</v>
      </c>
      <c r="BN95" s="1627">
        <v>14568962</v>
      </c>
      <c r="BO95" s="1627">
        <v>8092494</v>
      </c>
      <c r="BP95" s="1627">
        <v>8714088</v>
      </c>
      <c r="BQ95" s="1627">
        <v>5854874</v>
      </c>
      <c r="BR95" s="1622">
        <f t="shared" si="72"/>
        <v>14568.962</v>
      </c>
      <c r="BS95" s="1622">
        <f t="shared" si="73"/>
        <v>8092.4939999999997</v>
      </c>
      <c r="BT95" s="1622">
        <f t="shared" si="74"/>
        <v>8714.0879999999997</v>
      </c>
      <c r="BU95" s="1622">
        <f t="shared" si="75"/>
        <v>5854.8739999999998</v>
      </c>
      <c r="BX95" s="1624" t="s">
        <v>405</v>
      </c>
      <c r="BY95" s="1622">
        <v>0</v>
      </c>
      <c r="BZ95" s="1622">
        <f t="shared" si="76"/>
        <v>0</v>
      </c>
      <c r="CC95" s="1622" t="s">
        <v>596</v>
      </c>
      <c r="CD95" s="1622">
        <v>54271737</v>
      </c>
      <c r="CE95" s="1622">
        <v>43327545</v>
      </c>
      <c r="CF95" s="1622">
        <v>54271737</v>
      </c>
      <c r="CG95" s="1622">
        <v>0</v>
      </c>
      <c r="CH95" s="1622">
        <f t="shared" si="77"/>
        <v>54271.737000000001</v>
      </c>
      <c r="CI95" s="1622">
        <f t="shared" si="78"/>
        <v>43327.544999999998</v>
      </c>
      <c r="CJ95" s="1622">
        <f t="shared" si="79"/>
        <v>54271.737000000001</v>
      </c>
      <c r="CK95" s="1622">
        <f t="shared" si="80"/>
        <v>0</v>
      </c>
      <c r="CN95" s="1624" t="s">
        <v>494</v>
      </c>
      <c r="CO95" s="1622">
        <v>0</v>
      </c>
      <c r="CP95" s="1622">
        <f t="shared" si="81"/>
        <v>0</v>
      </c>
      <c r="CS95" s="1625" t="s">
        <v>595</v>
      </c>
      <c r="CT95" s="891">
        <v>37629672</v>
      </c>
      <c r="CU95" s="891">
        <v>18814836</v>
      </c>
      <c r="CV95" s="891">
        <v>37629672</v>
      </c>
      <c r="CW95" s="891">
        <v>0</v>
      </c>
      <c r="CX95" s="1622">
        <f t="shared" si="82"/>
        <v>37629.671999999999</v>
      </c>
      <c r="CY95" s="1622">
        <f t="shared" si="83"/>
        <v>18814.835999999999</v>
      </c>
      <c r="CZ95" s="1622">
        <f t="shared" si="84"/>
        <v>37629.671999999999</v>
      </c>
      <c r="DA95" s="1622">
        <f t="shared" si="85"/>
        <v>0</v>
      </c>
      <c r="DD95" s="1624" t="s">
        <v>532</v>
      </c>
      <c r="DE95" s="1622">
        <v>7985469</v>
      </c>
      <c r="DF95" s="1622">
        <f t="shared" si="86"/>
        <v>7985.4690000000001</v>
      </c>
      <c r="DJ95" s="1624" t="s">
        <v>595</v>
      </c>
      <c r="DK95" s="1622">
        <v>37629672</v>
      </c>
      <c r="DL95" s="1622">
        <v>37629672</v>
      </c>
      <c r="DM95" s="1622">
        <v>0</v>
      </c>
      <c r="DN95" s="1622">
        <v>21950642</v>
      </c>
      <c r="DO95" s="1622">
        <f t="shared" si="87"/>
        <v>37629.671999999999</v>
      </c>
      <c r="DP95" s="1622">
        <f t="shared" si="88"/>
        <v>37629.671999999999</v>
      </c>
      <c r="DQ95" s="1622">
        <f t="shared" si="89"/>
        <v>0</v>
      </c>
      <c r="DR95" s="1622">
        <f t="shared" si="90"/>
        <v>21950.642</v>
      </c>
      <c r="DV95" s="780" t="s">
        <v>603</v>
      </c>
      <c r="DW95" s="779">
        <v>209085</v>
      </c>
      <c r="DX95" s="1626">
        <f t="shared" si="91"/>
        <v>209.08500000000001</v>
      </c>
      <c r="EA95" s="780" t="s">
        <v>595</v>
      </c>
      <c r="EB95" s="779">
        <v>37629672</v>
      </c>
      <c r="EC95" s="779">
        <v>25086448</v>
      </c>
      <c r="ED95" s="779">
        <v>37629672</v>
      </c>
      <c r="EE95" s="779">
        <v>0</v>
      </c>
      <c r="EF95" s="166">
        <f t="shared" si="92"/>
        <v>37629.671999999999</v>
      </c>
      <c r="EG95" s="166">
        <f t="shared" si="93"/>
        <v>25086.448</v>
      </c>
      <c r="EH95" s="166">
        <f t="shared" si="94"/>
        <v>37629.671999999999</v>
      </c>
      <c r="EI95" s="166">
        <f t="shared" si="95"/>
        <v>0</v>
      </c>
    </row>
    <row r="96" spans="1:139" ht="15" customHeight="1" x14ac:dyDescent="0.3">
      <c r="A96" s="1625" t="s">
        <v>600</v>
      </c>
      <c r="B96" s="891">
        <v>8400000</v>
      </c>
      <c r="C96" s="891">
        <v>3797407</v>
      </c>
      <c r="D96" s="891">
        <v>4602593</v>
      </c>
      <c r="E96" s="891">
        <v>468179</v>
      </c>
      <c r="F96" s="891">
        <f t="shared" si="52"/>
        <v>8400</v>
      </c>
      <c r="G96" s="891">
        <f t="shared" si="53"/>
        <v>3797.4070000000002</v>
      </c>
      <c r="H96" s="891">
        <f t="shared" si="54"/>
        <v>4602.5929999999998</v>
      </c>
      <c r="I96" s="891">
        <f t="shared" si="55"/>
        <v>468.17899999999997</v>
      </c>
      <c r="L96" s="1625" t="s">
        <v>422</v>
      </c>
      <c r="M96" s="891">
        <v>1149016</v>
      </c>
      <c r="N96" s="891">
        <f t="shared" si="56"/>
        <v>1149.0160000000001</v>
      </c>
      <c r="Q96" s="1625" t="s">
        <v>600</v>
      </c>
      <c r="R96" s="891">
        <v>6900000</v>
      </c>
      <c r="S96" s="891">
        <v>3797407</v>
      </c>
      <c r="T96" s="891">
        <v>3102593</v>
      </c>
      <c r="U96" s="891">
        <v>468179</v>
      </c>
      <c r="V96" s="1622">
        <f t="shared" si="57"/>
        <v>6900</v>
      </c>
      <c r="W96" s="1622">
        <f t="shared" si="58"/>
        <v>3797.4070000000002</v>
      </c>
      <c r="X96" s="1622">
        <f t="shared" si="59"/>
        <v>3102.5929999999998</v>
      </c>
      <c r="Y96" s="1622">
        <f t="shared" si="60"/>
        <v>468.17899999999997</v>
      </c>
      <c r="AB96" s="1625" t="s">
        <v>403</v>
      </c>
      <c r="AC96" s="891">
        <v>103853190</v>
      </c>
      <c r="AD96" s="1622">
        <f t="shared" si="61"/>
        <v>103853.19</v>
      </c>
      <c r="AG96" s="1625" t="s">
        <v>599</v>
      </c>
      <c r="AH96" s="891">
        <v>916300</v>
      </c>
      <c r="AI96" s="891">
        <v>916300</v>
      </c>
      <c r="AJ96" s="891">
        <v>916300</v>
      </c>
      <c r="AK96" s="891">
        <v>0</v>
      </c>
      <c r="AL96" s="1622">
        <f t="shared" si="62"/>
        <v>916.3</v>
      </c>
      <c r="AM96" s="1622">
        <f t="shared" si="63"/>
        <v>916.3</v>
      </c>
      <c r="AN96" s="1622">
        <f t="shared" si="64"/>
        <v>916.3</v>
      </c>
      <c r="AO96" s="1622">
        <f t="shared" si="65"/>
        <v>0</v>
      </c>
      <c r="AR96" s="1625" t="s">
        <v>494</v>
      </c>
      <c r="AS96" s="1622">
        <v>1041250</v>
      </c>
      <c r="AT96" s="1622">
        <f t="shared" si="66"/>
        <v>1041.25</v>
      </c>
      <c r="AW96" s="1625" t="s">
        <v>598</v>
      </c>
      <c r="AX96" s="891">
        <v>0</v>
      </c>
      <c r="AY96" s="891">
        <v>0</v>
      </c>
      <c r="AZ96" s="891">
        <v>0</v>
      </c>
      <c r="BA96" s="891">
        <v>0</v>
      </c>
      <c r="BB96" s="1622">
        <f t="shared" si="67"/>
        <v>0</v>
      </c>
      <c r="BC96" s="1622">
        <f t="shared" si="68"/>
        <v>0</v>
      </c>
      <c r="BD96" s="1622">
        <f t="shared" si="69"/>
        <v>0</v>
      </c>
      <c r="BE96" s="1622">
        <f t="shared" si="70"/>
        <v>0</v>
      </c>
      <c r="BH96" s="1625" t="s">
        <v>413</v>
      </c>
      <c r="BI96" s="1622">
        <v>7985469</v>
      </c>
      <c r="BJ96" s="1622">
        <f t="shared" si="71"/>
        <v>7985.4690000000001</v>
      </c>
      <c r="BM96" s="1625" t="s">
        <v>598</v>
      </c>
      <c r="BN96" s="1627">
        <v>0</v>
      </c>
      <c r="BO96" s="1627">
        <v>0</v>
      </c>
      <c r="BP96" s="1627">
        <v>0</v>
      </c>
      <c r="BQ96" s="1627">
        <v>0</v>
      </c>
      <c r="BR96" s="1622">
        <f t="shared" si="72"/>
        <v>0</v>
      </c>
      <c r="BS96" s="1622">
        <f t="shared" si="73"/>
        <v>0</v>
      </c>
      <c r="BT96" s="1622">
        <f t="shared" si="74"/>
        <v>0</v>
      </c>
      <c r="BU96" s="1622">
        <f t="shared" si="75"/>
        <v>0</v>
      </c>
      <c r="BX96" s="1624" t="s">
        <v>607</v>
      </c>
      <c r="BY96" s="1622">
        <v>108127867</v>
      </c>
      <c r="BZ96" s="1622">
        <f t="shared" si="76"/>
        <v>108127.867</v>
      </c>
      <c r="CC96" s="1622" t="s">
        <v>597</v>
      </c>
      <c r="CD96" s="1622">
        <v>13171310</v>
      </c>
      <c r="CE96" s="1622">
        <v>8873064</v>
      </c>
      <c r="CF96" s="1622">
        <v>9829874</v>
      </c>
      <c r="CG96" s="1622">
        <v>3341436</v>
      </c>
      <c r="CH96" s="1622">
        <f t="shared" si="77"/>
        <v>13171.31</v>
      </c>
      <c r="CI96" s="1622">
        <f t="shared" si="78"/>
        <v>8873.0640000000003</v>
      </c>
      <c r="CJ96" s="1622">
        <f t="shared" si="79"/>
        <v>9829.8739999999998</v>
      </c>
      <c r="CK96" s="1622">
        <f t="shared" si="80"/>
        <v>3341.4360000000001</v>
      </c>
      <c r="CN96" s="1624" t="s">
        <v>606</v>
      </c>
      <c r="CO96" s="1622">
        <v>9297369</v>
      </c>
      <c r="CP96" s="1622">
        <f t="shared" si="81"/>
        <v>9297.3690000000006</v>
      </c>
      <c r="CS96" s="1625" t="s">
        <v>395</v>
      </c>
      <c r="CT96" s="891">
        <v>73960198</v>
      </c>
      <c r="CU96" s="891">
        <v>69125224</v>
      </c>
      <c r="CV96" s="891">
        <v>71958790</v>
      </c>
      <c r="CW96" s="891">
        <v>2001408</v>
      </c>
      <c r="CX96" s="1622">
        <f t="shared" si="82"/>
        <v>73960.198000000004</v>
      </c>
      <c r="CY96" s="1622">
        <f t="shared" si="83"/>
        <v>69125.224000000002</v>
      </c>
      <c r="CZ96" s="1622">
        <f t="shared" si="84"/>
        <v>71958.789999999994</v>
      </c>
      <c r="DA96" s="1622">
        <f t="shared" si="85"/>
        <v>2001.4079999999999</v>
      </c>
      <c r="DD96" s="1624" t="s">
        <v>638</v>
      </c>
      <c r="DE96" s="1622">
        <v>21246516</v>
      </c>
      <c r="DF96" s="1622">
        <f t="shared" si="86"/>
        <v>21246.516</v>
      </c>
      <c r="DJ96" s="1624" t="s">
        <v>395</v>
      </c>
      <c r="DK96" s="1622">
        <v>76082426</v>
      </c>
      <c r="DL96" s="1622">
        <v>74045507</v>
      </c>
      <c r="DM96" s="1622">
        <v>2036919</v>
      </c>
      <c r="DN96" s="1622">
        <v>72253422</v>
      </c>
      <c r="DO96" s="1622">
        <f t="shared" si="87"/>
        <v>76082.426000000007</v>
      </c>
      <c r="DP96" s="1622">
        <f t="shared" si="88"/>
        <v>74045.506999999998</v>
      </c>
      <c r="DQ96" s="1622">
        <f t="shared" si="89"/>
        <v>2036.9190000000001</v>
      </c>
      <c r="DR96" s="1622">
        <f t="shared" si="90"/>
        <v>72253.422000000006</v>
      </c>
      <c r="DV96" s="780" t="s">
        <v>402</v>
      </c>
      <c r="DW96" s="779">
        <v>33746502</v>
      </c>
      <c r="DX96" s="1626">
        <f t="shared" si="91"/>
        <v>33746.502</v>
      </c>
      <c r="EA96" s="780" t="s">
        <v>395</v>
      </c>
      <c r="EB96" s="779">
        <v>111058911</v>
      </c>
      <c r="EC96" s="779">
        <v>72550922</v>
      </c>
      <c r="ED96" s="779">
        <v>74045507</v>
      </c>
      <c r="EE96" s="779">
        <v>37013404</v>
      </c>
      <c r="EF96" s="166">
        <f t="shared" si="92"/>
        <v>111058.91099999999</v>
      </c>
      <c r="EG96" s="166">
        <f t="shared" si="93"/>
        <v>72550.922000000006</v>
      </c>
      <c r="EH96" s="166">
        <f t="shared" si="94"/>
        <v>74045.506999999998</v>
      </c>
      <c r="EI96" s="166">
        <f t="shared" si="95"/>
        <v>37013.404000000002</v>
      </c>
    </row>
    <row r="97" spans="1:139" ht="15" customHeight="1" x14ac:dyDescent="0.3">
      <c r="A97" s="1625" t="s">
        <v>397</v>
      </c>
      <c r="B97" s="891">
        <v>1912967</v>
      </c>
      <c r="C97" s="891">
        <v>172550</v>
      </c>
      <c r="D97" s="891">
        <v>1740417</v>
      </c>
      <c r="E97" s="891">
        <v>172550</v>
      </c>
      <c r="F97" s="891">
        <f t="shared" si="52"/>
        <v>1912.9670000000001</v>
      </c>
      <c r="G97" s="891">
        <f t="shared" si="53"/>
        <v>172.55</v>
      </c>
      <c r="H97" s="891">
        <f t="shared" si="54"/>
        <v>1740.4169999999999</v>
      </c>
      <c r="I97" s="891">
        <f t="shared" si="55"/>
        <v>172.55</v>
      </c>
      <c r="N97" s="891"/>
      <c r="Q97" s="1625" t="s">
        <v>397</v>
      </c>
      <c r="R97" s="891">
        <v>1912967</v>
      </c>
      <c r="S97" s="891">
        <v>303650</v>
      </c>
      <c r="T97" s="891">
        <v>1609317</v>
      </c>
      <c r="U97" s="891">
        <v>303650</v>
      </c>
      <c r="V97" s="1622">
        <f t="shared" si="57"/>
        <v>1912.9670000000001</v>
      </c>
      <c r="W97" s="1622">
        <f t="shared" si="58"/>
        <v>303.64999999999998</v>
      </c>
      <c r="X97" s="1622">
        <f t="shared" si="59"/>
        <v>1609.317</v>
      </c>
      <c r="Y97" s="1622">
        <f t="shared" si="60"/>
        <v>303.64999999999998</v>
      </c>
      <c r="AB97" s="1625" t="s">
        <v>404</v>
      </c>
      <c r="AC97" s="891">
        <v>91114114</v>
      </c>
      <c r="AD97" s="1622">
        <f t="shared" si="61"/>
        <v>91114.114000000001</v>
      </c>
      <c r="AG97" s="1625" t="s">
        <v>600</v>
      </c>
      <c r="AH97" s="891">
        <v>6900000</v>
      </c>
      <c r="AI97" s="891">
        <v>936358</v>
      </c>
      <c r="AJ97" s="891">
        <v>3797407</v>
      </c>
      <c r="AK97" s="891">
        <v>3102593</v>
      </c>
      <c r="AL97" s="1622">
        <f t="shared" si="62"/>
        <v>6900</v>
      </c>
      <c r="AM97" s="1622">
        <f t="shared" si="63"/>
        <v>936.35799999999995</v>
      </c>
      <c r="AN97" s="1622">
        <f t="shared" si="64"/>
        <v>3797.4070000000002</v>
      </c>
      <c r="AO97" s="1622">
        <f t="shared" si="65"/>
        <v>3102.5929999999998</v>
      </c>
      <c r="AR97" s="1625" t="s">
        <v>606</v>
      </c>
      <c r="AS97" s="1622">
        <v>0</v>
      </c>
      <c r="AT97" s="1622">
        <f t="shared" si="66"/>
        <v>0</v>
      </c>
      <c r="AW97" s="1625" t="s">
        <v>599</v>
      </c>
      <c r="AX97" s="891">
        <v>1118600</v>
      </c>
      <c r="AY97" s="891">
        <v>916300</v>
      </c>
      <c r="AZ97" s="891">
        <v>916300</v>
      </c>
      <c r="BA97" s="891">
        <v>202300</v>
      </c>
      <c r="BB97" s="1622">
        <f t="shared" si="67"/>
        <v>1118.5999999999999</v>
      </c>
      <c r="BC97" s="1622">
        <f t="shared" si="68"/>
        <v>916.3</v>
      </c>
      <c r="BD97" s="1622">
        <f t="shared" si="69"/>
        <v>916.3</v>
      </c>
      <c r="BE97" s="1622">
        <f t="shared" si="70"/>
        <v>202.3</v>
      </c>
      <c r="BH97" s="1625" t="s">
        <v>532</v>
      </c>
      <c r="BI97" s="1622">
        <v>7985469</v>
      </c>
      <c r="BJ97" s="1622">
        <f t="shared" si="71"/>
        <v>7985.4690000000001</v>
      </c>
      <c r="BM97" s="1625" t="s">
        <v>599</v>
      </c>
      <c r="BN97" s="1627">
        <v>1118600</v>
      </c>
      <c r="BO97" s="1627">
        <v>1118600</v>
      </c>
      <c r="BP97" s="1627">
        <v>1118600</v>
      </c>
      <c r="BQ97" s="1627">
        <v>0</v>
      </c>
      <c r="BR97" s="1622">
        <f t="shared" si="72"/>
        <v>1118.5999999999999</v>
      </c>
      <c r="BS97" s="1622">
        <f t="shared" si="73"/>
        <v>1118.5999999999999</v>
      </c>
      <c r="BT97" s="1622">
        <f t="shared" si="74"/>
        <v>1118.5999999999999</v>
      </c>
      <c r="BU97" s="1622">
        <f t="shared" si="75"/>
        <v>0</v>
      </c>
      <c r="BX97" s="1624" t="s">
        <v>406</v>
      </c>
      <c r="BY97" s="1622">
        <v>22460770</v>
      </c>
      <c r="BZ97" s="1622">
        <f t="shared" si="76"/>
        <v>22460.77</v>
      </c>
      <c r="CC97" s="1622" t="s">
        <v>598</v>
      </c>
      <c r="CD97" s="1622">
        <v>0</v>
      </c>
      <c r="CE97" s="1622">
        <v>0</v>
      </c>
      <c r="CF97" s="1622">
        <v>0</v>
      </c>
      <c r="CG97" s="1622">
        <v>0</v>
      </c>
      <c r="CH97" s="1622">
        <f t="shared" si="77"/>
        <v>0</v>
      </c>
      <c r="CI97" s="1622">
        <f t="shared" si="78"/>
        <v>0</v>
      </c>
      <c r="CJ97" s="1622">
        <f t="shared" si="79"/>
        <v>0</v>
      </c>
      <c r="CK97" s="1622">
        <f t="shared" si="80"/>
        <v>0</v>
      </c>
      <c r="CN97" s="1624" t="s">
        <v>405</v>
      </c>
      <c r="CO97" s="1622">
        <v>9297369</v>
      </c>
      <c r="CP97" s="1622">
        <f t="shared" si="81"/>
        <v>9297.3690000000006</v>
      </c>
      <c r="CS97" s="1625" t="s">
        <v>596</v>
      </c>
      <c r="CT97" s="891">
        <v>55872882</v>
      </c>
      <c r="CU97" s="891">
        <v>54271737</v>
      </c>
      <c r="CV97" s="891">
        <v>55872882</v>
      </c>
      <c r="CW97" s="891">
        <v>0</v>
      </c>
      <c r="CX97" s="1622">
        <f t="shared" si="82"/>
        <v>55872.881999999998</v>
      </c>
      <c r="CY97" s="1622">
        <f t="shared" si="83"/>
        <v>54271.737000000001</v>
      </c>
      <c r="CZ97" s="1622">
        <f t="shared" si="84"/>
        <v>55872.881999999998</v>
      </c>
      <c r="DA97" s="1622">
        <f t="shared" si="85"/>
        <v>0</v>
      </c>
      <c r="DD97" s="1624" t="s">
        <v>639</v>
      </c>
      <c r="DE97" s="1622">
        <v>21246516</v>
      </c>
      <c r="DF97" s="1622">
        <f t="shared" si="86"/>
        <v>21246.516</v>
      </c>
      <c r="DJ97" s="1624" t="s">
        <v>596</v>
      </c>
      <c r="DK97" s="1622">
        <v>55872882</v>
      </c>
      <c r="DL97" s="1622">
        <v>55872882</v>
      </c>
      <c r="DM97" s="1622">
        <v>0</v>
      </c>
      <c r="DN97" s="1622">
        <v>55872882</v>
      </c>
      <c r="DO97" s="1622">
        <f t="shared" si="87"/>
        <v>55872.881999999998</v>
      </c>
      <c r="DP97" s="1622">
        <f t="shared" si="88"/>
        <v>55872.881999999998</v>
      </c>
      <c r="DQ97" s="1622">
        <f t="shared" si="89"/>
        <v>0</v>
      </c>
      <c r="DR97" s="1622">
        <f t="shared" si="90"/>
        <v>55872.881999999998</v>
      </c>
      <c r="DV97" s="780" t="s">
        <v>403</v>
      </c>
      <c r="DW97" s="779">
        <v>242421709</v>
      </c>
      <c r="DX97" s="1626">
        <f t="shared" si="91"/>
        <v>242421.709</v>
      </c>
      <c r="EA97" s="780" t="s">
        <v>596</v>
      </c>
      <c r="EB97" s="779">
        <v>90872882</v>
      </c>
      <c r="EC97" s="779">
        <v>55872882</v>
      </c>
      <c r="ED97" s="779">
        <v>55872882</v>
      </c>
      <c r="EE97" s="779">
        <v>35000000</v>
      </c>
      <c r="EF97" s="166">
        <f t="shared" si="92"/>
        <v>90872.881999999998</v>
      </c>
      <c r="EG97" s="166">
        <f t="shared" si="93"/>
        <v>55872.881999999998</v>
      </c>
      <c r="EH97" s="166">
        <f t="shared" si="94"/>
        <v>55872.881999999998</v>
      </c>
      <c r="EI97" s="166">
        <f t="shared" si="95"/>
        <v>35000</v>
      </c>
    </row>
    <row r="98" spans="1:139" ht="15" customHeight="1" x14ac:dyDescent="0.3">
      <c r="A98" s="1625" t="s">
        <v>398</v>
      </c>
      <c r="B98" s="891">
        <v>1740416</v>
      </c>
      <c r="C98" s="891">
        <v>0</v>
      </c>
      <c r="D98" s="891">
        <v>1740416</v>
      </c>
      <c r="E98" s="891">
        <v>0</v>
      </c>
      <c r="F98" s="891">
        <f t="shared" si="52"/>
        <v>1740.4159999999999</v>
      </c>
      <c r="G98" s="891">
        <f t="shared" si="53"/>
        <v>0</v>
      </c>
      <c r="H98" s="891">
        <f t="shared" si="54"/>
        <v>1740.4159999999999</v>
      </c>
      <c r="I98" s="891">
        <f t="shared" si="55"/>
        <v>0</v>
      </c>
      <c r="Q98" s="1625" t="s">
        <v>398</v>
      </c>
      <c r="R98" s="891">
        <v>1609316</v>
      </c>
      <c r="S98" s="891">
        <v>0</v>
      </c>
      <c r="T98" s="891">
        <v>1609316</v>
      </c>
      <c r="U98" s="891">
        <v>0</v>
      </c>
      <c r="V98" s="1622">
        <f t="shared" si="57"/>
        <v>1609.316</v>
      </c>
      <c r="W98" s="1622">
        <f t="shared" si="58"/>
        <v>0</v>
      </c>
      <c r="X98" s="1622">
        <f t="shared" si="59"/>
        <v>1609.316</v>
      </c>
      <c r="Y98" s="1622">
        <f t="shared" si="60"/>
        <v>0</v>
      </c>
      <c r="AB98" s="1625" t="s">
        <v>604</v>
      </c>
      <c r="AC98" s="891">
        <v>1799254</v>
      </c>
      <c r="AD98" s="1622">
        <f t="shared" si="61"/>
        <v>1799.2539999999999</v>
      </c>
      <c r="AG98" s="1625" t="s">
        <v>397</v>
      </c>
      <c r="AH98" s="891">
        <v>4819713</v>
      </c>
      <c r="AI98" s="891">
        <v>4702919</v>
      </c>
      <c r="AJ98" s="891">
        <v>4819713</v>
      </c>
      <c r="AK98" s="891">
        <v>0</v>
      </c>
      <c r="AL98" s="1622">
        <f t="shared" si="62"/>
        <v>4819.7129999999997</v>
      </c>
      <c r="AM98" s="1622">
        <f t="shared" si="63"/>
        <v>4702.9189999999999</v>
      </c>
      <c r="AN98" s="1622">
        <f t="shared" si="64"/>
        <v>4819.7129999999997</v>
      </c>
      <c r="AO98" s="1622">
        <f t="shared" si="65"/>
        <v>0</v>
      </c>
      <c r="AR98" s="1625" t="s">
        <v>405</v>
      </c>
      <c r="AS98" s="1622">
        <v>0</v>
      </c>
      <c r="AT98" s="1622">
        <f t="shared" si="66"/>
        <v>0</v>
      </c>
      <c r="AW98" s="1625" t="s">
        <v>600</v>
      </c>
      <c r="AX98" s="891">
        <v>6900000</v>
      </c>
      <c r="AY98" s="891">
        <v>3797407</v>
      </c>
      <c r="AZ98" s="891">
        <v>936358</v>
      </c>
      <c r="BA98" s="891">
        <v>3102593</v>
      </c>
      <c r="BB98" s="1622">
        <f t="shared" si="67"/>
        <v>6900</v>
      </c>
      <c r="BC98" s="1622">
        <f t="shared" si="68"/>
        <v>3797.4070000000002</v>
      </c>
      <c r="BD98" s="1622">
        <f t="shared" si="69"/>
        <v>936.35799999999995</v>
      </c>
      <c r="BE98" s="1622">
        <f t="shared" si="70"/>
        <v>3102.5929999999998</v>
      </c>
      <c r="BH98" s="1625" t="s">
        <v>495</v>
      </c>
      <c r="BI98" s="1622">
        <v>0</v>
      </c>
      <c r="BJ98" s="1622">
        <f t="shared" si="71"/>
        <v>0</v>
      </c>
      <c r="BM98" s="1625" t="s">
        <v>600</v>
      </c>
      <c r="BN98" s="1627">
        <v>6900000</v>
      </c>
      <c r="BO98" s="1627">
        <v>936358</v>
      </c>
      <c r="BP98" s="1627">
        <v>3797407</v>
      </c>
      <c r="BQ98" s="1627">
        <v>3102593</v>
      </c>
      <c r="BR98" s="1622">
        <f t="shared" si="72"/>
        <v>6900</v>
      </c>
      <c r="BS98" s="1622">
        <f t="shared" si="73"/>
        <v>936.35799999999995</v>
      </c>
      <c r="BT98" s="1622">
        <f t="shared" si="74"/>
        <v>3797.4070000000002</v>
      </c>
      <c r="BU98" s="1622">
        <f t="shared" si="75"/>
        <v>3102.5929999999998</v>
      </c>
      <c r="BX98" s="1624" t="s">
        <v>407</v>
      </c>
      <c r="BY98" s="1622">
        <v>0</v>
      </c>
      <c r="BZ98" s="1622">
        <f t="shared" si="76"/>
        <v>0</v>
      </c>
      <c r="CC98" s="1622" t="s">
        <v>599</v>
      </c>
      <c r="CD98" s="1622">
        <v>1118600</v>
      </c>
      <c r="CE98" s="1622">
        <v>1118600</v>
      </c>
      <c r="CF98" s="1622">
        <v>1118600</v>
      </c>
      <c r="CG98" s="1622">
        <v>0</v>
      </c>
      <c r="CH98" s="1622">
        <f t="shared" si="77"/>
        <v>1118.5999999999999</v>
      </c>
      <c r="CI98" s="1622">
        <f t="shared" si="78"/>
        <v>1118.5999999999999</v>
      </c>
      <c r="CJ98" s="1622">
        <f t="shared" si="79"/>
        <v>1118.5999999999999</v>
      </c>
      <c r="CK98" s="1622">
        <f t="shared" si="80"/>
        <v>0</v>
      </c>
      <c r="CN98" s="1624" t="s">
        <v>607</v>
      </c>
      <c r="CO98" s="1622">
        <v>166153690</v>
      </c>
      <c r="CP98" s="1622">
        <f t="shared" si="81"/>
        <v>166153.69</v>
      </c>
      <c r="CS98" s="1625" t="s">
        <v>597</v>
      </c>
      <c r="CT98" s="891">
        <v>13171309</v>
      </c>
      <c r="CU98" s="891">
        <v>10873840</v>
      </c>
      <c r="CV98" s="891">
        <v>11169901</v>
      </c>
      <c r="CW98" s="891">
        <v>2001408</v>
      </c>
      <c r="CX98" s="1622">
        <f t="shared" si="82"/>
        <v>13171.308999999999</v>
      </c>
      <c r="CY98" s="1622">
        <f t="shared" si="83"/>
        <v>10873.84</v>
      </c>
      <c r="CZ98" s="1622">
        <f t="shared" si="84"/>
        <v>11169.901</v>
      </c>
      <c r="DA98" s="1622">
        <f t="shared" si="85"/>
        <v>2001.4079999999999</v>
      </c>
      <c r="DD98" s="1624" t="s">
        <v>1040</v>
      </c>
      <c r="DE98" s="1622">
        <v>21246516</v>
      </c>
      <c r="DF98" s="1622">
        <f t="shared" si="86"/>
        <v>21246.516</v>
      </c>
      <c r="DJ98" s="1624" t="s">
        <v>597</v>
      </c>
      <c r="DK98" s="1622">
        <v>14441337</v>
      </c>
      <c r="DL98" s="1622">
        <v>12804418</v>
      </c>
      <c r="DM98" s="1622">
        <v>1636919</v>
      </c>
      <c r="DN98" s="1622">
        <v>11948693</v>
      </c>
      <c r="DO98" s="1622">
        <f t="shared" si="87"/>
        <v>14441.337</v>
      </c>
      <c r="DP98" s="1622">
        <f t="shared" si="88"/>
        <v>12804.418</v>
      </c>
      <c r="DQ98" s="1622">
        <f t="shared" si="89"/>
        <v>1636.9190000000001</v>
      </c>
      <c r="DR98" s="1622">
        <f t="shared" si="90"/>
        <v>11948.692999999999</v>
      </c>
      <c r="DV98" s="780" t="s">
        <v>404</v>
      </c>
      <c r="DW98" s="779">
        <v>222165241</v>
      </c>
      <c r="DX98" s="1626">
        <f t="shared" si="91"/>
        <v>222165.24100000001</v>
      </c>
      <c r="EA98" s="780" t="s">
        <v>597</v>
      </c>
      <c r="EB98" s="779">
        <v>13217822</v>
      </c>
      <c r="EC98" s="779">
        <v>12246193</v>
      </c>
      <c r="ED98" s="779">
        <v>12804418</v>
      </c>
      <c r="EE98" s="779">
        <v>413404</v>
      </c>
      <c r="EF98" s="166">
        <f t="shared" si="92"/>
        <v>13217.822</v>
      </c>
      <c r="EG98" s="166">
        <f t="shared" si="93"/>
        <v>12246.192999999999</v>
      </c>
      <c r="EH98" s="166">
        <f t="shared" si="94"/>
        <v>12804.418</v>
      </c>
      <c r="EI98" s="166">
        <f t="shared" si="95"/>
        <v>413.404</v>
      </c>
    </row>
    <row r="99" spans="1:139" ht="15" customHeight="1" x14ac:dyDescent="0.3">
      <c r="A99" s="1625" t="s">
        <v>399</v>
      </c>
      <c r="B99" s="891">
        <v>172551</v>
      </c>
      <c r="C99" s="891">
        <v>172550</v>
      </c>
      <c r="D99" s="891">
        <v>1</v>
      </c>
      <c r="E99" s="891">
        <v>172550</v>
      </c>
      <c r="F99" s="891">
        <f t="shared" si="52"/>
        <v>172.55099999999999</v>
      </c>
      <c r="G99" s="891">
        <f t="shared" si="53"/>
        <v>172.55</v>
      </c>
      <c r="H99" s="891">
        <f t="shared" si="54"/>
        <v>1E-3</v>
      </c>
      <c r="I99" s="891">
        <f t="shared" si="55"/>
        <v>172.55</v>
      </c>
      <c r="Q99" s="1625" t="s">
        <v>399</v>
      </c>
      <c r="R99" s="891">
        <v>303651</v>
      </c>
      <c r="S99" s="891">
        <v>303650</v>
      </c>
      <c r="T99" s="891">
        <v>1</v>
      </c>
      <c r="U99" s="891">
        <v>303650</v>
      </c>
      <c r="V99" s="1622">
        <f t="shared" si="57"/>
        <v>303.65100000000001</v>
      </c>
      <c r="W99" s="1622">
        <f t="shared" si="58"/>
        <v>303.64999999999998</v>
      </c>
      <c r="X99" s="1622">
        <f t="shared" si="59"/>
        <v>1E-3</v>
      </c>
      <c r="Y99" s="1622">
        <f t="shared" si="60"/>
        <v>303.64999999999998</v>
      </c>
      <c r="AB99" s="1625" t="s">
        <v>605</v>
      </c>
      <c r="AC99" s="891">
        <v>9898572</v>
      </c>
      <c r="AD99" s="1622">
        <f t="shared" si="61"/>
        <v>9898.5720000000001</v>
      </c>
      <c r="AG99" s="1625" t="s">
        <v>398</v>
      </c>
      <c r="AH99" s="891">
        <v>756079</v>
      </c>
      <c r="AI99" s="891">
        <v>639285</v>
      </c>
      <c r="AJ99" s="891">
        <v>756079</v>
      </c>
      <c r="AK99" s="891">
        <v>0</v>
      </c>
      <c r="AL99" s="1622">
        <f t="shared" si="62"/>
        <v>756.07899999999995</v>
      </c>
      <c r="AM99" s="1622">
        <f t="shared" si="63"/>
        <v>639.28499999999997</v>
      </c>
      <c r="AN99" s="1622">
        <f t="shared" si="64"/>
        <v>756.07899999999995</v>
      </c>
      <c r="AO99" s="1622">
        <f t="shared" si="65"/>
        <v>0</v>
      </c>
      <c r="AR99" s="1625" t="s">
        <v>607</v>
      </c>
      <c r="AS99" s="1622">
        <v>0</v>
      </c>
      <c r="AT99" s="1622">
        <f t="shared" si="66"/>
        <v>0</v>
      </c>
      <c r="AW99" s="1625" t="s">
        <v>397</v>
      </c>
      <c r="AX99" s="891">
        <v>8102193</v>
      </c>
      <c r="AY99" s="891">
        <v>8102193</v>
      </c>
      <c r="AZ99" s="891">
        <v>6153603</v>
      </c>
      <c r="BA99" s="891">
        <v>0</v>
      </c>
      <c r="BB99" s="1622">
        <f t="shared" si="67"/>
        <v>8102.1930000000002</v>
      </c>
      <c r="BC99" s="1622">
        <f t="shared" si="68"/>
        <v>8102.1930000000002</v>
      </c>
      <c r="BD99" s="1622">
        <f t="shared" si="69"/>
        <v>6153.6030000000001</v>
      </c>
      <c r="BE99" s="1622">
        <f t="shared" si="70"/>
        <v>0</v>
      </c>
      <c r="BH99" s="1625" t="s">
        <v>615</v>
      </c>
      <c r="BI99" s="1622">
        <v>0</v>
      </c>
      <c r="BJ99" s="1622">
        <f t="shared" si="71"/>
        <v>0</v>
      </c>
      <c r="BM99" s="1625" t="s">
        <v>397</v>
      </c>
      <c r="BN99" s="1627">
        <v>8864418</v>
      </c>
      <c r="BO99" s="1627">
        <v>8424908</v>
      </c>
      <c r="BP99" s="1627">
        <v>8864418</v>
      </c>
      <c r="BQ99" s="1627">
        <v>0</v>
      </c>
      <c r="BR99" s="1622">
        <f t="shared" si="72"/>
        <v>8864.4179999999997</v>
      </c>
      <c r="BS99" s="1622">
        <f t="shared" si="73"/>
        <v>8424.9079999999994</v>
      </c>
      <c r="BT99" s="1622">
        <f t="shared" si="74"/>
        <v>8864.4179999999997</v>
      </c>
      <c r="BU99" s="1622">
        <f t="shared" si="75"/>
        <v>0</v>
      </c>
      <c r="BX99" s="1624" t="s">
        <v>408</v>
      </c>
      <c r="BY99" s="1622">
        <v>85667097</v>
      </c>
      <c r="BZ99" s="1622">
        <f t="shared" si="76"/>
        <v>85667.096999999994</v>
      </c>
      <c r="CC99" s="1622" t="s">
        <v>600</v>
      </c>
      <c r="CD99" s="1622">
        <v>6900000</v>
      </c>
      <c r="CE99" s="1622">
        <v>2392868</v>
      </c>
      <c r="CF99" s="1622">
        <v>3797407</v>
      </c>
      <c r="CG99" s="1622">
        <v>3102593</v>
      </c>
      <c r="CH99" s="1622">
        <f t="shared" si="77"/>
        <v>6900</v>
      </c>
      <c r="CI99" s="1622">
        <f t="shared" si="78"/>
        <v>2392.8679999999999</v>
      </c>
      <c r="CJ99" s="1622">
        <f t="shared" si="79"/>
        <v>3797.4070000000002</v>
      </c>
      <c r="CK99" s="1622">
        <f t="shared" si="80"/>
        <v>3102.5929999999998</v>
      </c>
      <c r="CN99" s="1624" t="s">
        <v>406</v>
      </c>
      <c r="CO99" s="1622">
        <v>79500000</v>
      </c>
      <c r="CP99" s="1622">
        <f t="shared" si="81"/>
        <v>79500</v>
      </c>
      <c r="CS99" s="1625" t="s">
        <v>598</v>
      </c>
      <c r="CT99" s="891">
        <v>0</v>
      </c>
      <c r="CU99" s="891">
        <v>0</v>
      </c>
      <c r="CV99" s="891">
        <v>0</v>
      </c>
      <c r="CW99" s="891">
        <v>0</v>
      </c>
      <c r="CX99" s="1622">
        <f t="shared" si="82"/>
        <v>0</v>
      </c>
      <c r="CY99" s="1622">
        <f t="shared" si="83"/>
        <v>0</v>
      </c>
      <c r="CZ99" s="1622">
        <f t="shared" si="84"/>
        <v>0</v>
      </c>
      <c r="DA99" s="1622">
        <f t="shared" si="85"/>
        <v>0</v>
      </c>
      <c r="DD99" s="1624" t="s">
        <v>618</v>
      </c>
      <c r="DE99" s="1622">
        <v>25464601</v>
      </c>
      <c r="DF99" s="1622">
        <f t="shared" si="86"/>
        <v>25464.600999999999</v>
      </c>
      <c r="DJ99" s="1624" t="s">
        <v>598</v>
      </c>
      <c r="DK99" s="1622">
        <v>452200</v>
      </c>
      <c r="DL99" s="1622">
        <v>452200</v>
      </c>
      <c r="DM99" s="1622">
        <v>0</v>
      </c>
      <c r="DN99" s="1622">
        <v>452200</v>
      </c>
      <c r="DO99" s="1622">
        <f t="shared" si="87"/>
        <v>452.2</v>
      </c>
      <c r="DP99" s="1622">
        <f t="shared" si="88"/>
        <v>452.2</v>
      </c>
      <c r="DQ99" s="1622">
        <f t="shared" si="89"/>
        <v>0</v>
      </c>
      <c r="DR99" s="1622">
        <f t="shared" si="90"/>
        <v>452.2</v>
      </c>
      <c r="DV99" s="780" t="s">
        <v>604</v>
      </c>
      <c r="DW99" s="779">
        <v>11016108</v>
      </c>
      <c r="DX99" s="1626">
        <f t="shared" si="91"/>
        <v>11016.108</v>
      </c>
      <c r="EA99" s="780" t="s">
        <v>598</v>
      </c>
      <c r="EB99" s="779">
        <v>452200</v>
      </c>
      <c r="EC99" s="779">
        <v>452200</v>
      </c>
      <c r="ED99" s="779">
        <v>452200</v>
      </c>
      <c r="EE99" s="779">
        <v>0</v>
      </c>
      <c r="EF99" s="166">
        <f t="shared" si="92"/>
        <v>452.2</v>
      </c>
      <c r="EG99" s="166">
        <f t="shared" si="93"/>
        <v>452.2</v>
      </c>
      <c r="EH99" s="166">
        <f t="shared" si="94"/>
        <v>452.2</v>
      </c>
      <c r="EI99" s="166">
        <f t="shared" si="95"/>
        <v>0</v>
      </c>
    </row>
    <row r="100" spans="1:139" ht="15" customHeight="1" x14ac:dyDescent="0.3">
      <c r="A100" s="1625" t="s">
        <v>400</v>
      </c>
      <c r="B100" s="891">
        <v>336456991</v>
      </c>
      <c r="C100" s="891">
        <v>145485702</v>
      </c>
      <c r="D100" s="891">
        <v>190971289</v>
      </c>
      <c r="E100" s="891">
        <v>29763464</v>
      </c>
      <c r="F100" s="891">
        <f t="shared" si="52"/>
        <v>336456.99099999998</v>
      </c>
      <c r="G100" s="891">
        <f t="shared" si="53"/>
        <v>145485.70199999999</v>
      </c>
      <c r="H100" s="891">
        <f t="shared" si="54"/>
        <v>190971.28899999999</v>
      </c>
      <c r="I100" s="891">
        <f t="shared" si="55"/>
        <v>29763.464</v>
      </c>
      <c r="Q100" s="1625" t="s">
        <v>400</v>
      </c>
      <c r="R100" s="891">
        <v>349016500</v>
      </c>
      <c r="S100" s="891">
        <v>185721259</v>
      </c>
      <c r="T100" s="891">
        <v>163295241</v>
      </c>
      <c r="U100" s="891">
        <v>48355217</v>
      </c>
      <c r="V100" s="1622">
        <f t="shared" si="57"/>
        <v>349016.5</v>
      </c>
      <c r="W100" s="1622">
        <f t="shared" si="58"/>
        <v>185721.25899999999</v>
      </c>
      <c r="X100" s="1622">
        <f t="shared" si="59"/>
        <v>163295.24100000001</v>
      </c>
      <c r="Y100" s="1622">
        <f t="shared" si="60"/>
        <v>48355.216999999997</v>
      </c>
      <c r="AB100" s="1625" t="s">
        <v>494</v>
      </c>
      <c r="AC100" s="891">
        <v>1041250</v>
      </c>
      <c r="AD100" s="1622">
        <f t="shared" si="61"/>
        <v>1041.25</v>
      </c>
      <c r="AG100" s="1625" t="s">
        <v>399</v>
      </c>
      <c r="AH100" s="891">
        <v>4063634</v>
      </c>
      <c r="AI100" s="891">
        <v>4063634</v>
      </c>
      <c r="AJ100" s="891">
        <v>4063634</v>
      </c>
      <c r="AK100" s="891">
        <v>0</v>
      </c>
      <c r="AL100" s="1622">
        <f t="shared" si="62"/>
        <v>4063.634</v>
      </c>
      <c r="AM100" s="1622">
        <f t="shared" si="63"/>
        <v>4063.634</v>
      </c>
      <c r="AN100" s="1622">
        <f t="shared" si="64"/>
        <v>4063.634</v>
      </c>
      <c r="AO100" s="1622">
        <f t="shared" si="65"/>
        <v>0</v>
      </c>
      <c r="AR100" s="1625" t="s">
        <v>406</v>
      </c>
      <c r="AS100" s="1622">
        <v>0</v>
      </c>
      <c r="AT100" s="1622">
        <f t="shared" si="66"/>
        <v>0</v>
      </c>
      <c r="AW100" s="1625" t="s">
        <v>398</v>
      </c>
      <c r="AX100" s="891">
        <v>4038559</v>
      </c>
      <c r="AY100" s="891">
        <v>4038559</v>
      </c>
      <c r="AZ100" s="891">
        <v>2089969</v>
      </c>
      <c r="BA100" s="891">
        <v>0</v>
      </c>
      <c r="BB100" s="1622">
        <f t="shared" si="67"/>
        <v>4038.5590000000002</v>
      </c>
      <c r="BC100" s="1622">
        <f t="shared" si="68"/>
        <v>4038.5590000000002</v>
      </c>
      <c r="BD100" s="1622">
        <f t="shared" si="69"/>
        <v>2089.9690000000001</v>
      </c>
      <c r="BE100" s="1622">
        <f t="shared" si="70"/>
        <v>0</v>
      </c>
      <c r="BH100" s="1625" t="s">
        <v>1025</v>
      </c>
      <c r="BI100" s="1622">
        <v>0</v>
      </c>
      <c r="BJ100" s="1622">
        <f t="shared" si="71"/>
        <v>0</v>
      </c>
      <c r="BM100" s="1625" t="s">
        <v>398</v>
      </c>
      <c r="BN100" s="1627">
        <v>4800784</v>
      </c>
      <c r="BO100" s="1627">
        <v>4361274</v>
      </c>
      <c r="BP100" s="1627">
        <v>4800784</v>
      </c>
      <c r="BQ100" s="1627">
        <v>0</v>
      </c>
      <c r="BR100" s="1622">
        <f t="shared" si="72"/>
        <v>4800.7839999999997</v>
      </c>
      <c r="BS100" s="1622">
        <f t="shared" si="73"/>
        <v>4361.2740000000003</v>
      </c>
      <c r="BT100" s="1622">
        <f t="shared" si="74"/>
        <v>4800.7839999999997</v>
      </c>
      <c r="BU100" s="1622">
        <f t="shared" si="75"/>
        <v>0</v>
      </c>
      <c r="BX100" s="1624" t="s">
        <v>409</v>
      </c>
      <c r="BY100" s="1622">
        <v>0</v>
      </c>
      <c r="BZ100" s="1622">
        <f t="shared" si="76"/>
        <v>0</v>
      </c>
      <c r="CC100" s="1622" t="s">
        <v>397</v>
      </c>
      <c r="CD100" s="1622">
        <v>9220275</v>
      </c>
      <c r="CE100" s="1622">
        <v>8971989</v>
      </c>
      <c r="CF100" s="1622">
        <v>9220275</v>
      </c>
      <c r="CG100" s="1622">
        <v>0</v>
      </c>
      <c r="CH100" s="1622">
        <f t="shared" si="77"/>
        <v>9220.2749999999996</v>
      </c>
      <c r="CI100" s="1622">
        <f t="shared" si="78"/>
        <v>8971.9889999999996</v>
      </c>
      <c r="CJ100" s="1622">
        <f t="shared" si="79"/>
        <v>9220.2749999999996</v>
      </c>
      <c r="CK100" s="1622">
        <f t="shared" si="80"/>
        <v>0</v>
      </c>
      <c r="CN100" s="1624" t="s">
        <v>407</v>
      </c>
      <c r="CO100" s="1622">
        <v>1547000</v>
      </c>
      <c r="CP100" s="1622">
        <f t="shared" si="81"/>
        <v>1547</v>
      </c>
      <c r="CS100" s="1625" t="s">
        <v>599</v>
      </c>
      <c r="CT100" s="891">
        <v>1118600</v>
      </c>
      <c r="CU100" s="891">
        <v>1118600</v>
      </c>
      <c r="CV100" s="891">
        <v>1118600</v>
      </c>
      <c r="CW100" s="891">
        <v>0</v>
      </c>
      <c r="CX100" s="1622">
        <f t="shared" si="82"/>
        <v>1118.5999999999999</v>
      </c>
      <c r="CY100" s="1622">
        <f t="shared" si="83"/>
        <v>1118.5999999999999</v>
      </c>
      <c r="CZ100" s="1622">
        <f t="shared" si="84"/>
        <v>1118.5999999999999</v>
      </c>
      <c r="DA100" s="1622">
        <f t="shared" si="85"/>
        <v>0</v>
      </c>
      <c r="DD100" s="1624" t="s">
        <v>929</v>
      </c>
      <c r="DE100" s="1622">
        <v>25464601</v>
      </c>
      <c r="DF100" s="1622">
        <f t="shared" si="86"/>
        <v>25464.600999999999</v>
      </c>
      <c r="DJ100" s="1624" t="s">
        <v>599</v>
      </c>
      <c r="DK100" s="1622">
        <v>1118600</v>
      </c>
      <c r="DL100" s="1622">
        <v>1118600</v>
      </c>
      <c r="DM100" s="1622">
        <v>0</v>
      </c>
      <c r="DN100" s="1622">
        <v>1118600</v>
      </c>
      <c r="DO100" s="1622">
        <f t="shared" si="87"/>
        <v>1118.5999999999999</v>
      </c>
      <c r="DP100" s="1622">
        <f t="shared" si="88"/>
        <v>1118.5999999999999</v>
      </c>
      <c r="DQ100" s="1622">
        <f t="shared" si="89"/>
        <v>0</v>
      </c>
      <c r="DR100" s="1622">
        <f t="shared" si="90"/>
        <v>1118.5999999999999</v>
      </c>
      <c r="DV100" s="780" t="s">
        <v>605</v>
      </c>
      <c r="DW100" s="779">
        <v>6851502</v>
      </c>
      <c r="DX100" s="1626">
        <f t="shared" si="91"/>
        <v>6851.5020000000004</v>
      </c>
      <c r="EA100" s="780" t="s">
        <v>599</v>
      </c>
      <c r="EB100" s="779">
        <v>1118600</v>
      </c>
      <c r="EC100" s="779">
        <v>1118600</v>
      </c>
      <c r="ED100" s="779">
        <v>1118600</v>
      </c>
      <c r="EE100" s="779">
        <v>0</v>
      </c>
      <c r="EF100" s="166">
        <f t="shared" si="92"/>
        <v>1118.5999999999999</v>
      </c>
      <c r="EG100" s="166">
        <f t="shared" si="93"/>
        <v>1118.5999999999999</v>
      </c>
      <c r="EH100" s="166">
        <f t="shared" si="94"/>
        <v>1118.5999999999999</v>
      </c>
      <c r="EI100" s="166">
        <f t="shared" si="95"/>
        <v>0</v>
      </c>
    </row>
    <row r="101" spans="1:139" ht="15" customHeight="1" x14ac:dyDescent="0.3">
      <c r="A101" s="1625" t="s">
        <v>401</v>
      </c>
      <c r="B101" s="891">
        <v>100114352</v>
      </c>
      <c r="C101" s="891">
        <v>58801111</v>
      </c>
      <c r="D101" s="891">
        <v>41313241</v>
      </c>
      <c r="E101" s="891">
        <v>3800406</v>
      </c>
      <c r="F101" s="891">
        <f t="shared" si="52"/>
        <v>100114.352</v>
      </c>
      <c r="G101" s="891">
        <f t="shared" si="53"/>
        <v>58801.110999999997</v>
      </c>
      <c r="H101" s="891">
        <f t="shared" si="54"/>
        <v>41313.241000000002</v>
      </c>
      <c r="I101" s="891">
        <f t="shared" si="55"/>
        <v>3800.4059999999999</v>
      </c>
      <c r="Q101" s="1625" t="s">
        <v>401</v>
      </c>
      <c r="R101" s="891">
        <v>99161134</v>
      </c>
      <c r="S101" s="891">
        <v>73518339</v>
      </c>
      <c r="T101" s="891">
        <v>25642795</v>
      </c>
      <c r="U101" s="891">
        <v>10757689</v>
      </c>
      <c r="V101" s="1622">
        <f t="shared" si="57"/>
        <v>99161.134000000005</v>
      </c>
      <c r="W101" s="1622">
        <f t="shared" si="58"/>
        <v>73518.339000000007</v>
      </c>
      <c r="X101" s="1622">
        <f t="shared" si="59"/>
        <v>25642.794999999998</v>
      </c>
      <c r="Y101" s="1622">
        <f t="shared" si="60"/>
        <v>10757.689</v>
      </c>
      <c r="AB101" s="1625" t="s">
        <v>606</v>
      </c>
      <c r="AC101" s="891">
        <v>140742</v>
      </c>
      <c r="AD101" s="1622">
        <f t="shared" si="61"/>
        <v>140.74199999999999</v>
      </c>
      <c r="AG101" s="1625" t="s">
        <v>400</v>
      </c>
      <c r="AH101" s="891">
        <v>352736938</v>
      </c>
      <c r="AI101" s="891">
        <v>84487130</v>
      </c>
      <c r="AJ101" s="891">
        <v>217296885</v>
      </c>
      <c r="AK101" s="891">
        <v>135440053</v>
      </c>
      <c r="AL101" s="1622">
        <f t="shared" si="62"/>
        <v>352736.93800000002</v>
      </c>
      <c r="AM101" s="1622">
        <f t="shared" si="63"/>
        <v>84487.13</v>
      </c>
      <c r="AN101" s="1622">
        <f t="shared" si="64"/>
        <v>217296.88500000001</v>
      </c>
      <c r="AO101" s="1622">
        <f t="shared" si="65"/>
        <v>135440.05300000001</v>
      </c>
      <c r="AR101" s="1625" t="s">
        <v>407</v>
      </c>
      <c r="AS101" s="1622">
        <v>0</v>
      </c>
      <c r="AT101" s="1622">
        <f t="shared" si="66"/>
        <v>0</v>
      </c>
      <c r="AW101" s="1625" t="s">
        <v>399</v>
      </c>
      <c r="AX101" s="891">
        <v>4063634</v>
      </c>
      <c r="AY101" s="891">
        <v>4063634</v>
      </c>
      <c r="AZ101" s="891">
        <v>4063634</v>
      </c>
      <c r="BA101" s="891">
        <v>0</v>
      </c>
      <c r="BB101" s="1622">
        <f t="shared" si="67"/>
        <v>4063.634</v>
      </c>
      <c r="BC101" s="1622">
        <f t="shared" si="68"/>
        <v>4063.634</v>
      </c>
      <c r="BD101" s="1622">
        <f t="shared" si="69"/>
        <v>4063.634</v>
      </c>
      <c r="BE101" s="1622">
        <f t="shared" si="70"/>
        <v>0</v>
      </c>
      <c r="BH101" s="1625" t="s">
        <v>617</v>
      </c>
      <c r="BI101" s="1622">
        <v>0</v>
      </c>
      <c r="BJ101" s="1622">
        <f t="shared" si="71"/>
        <v>0</v>
      </c>
      <c r="BM101" s="1625" t="s">
        <v>399</v>
      </c>
      <c r="BN101" s="1627">
        <v>4063634</v>
      </c>
      <c r="BO101" s="1627">
        <v>4063634</v>
      </c>
      <c r="BP101" s="1627">
        <v>4063634</v>
      </c>
      <c r="BQ101" s="1627">
        <v>0</v>
      </c>
      <c r="BR101" s="1622">
        <f t="shared" si="72"/>
        <v>4063.634</v>
      </c>
      <c r="BS101" s="1622">
        <f t="shared" si="73"/>
        <v>4063.634</v>
      </c>
      <c r="BT101" s="1622">
        <f t="shared" si="74"/>
        <v>4063.634</v>
      </c>
      <c r="BU101" s="1622">
        <f t="shared" si="75"/>
        <v>0</v>
      </c>
      <c r="BX101" s="1624" t="s">
        <v>608</v>
      </c>
      <c r="BY101" s="1622">
        <v>1055826</v>
      </c>
      <c r="BZ101" s="1622">
        <f t="shared" si="76"/>
        <v>1055.826</v>
      </c>
      <c r="CC101" s="1622" t="s">
        <v>398</v>
      </c>
      <c r="CD101" s="1622">
        <v>5156641</v>
      </c>
      <c r="CE101" s="1622">
        <v>4908355</v>
      </c>
      <c r="CF101" s="1622">
        <v>5156641</v>
      </c>
      <c r="CG101" s="1622">
        <v>0</v>
      </c>
      <c r="CH101" s="1622">
        <f t="shared" si="77"/>
        <v>5156.6409999999996</v>
      </c>
      <c r="CI101" s="1622">
        <f t="shared" si="78"/>
        <v>4908.3549999999996</v>
      </c>
      <c r="CJ101" s="1622">
        <f t="shared" si="79"/>
        <v>5156.6409999999996</v>
      </c>
      <c r="CK101" s="1622">
        <f t="shared" si="80"/>
        <v>0</v>
      </c>
      <c r="CN101" s="1624" t="s">
        <v>408</v>
      </c>
      <c r="CO101" s="1622">
        <v>85106690</v>
      </c>
      <c r="CP101" s="1622">
        <f t="shared" si="81"/>
        <v>85106.69</v>
      </c>
      <c r="CS101" s="1625" t="s">
        <v>600</v>
      </c>
      <c r="CT101" s="891">
        <v>3797407</v>
      </c>
      <c r="CU101" s="891">
        <v>2861047</v>
      </c>
      <c r="CV101" s="891">
        <v>3797407</v>
      </c>
      <c r="CW101" s="891">
        <v>0</v>
      </c>
      <c r="CX101" s="1622">
        <f t="shared" si="82"/>
        <v>3797.4070000000002</v>
      </c>
      <c r="CY101" s="1622">
        <f t="shared" si="83"/>
        <v>2861.047</v>
      </c>
      <c r="CZ101" s="1622">
        <f t="shared" si="84"/>
        <v>3797.4070000000002</v>
      </c>
      <c r="DA101" s="1622">
        <f t="shared" si="85"/>
        <v>0</v>
      </c>
      <c r="DD101" s="1624" t="s">
        <v>415</v>
      </c>
      <c r="DE101" s="1622">
        <v>0</v>
      </c>
      <c r="DF101" s="1622">
        <f t="shared" si="86"/>
        <v>0</v>
      </c>
      <c r="DJ101" s="1624" t="s">
        <v>600</v>
      </c>
      <c r="DK101" s="1622">
        <v>4197407</v>
      </c>
      <c r="DL101" s="1622">
        <v>3797407</v>
      </c>
      <c r="DM101" s="1622">
        <v>400000</v>
      </c>
      <c r="DN101" s="1622">
        <v>2861047</v>
      </c>
      <c r="DO101" s="1622">
        <f t="shared" si="87"/>
        <v>4197.4070000000002</v>
      </c>
      <c r="DP101" s="1622">
        <f t="shared" si="88"/>
        <v>3797.4070000000002</v>
      </c>
      <c r="DQ101" s="1622">
        <f t="shared" si="89"/>
        <v>400</v>
      </c>
      <c r="DR101" s="1622">
        <f t="shared" si="90"/>
        <v>2861.047</v>
      </c>
      <c r="DV101" s="780" t="s">
        <v>494</v>
      </c>
      <c r="DW101" s="779">
        <v>2388858</v>
      </c>
      <c r="DX101" s="1626">
        <f t="shared" si="91"/>
        <v>2388.8580000000002</v>
      </c>
      <c r="EA101" s="780" t="s">
        <v>600</v>
      </c>
      <c r="EB101" s="779">
        <v>5397407</v>
      </c>
      <c r="EC101" s="779">
        <v>2861047</v>
      </c>
      <c r="ED101" s="779">
        <v>3797407</v>
      </c>
      <c r="EE101" s="779">
        <v>1600000</v>
      </c>
      <c r="EF101" s="166">
        <f t="shared" si="92"/>
        <v>5397.4070000000002</v>
      </c>
      <c r="EG101" s="166">
        <f t="shared" si="93"/>
        <v>2861.047</v>
      </c>
      <c r="EH101" s="166">
        <f t="shared" si="94"/>
        <v>3797.4070000000002</v>
      </c>
      <c r="EI101" s="166">
        <f t="shared" si="95"/>
        <v>1600</v>
      </c>
    </row>
    <row r="102" spans="1:139" ht="15" customHeight="1" x14ac:dyDescent="0.3">
      <c r="A102" s="1625" t="s">
        <v>493</v>
      </c>
      <c r="B102" s="891">
        <v>12000000</v>
      </c>
      <c r="C102" s="891">
        <v>0</v>
      </c>
      <c r="D102" s="891">
        <v>12000000</v>
      </c>
      <c r="E102" s="891">
        <v>0</v>
      </c>
      <c r="F102" s="891">
        <f t="shared" si="52"/>
        <v>12000</v>
      </c>
      <c r="G102" s="891">
        <f t="shared" si="53"/>
        <v>0</v>
      </c>
      <c r="H102" s="891">
        <f t="shared" si="54"/>
        <v>12000</v>
      </c>
      <c r="I102" s="891">
        <f t="shared" si="55"/>
        <v>0</v>
      </c>
      <c r="Q102" s="1625" t="s">
        <v>493</v>
      </c>
      <c r="R102" s="891">
        <v>10000000</v>
      </c>
      <c r="S102" s="891">
        <v>0</v>
      </c>
      <c r="T102" s="891">
        <v>10000000</v>
      </c>
      <c r="U102" s="891">
        <v>0</v>
      </c>
      <c r="V102" s="1622">
        <f t="shared" si="57"/>
        <v>10000</v>
      </c>
      <c r="W102" s="1622">
        <f t="shared" si="58"/>
        <v>0</v>
      </c>
      <c r="X102" s="1622">
        <f t="shared" si="59"/>
        <v>10000</v>
      </c>
      <c r="Y102" s="1622">
        <f t="shared" si="60"/>
        <v>0</v>
      </c>
      <c r="AB102" s="1625" t="s">
        <v>405</v>
      </c>
      <c r="AC102" s="891">
        <v>140742</v>
      </c>
      <c r="AD102" s="1622">
        <f t="shared" si="61"/>
        <v>140.74199999999999</v>
      </c>
      <c r="AG102" s="1625" t="s">
        <v>401</v>
      </c>
      <c r="AH102" s="891">
        <v>99161134</v>
      </c>
      <c r="AI102" s="891">
        <v>19519671</v>
      </c>
      <c r="AJ102" s="891">
        <v>73518339</v>
      </c>
      <c r="AK102" s="891">
        <v>25642795</v>
      </c>
      <c r="AL102" s="1622">
        <f t="shared" si="62"/>
        <v>99161.134000000005</v>
      </c>
      <c r="AM102" s="1622">
        <f t="shared" si="63"/>
        <v>19519.670999999998</v>
      </c>
      <c r="AN102" s="1622">
        <f t="shared" si="64"/>
        <v>73518.339000000007</v>
      </c>
      <c r="AO102" s="1622">
        <f t="shared" si="65"/>
        <v>25642.794999999998</v>
      </c>
      <c r="AR102" s="1625" t="s">
        <v>408</v>
      </c>
      <c r="AS102" s="1622">
        <v>0</v>
      </c>
      <c r="AT102" s="1622">
        <f t="shared" si="66"/>
        <v>0</v>
      </c>
      <c r="AW102" s="1625" t="s">
        <v>400</v>
      </c>
      <c r="AX102" s="891">
        <v>486161283</v>
      </c>
      <c r="AY102" s="891">
        <v>259933042</v>
      </c>
      <c r="AZ102" s="891">
        <v>118582606</v>
      </c>
      <c r="BA102" s="891">
        <v>226228241</v>
      </c>
      <c r="BB102" s="1622">
        <f t="shared" si="67"/>
        <v>486161.283</v>
      </c>
      <c r="BC102" s="1622">
        <f t="shared" si="68"/>
        <v>259933.04199999999</v>
      </c>
      <c r="BD102" s="1622">
        <f t="shared" si="69"/>
        <v>118582.606</v>
      </c>
      <c r="BE102" s="1622">
        <f t="shared" si="70"/>
        <v>226228.24100000001</v>
      </c>
      <c r="BH102" s="1625" t="s">
        <v>638</v>
      </c>
      <c r="BI102" s="1622">
        <v>115710589</v>
      </c>
      <c r="BJ102" s="1622">
        <f t="shared" si="71"/>
        <v>115710.58900000001</v>
      </c>
      <c r="BM102" s="1625" t="s">
        <v>400</v>
      </c>
      <c r="BN102" s="1627">
        <v>491704902</v>
      </c>
      <c r="BO102" s="1627">
        <v>151716320</v>
      </c>
      <c r="BP102" s="1627">
        <v>295882520</v>
      </c>
      <c r="BQ102" s="1627">
        <v>195822382</v>
      </c>
      <c r="BR102" s="1622">
        <f t="shared" si="72"/>
        <v>491704.902</v>
      </c>
      <c r="BS102" s="1622">
        <f t="shared" si="73"/>
        <v>151716.32</v>
      </c>
      <c r="BT102" s="1622">
        <f t="shared" si="74"/>
        <v>295882.52</v>
      </c>
      <c r="BU102" s="1622">
        <f t="shared" si="75"/>
        <v>195822.38200000001</v>
      </c>
      <c r="BX102" s="1624" t="s">
        <v>410</v>
      </c>
      <c r="BY102" s="1622">
        <v>1055826</v>
      </c>
      <c r="BZ102" s="1622">
        <f t="shared" si="76"/>
        <v>1055.826</v>
      </c>
      <c r="CC102" s="1622" t="s">
        <v>399</v>
      </c>
      <c r="CD102" s="1622">
        <v>4063634</v>
      </c>
      <c r="CE102" s="1622">
        <v>4063634</v>
      </c>
      <c r="CF102" s="1622">
        <v>4063634</v>
      </c>
      <c r="CG102" s="1622">
        <v>0</v>
      </c>
      <c r="CH102" s="1622">
        <f t="shared" si="77"/>
        <v>4063.634</v>
      </c>
      <c r="CI102" s="1622">
        <f t="shared" si="78"/>
        <v>4063.634</v>
      </c>
      <c r="CJ102" s="1622">
        <f t="shared" si="79"/>
        <v>4063.634</v>
      </c>
      <c r="CK102" s="1622">
        <f t="shared" si="80"/>
        <v>0</v>
      </c>
      <c r="CN102" s="1624" t="s">
        <v>409</v>
      </c>
      <c r="CO102" s="1622">
        <v>0</v>
      </c>
      <c r="CP102" s="1622">
        <f t="shared" si="81"/>
        <v>0</v>
      </c>
      <c r="CS102" s="1625" t="s">
        <v>397</v>
      </c>
      <c r="CT102" s="891">
        <v>10499353</v>
      </c>
      <c r="CU102" s="891">
        <v>9304719</v>
      </c>
      <c r="CV102" s="891">
        <v>10499353</v>
      </c>
      <c r="CW102" s="891">
        <v>0</v>
      </c>
      <c r="CX102" s="1622">
        <f t="shared" si="82"/>
        <v>10499.352999999999</v>
      </c>
      <c r="CY102" s="1622">
        <f t="shared" si="83"/>
        <v>9304.7189999999991</v>
      </c>
      <c r="CZ102" s="1622">
        <f t="shared" si="84"/>
        <v>10499.352999999999</v>
      </c>
      <c r="DA102" s="1622">
        <f t="shared" si="85"/>
        <v>0</v>
      </c>
      <c r="DD102" s="1624" t="s">
        <v>620</v>
      </c>
      <c r="DE102" s="1622">
        <v>0</v>
      </c>
      <c r="DF102" s="1622">
        <f t="shared" si="86"/>
        <v>0</v>
      </c>
      <c r="DJ102" s="1624" t="s">
        <v>397</v>
      </c>
      <c r="DK102" s="1622">
        <v>12669229</v>
      </c>
      <c r="DL102" s="1622">
        <v>12669229</v>
      </c>
      <c r="DM102" s="1622">
        <v>0</v>
      </c>
      <c r="DN102" s="1622">
        <v>11894712</v>
      </c>
      <c r="DO102" s="1622">
        <f t="shared" si="87"/>
        <v>12669.228999999999</v>
      </c>
      <c r="DP102" s="1622">
        <f t="shared" si="88"/>
        <v>12669.228999999999</v>
      </c>
      <c r="DQ102" s="1622">
        <f t="shared" si="89"/>
        <v>0</v>
      </c>
      <c r="DR102" s="1622">
        <f t="shared" si="90"/>
        <v>11894.712</v>
      </c>
      <c r="DV102" s="780" t="s">
        <v>606</v>
      </c>
      <c r="DW102" s="779">
        <v>29228505</v>
      </c>
      <c r="DX102" s="1626">
        <f t="shared" si="91"/>
        <v>29228.505000000001</v>
      </c>
      <c r="EA102" s="780" t="s">
        <v>397</v>
      </c>
      <c r="EB102" s="779">
        <v>14437573</v>
      </c>
      <c r="EC102" s="779">
        <v>12776801</v>
      </c>
      <c r="ED102" s="779">
        <v>14437573</v>
      </c>
      <c r="EE102" s="779">
        <v>0</v>
      </c>
      <c r="EF102" s="166">
        <f t="shared" si="92"/>
        <v>14437.573</v>
      </c>
      <c r="EG102" s="166">
        <f t="shared" si="93"/>
        <v>12776.800999999999</v>
      </c>
      <c r="EH102" s="166">
        <f t="shared" si="94"/>
        <v>14437.573</v>
      </c>
      <c r="EI102" s="166">
        <f t="shared" si="95"/>
        <v>0</v>
      </c>
    </row>
    <row r="103" spans="1:139" ht="15" customHeight="1" x14ac:dyDescent="0.3">
      <c r="A103" s="1625" t="s">
        <v>994</v>
      </c>
      <c r="B103" s="891">
        <v>0</v>
      </c>
      <c r="C103" s="891">
        <v>0</v>
      </c>
      <c r="D103" s="891">
        <v>0</v>
      </c>
      <c r="E103" s="891">
        <v>0</v>
      </c>
      <c r="F103" s="891">
        <f t="shared" si="52"/>
        <v>0</v>
      </c>
      <c r="G103" s="891">
        <f t="shared" si="53"/>
        <v>0</v>
      </c>
      <c r="H103" s="891">
        <f t="shared" si="54"/>
        <v>0</v>
      </c>
      <c r="I103" s="891">
        <f t="shared" si="55"/>
        <v>0</v>
      </c>
      <c r="Q103" s="1625" t="s">
        <v>994</v>
      </c>
      <c r="R103" s="891">
        <v>0</v>
      </c>
      <c r="S103" s="891">
        <v>0</v>
      </c>
      <c r="T103" s="891">
        <v>0</v>
      </c>
      <c r="U103" s="891">
        <v>0</v>
      </c>
      <c r="V103" s="1622">
        <f t="shared" si="57"/>
        <v>0</v>
      </c>
      <c r="W103" s="1622">
        <f t="shared" si="58"/>
        <v>0</v>
      </c>
      <c r="X103" s="1622">
        <f t="shared" si="59"/>
        <v>0</v>
      </c>
      <c r="Y103" s="1622">
        <f t="shared" si="60"/>
        <v>0</v>
      </c>
      <c r="AB103" s="1625" t="s">
        <v>607</v>
      </c>
      <c r="AC103" s="891">
        <v>127042099</v>
      </c>
      <c r="AD103" s="1622">
        <f t="shared" si="61"/>
        <v>127042.099</v>
      </c>
      <c r="AG103" s="1625" t="s">
        <v>493</v>
      </c>
      <c r="AH103" s="891">
        <v>10000000</v>
      </c>
      <c r="AI103" s="891">
        <v>0</v>
      </c>
      <c r="AJ103" s="891">
        <v>0</v>
      </c>
      <c r="AK103" s="891">
        <v>10000000</v>
      </c>
      <c r="AL103" s="1622">
        <f t="shared" si="62"/>
        <v>10000</v>
      </c>
      <c r="AM103" s="1622">
        <f t="shared" si="63"/>
        <v>0</v>
      </c>
      <c r="AN103" s="1622">
        <f t="shared" si="64"/>
        <v>0</v>
      </c>
      <c r="AO103" s="1622">
        <f t="shared" si="65"/>
        <v>10000</v>
      </c>
      <c r="AR103" s="1625" t="s">
        <v>608</v>
      </c>
      <c r="AS103" s="1622">
        <v>6981720</v>
      </c>
      <c r="AT103" s="1622">
        <f t="shared" si="66"/>
        <v>6981.72</v>
      </c>
      <c r="AW103" s="1625" t="s">
        <v>401</v>
      </c>
      <c r="AX103" s="891">
        <v>101783730</v>
      </c>
      <c r="AY103" s="891">
        <v>83675803</v>
      </c>
      <c r="AZ103" s="891">
        <v>27073354</v>
      </c>
      <c r="BA103" s="891">
        <v>18107927</v>
      </c>
      <c r="BB103" s="1622">
        <f t="shared" si="67"/>
        <v>101783.73</v>
      </c>
      <c r="BC103" s="1622">
        <f t="shared" si="68"/>
        <v>83675.803</v>
      </c>
      <c r="BD103" s="1622">
        <f t="shared" si="69"/>
        <v>27073.353999999999</v>
      </c>
      <c r="BE103" s="1622">
        <f t="shared" si="70"/>
        <v>18107.927</v>
      </c>
      <c r="BH103" s="1625" t="s">
        <v>639</v>
      </c>
      <c r="BI103" s="1622">
        <v>115710589</v>
      </c>
      <c r="BJ103" s="1622">
        <f t="shared" si="71"/>
        <v>115710.58900000001</v>
      </c>
      <c r="BM103" s="1625" t="s">
        <v>401</v>
      </c>
      <c r="BN103" s="1627">
        <v>101774347</v>
      </c>
      <c r="BO103" s="1627">
        <v>34941117</v>
      </c>
      <c r="BP103" s="1627">
        <v>83675803</v>
      </c>
      <c r="BQ103" s="1627">
        <v>18098544</v>
      </c>
      <c r="BR103" s="1622">
        <f t="shared" si="72"/>
        <v>101774.34699999999</v>
      </c>
      <c r="BS103" s="1622">
        <f t="shared" si="73"/>
        <v>34941.116999999998</v>
      </c>
      <c r="BT103" s="1622">
        <f t="shared" si="74"/>
        <v>83675.803</v>
      </c>
      <c r="BU103" s="1622">
        <f t="shared" si="75"/>
        <v>18098.544000000002</v>
      </c>
      <c r="BX103" s="1624" t="s">
        <v>411</v>
      </c>
      <c r="BY103" s="1622">
        <v>0</v>
      </c>
      <c r="BZ103" s="1622">
        <f t="shared" si="76"/>
        <v>0</v>
      </c>
      <c r="CC103" s="1622" t="s">
        <v>400</v>
      </c>
      <c r="CD103" s="1622">
        <v>515086655</v>
      </c>
      <c r="CE103" s="1622">
        <v>183574491</v>
      </c>
      <c r="CF103" s="1622">
        <v>315007402</v>
      </c>
      <c r="CG103" s="1622">
        <v>200079253</v>
      </c>
      <c r="CH103" s="1622">
        <f t="shared" si="77"/>
        <v>515086.65500000003</v>
      </c>
      <c r="CI103" s="1622">
        <f t="shared" si="78"/>
        <v>183574.49100000001</v>
      </c>
      <c r="CJ103" s="1622">
        <f t="shared" si="79"/>
        <v>315007.402</v>
      </c>
      <c r="CK103" s="1622">
        <f t="shared" si="80"/>
        <v>200079.253</v>
      </c>
      <c r="CN103" s="1624" t="s">
        <v>608</v>
      </c>
      <c r="CO103" s="1622">
        <v>1013821</v>
      </c>
      <c r="CP103" s="1622">
        <f t="shared" si="81"/>
        <v>1013.821</v>
      </c>
      <c r="CS103" s="1625" t="s">
        <v>398</v>
      </c>
      <c r="CT103" s="891">
        <v>6007081</v>
      </c>
      <c r="CU103" s="891">
        <v>5168019</v>
      </c>
      <c r="CV103" s="891">
        <v>6007081</v>
      </c>
      <c r="CW103" s="891">
        <v>0</v>
      </c>
      <c r="CX103" s="1622">
        <f t="shared" si="82"/>
        <v>6007.0810000000001</v>
      </c>
      <c r="CY103" s="1622">
        <f t="shared" si="83"/>
        <v>5168.0190000000002</v>
      </c>
      <c r="CZ103" s="1622">
        <f t="shared" si="84"/>
        <v>6007.0810000000001</v>
      </c>
      <c r="DA103" s="1622">
        <f t="shared" si="85"/>
        <v>0</v>
      </c>
      <c r="DF103" s="1626"/>
      <c r="DJ103" s="1624" t="s">
        <v>398</v>
      </c>
      <c r="DK103" s="1622">
        <v>8176957</v>
      </c>
      <c r="DL103" s="1622">
        <v>8176957</v>
      </c>
      <c r="DM103" s="1622">
        <v>0</v>
      </c>
      <c r="DN103" s="1622">
        <v>7402440</v>
      </c>
      <c r="DO103" s="1622">
        <f t="shared" si="87"/>
        <v>8176.9570000000003</v>
      </c>
      <c r="DP103" s="1622">
        <f t="shared" si="88"/>
        <v>8176.9570000000003</v>
      </c>
      <c r="DQ103" s="1622">
        <f t="shared" si="89"/>
        <v>0</v>
      </c>
      <c r="DR103" s="1622">
        <f t="shared" si="90"/>
        <v>7402.44</v>
      </c>
      <c r="DV103" s="780" t="s">
        <v>405</v>
      </c>
      <c r="DW103" s="779">
        <v>29228505</v>
      </c>
      <c r="DX103" s="1626">
        <f t="shared" si="91"/>
        <v>29228.505000000001</v>
      </c>
      <c r="EA103" s="780" t="s">
        <v>398</v>
      </c>
      <c r="EB103" s="779">
        <v>9495481</v>
      </c>
      <c r="EC103" s="779">
        <v>8284529</v>
      </c>
      <c r="ED103" s="779">
        <v>9495481</v>
      </c>
      <c r="EE103" s="779">
        <v>0</v>
      </c>
      <c r="EF103" s="166">
        <f t="shared" si="92"/>
        <v>9495.4809999999998</v>
      </c>
      <c r="EG103" s="166">
        <f t="shared" si="93"/>
        <v>8284.5290000000005</v>
      </c>
      <c r="EH103" s="166">
        <f t="shared" si="94"/>
        <v>9495.4809999999998</v>
      </c>
      <c r="EI103" s="166">
        <f t="shared" si="95"/>
        <v>0</v>
      </c>
    </row>
    <row r="104" spans="1:139" ht="15" customHeight="1" x14ac:dyDescent="0.3">
      <c r="A104" s="1625" t="s">
        <v>601</v>
      </c>
      <c r="B104" s="891">
        <v>159210458</v>
      </c>
      <c r="C104" s="891">
        <v>55075027</v>
      </c>
      <c r="D104" s="891">
        <v>104135431</v>
      </c>
      <c r="E104" s="891">
        <v>18610264</v>
      </c>
      <c r="F104" s="891">
        <f t="shared" si="52"/>
        <v>159210.45800000001</v>
      </c>
      <c r="G104" s="891">
        <f t="shared" si="53"/>
        <v>55075.027000000002</v>
      </c>
      <c r="H104" s="891">
        <f t="shared" si="54"/>
        <v>104135.431</v>
      </c>
      <c r="I104" s="891">
        <f t="shared" si="55"/>
        <v>18610.263999999999</v>
      </c>
      <c r="Q104" s="1625" t="s">
        <v>601</v>
      </c>
      <c r="R104" s="891">
        <v>159666208</v>
      </c>
      <c r="S104" s="891">
        <v>68077216</v>
      </c>
      <c r="T104" s="891">
        <v>91588992</v>
      </c>
      <c r="U104" s="891">
        <v>26211833</v>
      </c>
      <c r="V104" s="1622">
        <f t="shared" si="57"/>
        <v>159666.20800000001</v>
      </c>
      <c r="W104" s="1622">
        <f t="shared" si="58"/>
        <v>68077.216</v>
      </c>
      <c r="X104" s="1622">
        <f t="shared" si="59"/>
        <v>91588.991999999998</v>
      </c>
      <c r="Y104" s="1622">
        <f t="shared" si="60"/>
        <v>26211.832999999999</v>
      </c>
      <c r="AB104" s="1625" t="s">
        <v>406</v>
      </c>
      <c r="AC104" s="891">
        <v>58825000</v>
      </c>
      <c r="AD104" s="1622">
        <f t="shared" si="61"/>
        <v>58825</v>
      </c>
      <c r="AG104" s="1625" t="s">
        <v>994</v>
      </c>
      <c r="AH104" s="891">
        <v>0</v>
      </c>
      <c r="AI104" s="891">
        <v>0</v>
      </c>
      <c r="AJ104" s="891">
        <v>0</v>
      </c>
      <c r="AK104" s="891">
        <v>0</v>
      </c>
      <c r="AL104" s="1622">
        <f t="shared" si="62"/>
        <v>0</v>
      </c>
      <c r="AM104" s="1622">
        <f t="shared" si="63"/>
        <v>0</v>
      </c>
      <c r="AN104" s="1622">
        <f t="shared" si="64"/>
        <v>0</v>
      </c>
      <c r="AO104" s="1622">
        <f t="shared" si="65"/>
        <v>0</v>
      </c>
      <c r="AR104" s="1625" t="s">
        <v>410</v>
      </c>
      <c r="AS104" s="1622">
        <v>1448220</v>
      </c>
      <c r="AT104" s="1622">
        <f t="shared" si="66"/>
        <v>1448.22</v>
      </c>
      <c r="AW104" s="1625" t="s">
        <v>493</v>
      </c>
      <c r="AX104" s="891">
        <v>8000000</v>
      </c>
      <c r="AY104" s="891">
        <v>0</v>
      </c>
      <c r="AZ104" s="891">
        <v>0</v>
      </c>
      <c r="BA104" s="891">
        <v>8000000</v>
      </c>
      <c r="BB104" s="1622">
        <f t="shared" si="67"/>
        <v>8000</v>
      </c>
      <c r="BC104" s="1622">
        <f t="shared" si="68"/>
        <v>0</v>
      </c>
      <c r="BD104" s="1622">
        <f t="shared" si="69"/>
        <v>0</v>
      </c>
      <c r="BE104" s="1622">
        <f t="shared" si="70"/>
        <v>8000</v>
      </c>
      <c r="BH104" s="1625" t="s">
        <v>618</v>
      </c>
      <c r="BI104" s="1622">
        <v>4412500</v>
      </c>
      <c r="BJ104" s="1622">
        <f t="shared" si="71"/>
        <v>4412.5</v>
      </c>
      <c r="BM104" s="1625" t="s">
        <v>493</v>
      </c>
      <c r="BN104" s="1627">
        <v>8000000</v>
      </c>
      <c r="BO104" s="1627">
        <v>0</v>
      </c>
      <c r="BP104" s="1627">
        <v>0</v>
      </c>
      <c r="BQ104" s="1627">
        <v>8000000</v>
      </c>
      <c r="BR104" s="1622">
        <f t="shared" si="72"/>
        <v>8000</v>
      </c>
      <c r="BS104" s="1622">
        <f t="shared" si="73"/>
        <v>0</v>
      </c>
      <c r="BT104" s="1622">
        <f t="shared" si="74"/>
        <v>0</v>
      </c>
      <c r="BU104" s="1622">
        <f t="shared" si="75"/>
        <v>8000</v>
      </c>
      <c r="BX104" s="1624" t="s">
        <v>412</v>
      </c>
      <c r="BY104" s="1622">
        <v>99079079</v>
      </c>
      <c r="BZ104" s="1622">
        <f t="shared" si="76"/>
        <v>99079.078999999998</v>
      </c>
      <c r="CC104" s="1622" t="s">
        <v>401</v>
      </c>
      <c r="CD104" s="1622">
        <v>103412347</v>
      </c>
      <c r="CE104" s="1622">
        <v>42547447</v>
      </c>
      <c r="CF104" s="1622">
        <v>90082603</v>
      </c>
      <c r="CG104" s="1622">
        <v>13329744</v>
      </c>
      <c r="CH104" s="1622">
        <f t="shared" si="77"/>
        <v>103412.34699999999</v>
      </c>
      <c r="CI104" s="1622">
        <f t="shared" si="78"/>
        <v>42547.447</v>
      </c>
      <c r="CJ104" s="1622">
        <f t="shared" si="79"/>
        <v>90082.603000000003</v>
      </c>
      <c r="CK104" s="1622">
        <f t="shared" si="80"/>
        <v>13329.744000000001</v>
      </c>
      <c r="CN104" s="1624" t="s">
        <v>410</v>
      </c>
      <c r="CO104" s="1622">
        <v>962770</v>
      </c>
      <c r="CP104" s="1622">
        <f t="shared" si="81"/>
        <v>962.77</v>
      </c>
      <c r="CS104" s="1625" t="s">
        <v>399</v>
      </c>
      <c r="CT104" s="891">
        <v>4492272</v>
      </c>
      <c r="CU104" s="891">
        <v>4136700</v>
      </c>
      <c r="CV104" s="891">
        <v>4492272</v>
      </c>
      <c r="CW104" s="891">
        <v>0</v>
      </c>
      <c r="CX104" s="1622">
        <f t="shared" si="82"/>
        <v>4492.2719999999999</v>
      </c>
      <c r="CY104" s="1622">
        <f t="shared" si="83"/>
        <v>4136.7</v>
      </c>
      <c r="CZ104" s="1622">
        <f t="shared" si="84"/>
        <v>4492.2719999999999</v>
      </c>
      <c r="DA104" s="1622">
        <f t="shared" si="85"/>
        <v>0</v>
      </c>
      <c r="DJ104" s="1624" t="s">
        <v>399</v>
      </c>
      <c r="DK104" s="1622">
        <v>4492272</v>
      </c>
      <c r="DL104" s="1622">
        <v>4492272</v>
      </c>
      <c r="DM104" s="1622">
        <v>0</v>
      </c>
      <c r="DN104" s="1622">
        <v>4492272</v>
      </c>
      <c r="DO104" s="1622">
        <f t="shared" si="87"/>
        <v>4492.2719999999999</v>
      </c>
      <c r="DP104" s="1622">
        <f t="shared" si="88"/>
        <v>4492.2719999999999</v>
      </c>
      <c r="DQ104" s="1622">
        <f t="shared" si="89"/>
        <v>0</v>
      </c>
      <c r="DR104" s="1622">
        <f t="shared" si="90"/>
        <v>4492.2719999999999</v>
      </c>
      <c r="DV104" s="780" t="s">
        <v>607</v>
      </c>
      <c r="DW104" s="779">
        <v>142766718</v>
      </c>
      <c r="DX104" s="1626">
        <f t="shared" si="91"/>
        <v>142766.71799999999</v>
      </c>
      <c r="EA104" s="780" t="s">
        <v>399</v>
      </c>
      <c r="EB104" s="779">
        <v>4942092</v>
      </c>
      <c r="EC104" s="779">
        <v>4492272</v>
      </c>
      <c r="ED104" s="779">
        <v>4942092</v>
      </c>
      <c r="EE104" s="779">
        <v>0</v>
      </c>
      <c r="EF104" s="166">
        <f t="shared" si="92"/>
        <v>4942.0919999999996</v>
      </c>
      <c r="EG104" s="166">
        <f t="shared" si="93"/>
        <v>4492.2719999999999</v>
      </c>
      <c r="EH104" s="166">
        <f t="shared" si="94"/>
        <v>4942.0919999999996</v>
      </c>
      <c r="EI104" s="166">
        <f t="shared" si="95"/>
        <v>0</v>
      </c>
    </row>
    <row r="105" spans="1:139" ht="15" customHeight="1" x14ac:dyDescent="0.3">
      <c r="A105" s="1625" t="s">
        <v>602</v>
      </c>
      <c r="B105" s="891">
        <v>56104597</v>
      </c>
      <c r="C105" s="891">
        <v>25717990</v>
      </c>
      <c r="D105" s="891">
        <v>30386607</v>
      </c>
      <c r="E105" s="891">
        <v>2440000</v>
      </c>
      <c r="F105" s="891">
        <f t="shared" si="52"/>
        <v>56104.597000000002</v>
      </c>
      <c r="G105" s="891">
        <f t="shared" si="53"/>
        <v>25717.99</v>
      </c>
      <c r="H105" s="891">
        <f t="shared" si="54"/>
        <v>30386.607</v>
      </c>
      <c r="I105" s="891">
        <f t="shared" si="55"/>
        <v>2440</v>
      </c>
      <c r="Q105" s="1625" t="s">
        <v>602</v>
      </c>
      <c r="R105" s="891">
        <v>56104597</v>
      </c>
      <c r="S105" s="891">
        <v>35601990</v>
      </c>
      <c r="T105" s="891">
        <v>20502607</v>
      </c>
      <c r="U105" s="891">
        <v>4934000</v>
      </c>
      <c r="V105" s="1622">
        <f t="shared" si="57"/>
        <v>56104.597000000002</v>
      </c>
      <c r="W105" s="1622">
        <f t="shared" si="58"/>
        <v>35601.99</v>
      </c>
      <c r="X105" s="1622">
        <f t="shared" si="59"/>
        <v>20502.607</v>
      </c>
      <c r="Y105" s="1622">
        <f t="shared" si="60"/>
        <v>4934</v>
      </c>
      <c r="AB105" s="1625" t="s">
        <v>407</v>
      </c>
      <c r="AC105" s="891">
        <v>0</v>
      </c>
      <c r="AD105" s="1622">
        <f t="shared" si="61"/>
        <v>0</v>
      </c>
      <c r="AG105" s="1625" t="s">
        <v>601</v>
      </c>
      <c r="AH105" s="891">
        <v>161198186</v>
      </c>
      <c r="AI105" s="891">
        <v>41259774</v>
      </c>
      <c r="AJ105" s="891">
        <v>77547477</v>
      </c>
      <c r="AK105" s="891">
        <v>83650709</v>
      </c>
      <c r="AL105" s="1622">
        <f t="shared" si="62"/>
        <v>161198.18599999999</v>
      </c>
      <c r="AM105" s="1622">
        <f t="shared" si="63"/>
        <v>41259.773999999998</v>
      </c>
      <c r="AN105" s="1622">
        <f t="shared" si="64"/>
        <v>77547.476999999999</v>
      </c>
      <c r="AO105" s="1622">
        <f t="shared" si="65"/>
        <v>83650.709000000003</v>
      </c>
      <c r="AR105" s="1625" t="s">
        <v>609</v>
      </c>
      <c r="AS105" s="1622">
        <v>5533500</v>
      </c>
      <c r="AT105" s="1622">
        <f t="shared" si="66"/>
        <v>5533.5</v>
      </c>
      <c r="AW105" s="1625" t="s">
        <v>994</v>
      </c>
      <c r="AX105" s="891">
        <v>0</v>
      </c>
      <c r="AY105" s="891">
        <v>0</v>
      </c>
      <c r="AZ105" s="891">
        <v>0</v>
      </c>
      <c r="BA105" s="891">
        <v>0</v>
      </c>
      <c r="BB105" s="1622">
        <f t="shared" si="67"/>
        <v>0</v>
      </c>
      <c r="BC105" s="1622">
        <f t="shared" si="68"/>
        <v>0</v>
      </c>
      <c r="BD105" s="1622">
        <f t="shared" si="69"/>
        <v>0</v>
      </c>
      <c r="BE105" s="1622">
        <f t="shared" si="70"/>
        <v>0</v>
      </c>
      <c r="BH105" s="1625" t="s">
        <v>415</v>
      </c>
      <c r="BI105" s="1622">
        <v>4412500</v>
      </c>
      <c r="BJ105" s="1622">
        <f t="shared" si="71"/>
        <v>4412.5</v>
      </c>
      <c r="BM105" s="1625" t="s">
        <v>994</v>
      </c>
      <c r="BN105" s="1627">
        <v>0</v>
      </c>
      <c r="BO105" s="1627">
        <v>0</v>
      </c>
      <c r="BP105" s="1627">
        <v>0</v>
      </c>
      <c r="BQ105" s="1627">
        <v>0</v>
      </c>
      <c r="BR105" s="1622">
        <f t="shared" si="72"/>
        <v>0</v>
      </c>
      <c r="BS105" s="1622">
        <f t="shared" si="73"/>
        <v>0</v>
      </c>
      <c r="BT105" s="1622">
        <f t="shared" si="74"/>
        <v>0</v>
      </c>
      <c r="BU105" s="1622">
        <f t="shared" si="75"/>
        <v>0</v>
      </c>
      <c r="BX105" s="1624" t="s">
        <v>538</v>
      </c>
      <c r="BY105" s="1622">
        <v>90000000</v>
      </c>
      <c r="BZ105" s="1622">
        <f t="shared" si="76"/>
        <v>90000</v>
      </c>
      <c r="CC105" s="1622" t="s">
        <v>493</v>
      </c>
      <c r="CD105" s="1622">
        <v>8000000</v>
      </c>
      <c r="CE105" s="1622">
        <v>0</v>
      </c>
      <c r="CF105" s="1622">
        <v>0</v>
      </c>
      <c r="CG105" s="1622">
        <v>8000000</v>
      </c>
      <c r="CH105" s="1622">
        <f t="shared" si="77"/>
        <v>8000</v>
      </c>
      <c r="CI105" s="1622">
        <f t="shared" si="78"/>
        <v>0</v>
      </c>
      <c r="CJ105" s="1622">
        <f t="shared" si="79"/>
        <v>0</v>
      </c>
      <c r="CK105" s="1622">
        <f t="shared" si="80"/>
        <v>8000</v>
      </c>
      <c r="CN105" s="1624" t="s">
        <v>411</v>
      </c>
      <c r="CO105" s="1622">
        <v>51051</v>
      </c>
      <c r="CP105" s="1622">
        <f t="shared" si="81"/>
        <v>51.051000000000002</v>
      </c>
      <c r="CS105" s="1625" t="s">
        <v>400</v>
      </c>
      <c r="CT105" s="891">
        <v>597524670</v>
      </c>
      <c r="CU105" s="891">
        <v>206594699</v>
      </c>
      <c r="CV105" s="891">
        <v>365320550</v>
      </c>
      <c r="CW105" s="891">
        <v>232204120</v>
      </c>
      <c r="CX105" s="1622">
        <f t="shared" si="82"/>
        <v>597524.67000000004</v>
      </c>
      <c r="CY105" s="1622">
        <f t="shared" si="83"/>
        <v>206594.69899999999</v>
      </c>
      <c r="CZ105" s="1622">
        <f t="shared" si="84"/>
        <v>365320.55</v>
      </c>
      <c r="DA105" s="1622">
        <f t="shared" si="85"/>
        <v>232204.12</v>
      </c>
      <c r="DF105" s="1628"/>
      <c r="DJ105" s="1624" t="s">
        <v>400</v>
      </c>
      <c r="DK105" s="1622">
        <v>625620150</v>
      </c>
      <c r="DL105" s="1622">
        <v>396416849</v>
      </c>
      <c r="DM105" s="1622">
        <v>229203301</v>
      </c>
      <c r="DN105" s="1622">
        <v>272247226</v>
      </c>
      <c r="DO105" s="1622">
        <f t="shared" si="87"/>
        <v>625620.15</v>
      </c>
      <c r="DP105" s="1622">
        <f t="shared" si="88"/>
        <v>396416.84899999999</v>
      </c>
      <c r="DQ105" s="1622">
        <f t="shared" si="89"/>
        <v>229203.30100000001</v>
      </c>
      <c r="DR105" s="1622">
        <f t="shared" si="90"/>
        <v>272247.22600000002</v>
      </c>
      <c r="DV105" s="780" t="s">
        <v>406</v>
      </c>
      <c r="DW105" s="779">
        <v>49406153</v>
      </c>
      <c r="DX105" s="1626">
        <f t="shared" si="91"/>
        <v>49406.152999999998</v>
      </c>
      <c r="EA105" s="780" t="s">
        <v>400</v>
      </c>
      <c r="EB105" s="779">
        <v>633813337</v>
      </c>
      <c r="EC105" s="779">
        <v>326111294</v>
      </c>
      <c r="ED105" s="779">
        <v>495492538</v>
      </c>
      <c r="EE105" s="779">
        <v>138320799</v>
      </c>
      <c r="EF105" s="166">
        <f t="shared" si="92"/>
        <v>633813.33700000006</v>
      </c>
      <c r="EG105" s="166">
        <f t="shared" si="93"/>
        <v>326111.29399999999</v>
      </c>
      <c r="EH105" s="166">
        <f t="shared" si="94"/>
        <v>495492.538</v>
      </c>
      <c r="EI105" s="166">
        <f t="shared" si="95"/>
        <v>138320.799</v>
      </c>
    </row>
    <row r="106" spans="1:139" ht="15" customHeight="1" x14ac:dyDescent="0.3">
      <c r="A106" s="1625" t="s">
        <v>603</v>
      </c>
      <c r="B106" s="891">
        <v>3300000</v>
      </c>
      <c r="C106" s="891">
        <v>1663992</v>
      </c>
      <c r="D106" s="891">
        <v>1636008</v>
      </c>
      <c r="E106" s="891">
        <v>685212</v>
      </c>
      <c r="F106" s="891">
        <f t="shared" si="52"/>
        <v>3300</v>
      </c>
      <c r="G106" s="891">
        <f t="shared" si="53"/>
        <v>1663.992</v>
      </c>
      <c r="H106" s="891">
        <f t="shared" si="54"/>
        <v>1636.008</v>
      </c>
      <c r="I106" s="891">
        <f t="shared" si="55"/>
        <v>685.21199999999999</v>
      </c>
      <c r="Q106" s="1625" t="s">
        <v>603</v>
      </c>
      <c r="R106" s="891">
        <v>2300000</v>
      </c>
      <c r="S106" s="891">
        <v>1975632</v>
      </c>
      <c r="T106" s="891">
        <v>324368</v>
      </c>
      <c r="U106" s="891">
        <v>1450613</v>
      </c>
      <c r="V106" s="1622">
        <f t="shared" si="57"/>
        <v>2300</v>
      </c>
      <c r="W106" s="1622">
        <f t="shared" si="58"/>
        <v>1975.6320000000001</v>
      </c>
      <c r="X106" s="1622">
        <f t="shared" si="59"/>
        <v>324.36799999999999</v>
      </c>
      <c r="Y106" s="1622">
        <f t="shared" si="60"/>
        <v>1450.6130000000001</v>
      </c>
      <c r="AB106" s="1625" t="s">
        <v>408</v>
      </c>
      <c r="AC106" s="891">
        <v>68217099</v>
      </c>
      <c r="AD106" s="1622">
        <f t="shared" si="61"/>
        <v>68217.099000000002</v>
      </c>
      <c r="AG106" s="1625" t="s">
        <v>602</v>
      </c>
      <c r="AH106" s="891">
        <v>55762750</v>
      </c>
      <c r="AI106" s="891">
        <v>11025500</v>
      </c>
      <c r="AJ106" s="891">
        <v>48862654</v>
      </c>
      <c r="AK106" s="891">
        <v>6900096</v>
      </c>
      <c r="AL106" s="1622">
        <f t="shared" si="62"/>
        <v>55762.75</v>
      </c>
      <c r="AM106" s="1622">
        <f t="shared" si="63"/>
        <v>11025.5</v>
      </c>
      <c r="AN106" s="1622">
        <f t="shared" si="64"/>
        <v>48862.654000000002</v>
      </c>
      <c r="AO106" s="1622">
        <f t="shared" si="65"/>
        <v>6900.0959999999995</v>
      </c>
      <c r="AR106" s="1625" t="s">
        <v>411</v>
      </c>
      <c r="AS106" s="1622">
        <v>0</v>
      </c>
      <c r="AT106" s="1622">
        <f t="shared" si="66"/>
        <v>0</v>
      </c>
      <c r="AW106" s="1625" t="s">
        <v>601</v>
      </c>
      <c r="AX106" s="891">
        <v>162731355</v>
      </c>
      <c r="AY106" s="891">
        <v>93083011</v>
      </c>
      <c r="AZ106" s="891">
        <v>55800558</v>
      </c>
      <c r="BA106" s="891">
        <v>69648344</v>
      </c>
      <c r="BB106" s="1622">
        <f t="shared" si="67"/>
        <v>162731.35500000001</v>
      </c>
      <c r="BC106" s="1622">
        <f t="shared" si="68"/>
        <v>93083.010999999999</v>
      </c>
      <c r="BD106" s="1622">
        <f t="shared" si="69"/>
        <v>55800.557999999997</v>
      </c>
      <c r="BE106" s="1622">
        <f t="shared" si="70"/>
        <v>69648.343999999997</v>
      </c>
      <c r="BH106" s="1625" t="s">
        <v>620</v>
      </c>
      <c r="BI106" s="1622">
        <v>4412500</v>
      </c>
      <c r="BJ106" s="1622">
        <f t="shared" si="71"/>
        <v>4412.5</v>
      </c>
      <c r="BM106" s="1625" t="s">
        <v>601</v>
      </c>
      <c r="BN106" s="1627">
        <v>164679372</v>
      </c>
      <c r="BO106" s="1627">
        <v>73756270</v>
      </c>
      <c r="BP106" s="1627">
        <v>108457342</v>
      </c>
      <c r="BQ106" s="1627">
        <v>56222030</v>
      </c>
      <c r="BR106" s="1622">
        <f t="shared" si="72"/>
        <v>164679.372</v>
      </c>
      <c r="BS106" s="1622">
        <f t="shared" si="73"/>
        <v>73756.27</v>
      </c>
      <c r="BT106" s="1622">
        <f t="shared" si="74"/>
        <v>108457.342</v>
      </c>
      <c r="BU106" s="1622">
        <f t="shared" si="75"/>
        <v>56222.03</v>
      </c>
      <c r="BX106" s="1624" t="s">
        <v>1024</v>
      </c>
      <c r="BY106" s="1622">
        <v>90000000</v>
      </c>
      <c r="BZ106" s="1622">
        <f t="shared" si="76"/>
        <v>90000</v>
      </c>
      <c r="CC106" s="1622" t="s">
        <v>994</v>
      </c>
      <c r="CD106" s="1622">
        <v>0</v>
      </c>
      <c r="CE106" s="1622">
        <v>0</v>
      </c>
      <c r="CF106" s="1622">
        <v>0</v>
      </c>
      <c r="CG106" s="1622">
        <v>0</v>
      </c>
      <c r="CH106" s="1622">
        <f t="shared" si="77"/>
        <v>0</v>
      </c>
      <c r="CI106" s="1622">
        <f t="shared" si="78"/>
        <v>0</v>
      </c>
      <c r="CJ106" s="1622">
        <f t="shared" si="79"/>
        <v>0</v>
      </c>
      <c r="CK106" s="1622">
        <f t="shared" si="80"/>
        <v>0</v>
      </c>
      <c r="CN106" s="1624" t="s">
        <v>412</v>
      </c>
      <c r="CO106" s="1622">
        <v>11350124</v>
      </c>
      <c r="CP106" s="1622">
        <f t="shared" si="81"/>
        <v>11350.124</v>
      </c>
      <c r="CS106" s="1625" t="s">
        <v>401</v>
      </c>
      <c r="CT106" s="891">
        <v>102576003</v>
      </c>
      <c r="CU106" s="891">
        <v>48772525</v>
      </c>
      <c r="CV106" s="891">
        <v>96056323</v>
      </c>
      <c r="CW106" s="891">
        <v>6519680</v>
      </c>
      <c r="CX106" s="1622">
        <f t="shared" si="82"/>
        <v>102576.003</v>
      </c>
      <c r="CY106" s="1622">
        <f t="shared" si="83"/>
        <v>48772.525000000001</v>
      </c>
      <c r="CZ106" s="1622">
        <f t="shared" si="84"/>
        <v>96056.323000000004</v>
      </c>
      <c r="DA106" s="1622">
        <f t="shared" si="85"/>
        <v>6519.68</v>
      </c>
      <c r="DJ106" s="1624" t="s">
        <v>401</v>
      </c>
      <c r="DK106" s="1622">
        <v>99536003</v>
      </c>
      <c r="DL106" s="1622">
        <v>93665349</v>
      </c>
      <c r="DM106" s="1622">
        <v>5870654</v>
      </c>
      <c r="DN106" s="1622">
        <v>55581404</v>
      </c>
      <c r="DO106" s="1622">
        <f t="shared" si="87"/>
        <v>99536.002999999997</v>
      </c>
      <c r="DP106" s="1622">
        <f t="shared" si="88"/>
        <v>93665.349000000002</v>
      </c>
      <c r="DQ106" s="1622">
        <f t="shared" si="89"/>
        <v>5870.6540000000005</v>
      </c>
      <c r="DR106" s="1622">
        <f t="shared" si="90"/>
        <v>55581.404000000002</v>
      </c>
      <c r="DV106" s="780" t="s">
        <v>407</v>
      </c>
      <c r="DW106" s="779">
        <v>4100000</v>
      </c>
      <c r="DX106" s="1626">
        <f t="shared" si="91"/>
        <v>4100</v>
      </c>
      <c r="EA106" s="780" t="s">
        <v>401</v>
      </c>
      <c r="EB106" s="779">
        <v>99099049</v>
      </c>
      <c r="EC106" s="779">
        <v>63593488</v>
      </c>
      <c r="ED106" s="779">
        <v>93665349</v>
      </c>
      <c r="EE106" s="779">
        <v>5433700</v>
      </c>
      <c r="EF106" s="166">
        <f t="shared" si="92"/>
        <v>99099.048999999999</v>
      </c>
      <c r="EG106" s="166">
        <f t="shared" si="93"/>
        <v>63593.487999999998</v>
      </c>
      <c r="EH106" s="166">
        <f t="shared" si="94"/>
        <v>93665.349000000002</v>
      </c>
      <c r="EI106" s="166">
        <f t="shared" si="95"/>
        <v>5433.7</v>
      </c>
    </row>
    <row r="107" spans="1:139" ht="15" customHeight="1" x14ac:dyDescent="0.3">
      <c r="A107" s="1625" t="s">
        <v>402</v>
      </c>
      <c r="B107" s="891">
        <v>5727584</v>
      </c>
      <c r="C107" s="891">
        <v>4227582</v>
      </c>
      <c r="D107" s="891">
        <v>1500002</v>
      </c>
      <c r="E107" s="891">
        <v>4227582</v>
      </c>
      <c r="F107" s="891">
        <f t="shared" si="52"/>
        <v>5727.5839999999998</v>
      </c>
      <c r="G107" s="891">
        <f t="shared" si="53"/>
        <v>4227.5820000000003</v>
      </c>
      <c r="H107" s="891">
        <f t="shared" si="54"/>
        <v>1500.002</v>
      </c>
      <c r="I107" s="891">
        <f t="shared" si="55"/>
        <v>4227.5820000000003</v>
      </c>
      <c r="Q107" s="1625" t="s">
        <v>402</v>
      </c>
      <c r="R107" s="891">
        <v>21784561</v>
      </c>
      <c r="S107" s="891">
        <v>6548082</v>
      </c>
      <c r="T107" s="891">
        <v>15236479</v>
      </c>
      <c r="U107" s="891">
        <v>5001082</v>
      </c>
      <c r="V107" s="1622">
        <f t="shared" si="57"/>
        <v>21784.561000000002</v>
      </c>
      <c r="W107" s="1622">
        <f t="shared" si="58"/>
        <v>6548.0820000000003</v>
      </c>
      <c r="X107" s="1622">
        <f t="shared" si="59"/>
        <v>15236.478999999999</v>
      </c>
      <c r="Y107" s="1622">
        <f t="shared" si="60"/>
        <v>5001.0820000000003</v>
      </c>
      <c r="AB107" s="1625" t="s">
        <v>409</v>
      </c>
      <c r="AC107" s="891">
        <v>0</v>
      </c>
      <c r="AD107" s="1622">
        <f t="shared" si="61"/>
        <v>0</v>
      </c>
      <c r="AG107" s="1625" t="s">
        <v>603</v>
      </c>
      <c r="AH107" s="891">
        <v>2503154</v>
      </c>
      <c r="AI107" s="891">
        <v>1762253</v>
      </c>
      <c r="AJ107" s="891">
        <v>2239394</v>
      </c>
      <c r="AK107" s="891">
        <v>263760</v>
      </c>
      <c r="AL107" s="1622">
        <f t="shared" si="62"/>
        <v>2503.154</v>
      </c>
      <c r="AM107" s="1622">
        <f t="shared" si="63"/>
        <v>1762.2529999999999</v>
      </c>
      <c r="AN107" s="1622">
        <f t="shared" si="64"/>
        <v>2239.3939999999998</v>
      </c>
      <c r="AO107" s="1622">
        <f t="shared" si="65"/>
        <v>263.76</v>
      </c>
      <c r="AR107" s="1625" t="s">
        <v>412</v>
      </c>
      <c r="AS107" s="1622">
        <v>1775469</v>
      </c>
      <c r="AT107" s="1622">
        <f t="shared" si="66"/>
        <v>1775.4690000000001</v>
      </c>
      <c r="AW107" s="1625" t="s">
        <v>602</v>
      </c>
      <c r="AX107" s="891">
        <v>67623662</v>
      </c>
      <c r="AY107" s="891">
        <v>64394654</v>
      </c>
      <c r="AZ107" s="891">
        <v>17834500</v>
      </c>
      <c r="BA107" s="891">
        <v>3229008</v>
      </c>
      <c r="BB107" s="1622">
        <f t="shared" si="67"/>
        <v>67623.661999999997</v>
      </c>
      <c r="BC107" s="1622">
        <f t="shared" si="68"/>
        <v>64394.654000000002</v>
      </c>
      <c r="BD107" s="1622">
        <f t="shared" si="69"/>
        <v>17834.5</v>
      </c>
      <c r="BE107" s="1622">
        <f t="shared" si="70"/>
        <v>3229.0079999999998</v>
      </c>
      <c r="BM107" s="1625" t="s">
        <v>602</v>
      </c>
      <c r="BN107" s="1627">
        <v>70043662</v>
      </c>
      <c r="BO107" s="1627">
        <v>24100990</v>
      </c>
      <c r="BP107" s="1627">
        <v>70043654</v>
      </c>
      <c r="BQ107" s="1627">
        <v>8</v>
      </c>
      <c r="BR107" s="1622">
        <f t="shared" si="72"/>
        <v>70043.661999999997</v>
      </c>
      <c r="BS107" s="1622">
        <f t="shared" si="73"/>
        <v>24100.99</v>
      </c>
      <c r="BT107" s="1622">
        <f t="shared" si="74"/>
        <v>70043.653999999995</v>
      </c>
      <c r="BU107" s="1622">
        <f t="shared" si="75"/>
        <v>8.0000000000000002E-3</v>
      </c>
      <c r="BX107" s="1624" t="s">
        <v>413</v>
      </c>
      <c r="BY107" s="1622">
        <v>9079079</v>
      </c>
      <c r="BZ107" s="1622">
        <f t="shared" si="76"/>
        <v>9079.0789999999997</v>
      </c>
      <c r="CC107" s="1622" t="s">
        <v>601</v>
      </c>
      <c r="CD107" s="1622">
        <v>165588780</v>
      </c>
      <c r="CE107" s="1622">
        <v>83792503</v>
      </c>
      <c r="CF107" s="1622">
        <v>120101659</v>
      </c>
      <c r="CG107" s="1622">
        <v>45487121</v>
      </c>
      <c r="CH107" s="1622">
        <f t="shared" si="77"/>
        <v>165588.78</v>
      </c>
      <c r="CI107" s="1622">
        <f t="shared" si="78"/>
        <v>83792.502999999997</v>
      </c>
      <c r="CJ107" s="1622">
        <f t="shared" si="79"/>
        <v>120101.659</v>
      </c>
      <c r="CK107" s="1622">
        <f t="shared" si="80"/>
        <v>45487.120999999999</v>
      </c>
      <c r="CN107" s="1624" t="s">
        <v>413</v>
      </c>
      <c r="CO107" s="1622">
        <v>11350124</v>
      </c>
      <c r="CP107" s="1622">
        <f t="shared" si="81"/>
        <v>11350.124</v>
      </c>
      <c r="CS107" s="1625" t="s">
        <v>493</v>
      </c>
      <c r="CT107" s="891">
        <v>8000000</v>
      </c>
      <c r="CU107" s="891">
        <v>0</v>
      </c>
      <c r="CV107" s="891">
        <v>0</v>
      </c>
      <c r="CW107" s="891">
        <v>8000000</v>
      </c>
      <c r="CX107" s="1622">
        <f t="shared" si="82"/>
        <v>8000</v>
      </c>
      <c r="CY107" s="1622">
        <f t="shared" si="83"/>
        <v>0</v>
      </c>
      <c r="CZ107" s="1622">
        <f t="shared" si="84"/>
        <v>0</v>
      </c>
      <c r="DA107" s="1622">
        <f t="shared" si="85"/>
        <v>8000</v>
      </c>
      <c r="DJ107" s="1624" t="s">
        <v>493</v>
      </c>
      <c r="DK107" s="1622">
        <v>25100000</v>
      </c>
      <c r="DL107" s="1622">
        <v>0</v>
      </c>
      <c r="DM107" s="1622">
        <v>25100000</v>
      </c>
      <c r="DN107" s="1622">
        <v>0</v>
      </c>
      <c r="DO107" s="1622">
        <f t="shared" si="87"/>
        <v>25100</v>
      </c>
      <c r="DP107" s="1622">
        <f t="shared" si="88"/>
        <v>0</v>
      </c>
      <c r="DQ107" s="1622">
        <f t="shared" si="89"/>
        <v>25100</v>
      </c>
      <c r="DR107" s="1622">
        <f t="shared" si="90"/>
        <v>0</v>
      </c>
      <c r="DV107" s="780" t="s">
        <v>408</v>
      </c>
      <c r="DW107" s="779">
        <v>89260565</v>
      </c>
      <c r="DX107" s="1626">
        <f t="shared" si="91"/>
        <v>89260.565000000002</v>
      </c>
      <c r="EA107" s="780" t="s">
        <v>493</v>
      </c>
      <c r="EB107" s="779">
        <v>24686596</v>
      </c>
      <c r="EC107" s="779">
        <v>0</v>
      </c>
      <c r="ED107" s="779">
        <v>0</v>
      </c>
      <c r="EE107" s="779">
        <v>24686596</v>
      </c>
      <c r="EF107" s="166">
        <f t="shared" si="92"/>
        <v>24686.596000000001</v>
      </c>
      <c r="EG107" s="166">
        <f t="shared" si="93"/>
        <v>0</v>
      </c>
      <c r="EH107" s="166">
        <f t="shared" si="94"/>
        <v>0</v>
      </c>
      <c r="EI107" s="166">
        <f t="shared" si="95"/>
        <v>24686.596000000001</v>
      </c>
    </row>
    <row r="108" spans="1:139" ht="15" customHeight="1" x14ac:dyDescent="0.3">
      <c r="A108" s="1625" t="s">
        <v>403</v>
      </c>
      <c r="B108" s="891">
        <v>791977568</v>
      </c>
      <c r="C108" s="891">
        <v>647146000</v>
      </c>
      <c r="D108" s="891">
        <v>144831568</v>
      </c>
      <c r="E108" s="891">
        <v>63647631</v>
      </c>
      <c r="F108" s="891">
        <f t="shared" si="52"/>
        <v>791977.56799999997</v>
      </c>
      <c r="G108" s="891">
        <f t="shared" si="53"/>
        <v>647146</v>
      </c>
      <c r="H108" s="891">
        <f t="shared" si="54"/>
        <v>144831.568</v>
      </c>
      <c r="I108" s="891">
        <f t="shared" si="55"/>
        <v>63647.631000000001</v>
      </c>
      <c r="Q108" s="1625" t="s">
        <v>403</v>
      </c>
      <c r="R108" s="891">
        <v>740377568</v>
      </c>
      <c r="S108" s="891">
        <v>600752250</v>
      </c>
      <c r="T108" s="891">
        <v>139625318</v>
      </c>
      <c r="U108" s="891">
        <v>85010794</v>
      </c>
      <c r="V108" s="1622">
        <f t="shared" si="57"/>
        <v>740377.56799999997</v>
      </c>
      <c r="W108" s="1622">
        <f t="shared" si="58"/>
        <v>600752.25</v>
      </c>
      <c r="X108" s="1622">
        <f t="shared" si="59"/>
        <v>139625.318</v>
      </c>
      <c r="Y108" s="1622">
        <f t="shared" si="60"/>
        <v>85010.793999999994</v>
      </c>
      <c r="AB108" s="1625" t="s">
        <v>608</v>
      </c>
      <c r="AC108" s="891">
        <v>205978</v>
      </c>
      <c r="AD108" s="1622">
        <f t="shared" si="61"/>
        <v>205.97800000000001</v>
      </c>
      <c r="AG108" s="1625" t="s">
        <v>402</v>
      </c>
      <c r="AH108" s="891">
        <v>24111714</v>
      </c>
      <c r="AI108" s="891">
        <v>10919932</v>
      </c>
      <c r="AJ108" s="891">
        <v>15129021</v>
      </c>
      <c r="AK108" s="891">
        <v>8982693</v>
      </c>
      <c r="AL108" s="1622">
        <f t="shared" si="62"/>
        <v>24111.714</v>
      </c>
      <c r="AM108" s="1622">
        <f t="shared" si="63"/>
        <v>10919.932000000001</v>
      </c>
      <c r="AN108" s="1622">
        <f t="shared" si="64"/>
        <v>15129.021000000001</v>
      </c>
      <c r="AO108" s="1622">
        <f t="shared" si="65"/>
        <v>8982.6929999999993</v>
      </c>
      <c r="AR108" s="1625" t="s">
        <v>413</v>
      </c>
      <c r="AS108" s="1622">
        <v>1775469</v>
      </c>
      <c r="AT108" s="1622">
        <f t="shared" si="66"/>
        <v>1775.4690000000001</v>
      </c>
      <c r="AW108" s="1625" t="s">
        <v>603</v>
      </c>
      <c r="AX108" s="891">
        <v>2503154</v>
      </c>
      <c r="AY108" s="891">
        <v>2503154</v>
      </c>
      <c r="AZ108" s="891">
        <v>2371274</v>
      </c>
      <c r="BA108" s="891">
        <v>0</v>
      </c>
      <c r="BB108" s="1622">
        <f t="shared" si="67"/>
        <v>2503.154</v>
      </c>
      <c r="BC108" s="1622">
        <f t="shared" si="68"/>
        <v>2503.154</v>
      </c>
      <c r="BD108" s="1622">
        <f t="shared" si="69"/>
        <v>2371.2739999999999</v>
      </c>
      <c r="BE108" s="1622">
        <f t="shared" si="70"/>
        <v>0</v>
      </c>
      <c r="BM108" s="1625" t="s">
        <v>603</v>
      </c>
      <c r="BN108" s="1627">
        <v>2503154</v>
      </c>
      <c r="BO108" s="1627">
        <v>2371274</v>
      </c>
      <c r="BP108" s="1627">
        <v>2503154</v>
      </c>
      <c r="BQ108" s="1627">
        <v>0</v>
      </c>
      <c r="BR108" s="1622">
        <f t="shared" si="72"/>
        <v>2503.154</v>
      </c>
      <c r="BS108" s="1622">
        <f t="shared" si="73"/>
        <v>2371.2739999999999</v>
      </c>
      <c r="BT108" s="1622">
        <f t="shared" si="74"/>
        <v>2503.154</v>
      </c>
      <c r="BU108" s="1622">
        <f t="shared" si="75"/>
        <v>0</v>
      </c>
      <c r="BX108" s="1624" t="s">
        <v>532</v>
      </c>
      <c r="BY108" s="1622">
        <v>9079079</v>
      </c>
      <c r="BZ108" s="1622">
        <f t="shared" si="76"/>
        <v>9079.0789999999997</v>
      </c>
      <c r="CC108" s="1622" t="s">
        <v>602</v>
      </c>
      <c r="CD108" s="1622">
        <v>70334883</v>
      </c>
      <c r="CE108" s="1622">
        <v>31514701</v>
      </c>
      <c r="CF108" s="1622">
        <v>70334875</v>
      </c>
      <c r="CG108" s="1622">
        <v>8</v>
      </c>
      <c r="CH108" s="1622">
        <f t="shared" si="77"/>
        <v>70334.883000000002</v>
      </c>
      <c r="CI108" s="1622">
        <f t="shared" si="78"/>
        <v>31514.701000000001</v>
      </c>
      <c r="CJ108" s="1622">
        <f t="shared" si="79"/>
        <v>70334.875</v>
      </c>
      <c r="CK108" s="1622">
        <f t="shared" si="80"/>
        <v>8.0000000000000002E-3</v>
      </c>
      <c r="CN108" s="1624" t="s">
        <v>532</v>
      </c>
      <c r="CO108" s="1622">
        <v>11350124</v>
      </c>
      <c r="CP108" s="1622">
        <f t="shared" si="81"/>
        <v>11350.124</v>
      </c>
      <c r="CS108" s="1625" t="s">
        <v>994</v>
      </c>
      <c r="CT108" s="891">
        <v>0</v>
      </c>
      <c r="CU108" s="891">
        <v>0</v>
      </c>
      <c r="CV108" s="891">
        <v>0</v>
      </c>
      <c r="CW108" s="891">
        <v>0</v>
      </c>
      <c r="CX108" s="1622">
        <f t="shared" si="82"/>
        <v>0</v>
      </c>
      <c r="CY108" s="1622">
        <f t="shared" si="83"/>
        <v>0</v>
      </c>
      <c r="CZ108" s="1622">
        <f t="shared" si="84"/>
        <v>0</v>
      </c>
      <c r="DA108" s="1622">
        <f t="shared" si="85"/>
        <v>0</v>
      </c>
      <c r="DJ108" s="1624" t="s">
        <v>994</v>
      </c>
      <c r="DK108" s="1622">
        <v>0</v>
      </c>
      <c r="DL108" s="1622">
        <v>0</v>
      </c>
      <c r="DM108" s="1622">
        <v>0</v>
      </c>
      <c r="DN108" s="1622">
        <v>0</v>
      </c>
      <c r="DO108" s="1622">
        <f t="shared" si="87"/>
        <v>0</v>
      </c>
      <c r="DP108" s="1622">
        <f t="shared" si="88"/>
        <v>0</v>
      </c>
      <c r="DQ108" s="1622">
        <f t="shared" si="89"/>
        <v>0</v>
      </c>
      <c r="DR108" s="1622">
        <f t="shared" si="90"/>
        <v>0</v>
      </c>
      <c r="DV108" s="780" t="s">
        <v>409</v>
      </c>
      <c r="DW108" s="779">
        <v>0</v>
      </c>
      <c r="DX108" s="1626">
        <f t="shared" si="91"/>
        <v>0</v>
      </c>
      <c r="EA108" s="780" t="s">
        <v>994</v>
      </c>
      <c r="EB108" s="779">
        <v>0</v>
      </c>
      <c r="EC108" s="779">
        <v>0</v>
      </c>
      <c r="ED108" s="779">
        <v>0</v>
      </c>
      <c r="EE108" s="779">
        <v>0</v>
      </c>
      <c r="EF108" s="166">
        <f t="shared" si="92"/>
        <v>0</v>
      </c>
      <c r="EG108" s="166">
        <f t="shared" si="93"/>
        <v>0</v>
      </c>
      <c r="EH108" s="166">
        <f t="shared" si="94"/>
        <v>0</v>
      </c>
      <c r="EI108" s="166">
        <f t="shared" si="95"/>
        <v>0</v>
      </c>
    </row>
    <row r="109" spans="1:139" ht="15" customHeight="1" x14ac:dyDescent="0.3">
      <c r="A109" s="1625" t="s">
        <v>404</v>
      </c>
      <c r="B109" s="891">
        <v>656797568</v>
      </c>
      <c r="C109" s="891">
        <v>570266000</v>
      </c>
      <c r="D109" s="891">
        <v>86531568</v>
      </c>
      <c r="E109" s="891">
        <v>56732254</v>
      </c>
      <c r="F109" s="891">
        <f t="shared" si="52"/>
        <v>656797.56799999997</v>
      </c>
      <c r="G109" s="891">
        <f t="shared" si="53"/>
        <v>570266</v>
      </c>
      <c r="H109" s="891">
        <f t="shared" si="54"/>
        <v>86531.567999999999</v>
      </c>
      <c r="I109" s="891">
        <f t="shared" si="55"/>
        <v>56732.254000000001</v>
      </c>
      <c r="Q109" s="1625" t="s">
        <v>404</v>
      </c>
      <c r="R109" s="891">
        <v>605197568</v>
      </c>
      <c r="S109" s="891">
        <v>518666000</v>
      </c>
      <c r="T109" s="891">
        <v>86531568</v>
      </c>
      <c r="U109" s="891">
        <v>75328657</v>
      </c>
      <c r="V109" s="1622">
        <f t="shared" si="57"/>
        <v>605197.56799999997</v>
      </c>
      <c r="W109" s="1622">
        <f t="shared" si="58"/>
        <v>518666</v>
      </c>
      <c r="X109" s="1622">
        <f t="shared" si="59"/>
        <v>86531.567999999999</v>
      </c>
      <c r="Y109" s="1622">
        <f t="shared" si="60"/>
        <v>75328.657000000007</v>
      </c>
      <c r="AB109" s="1625" t="s">
        <v>410</v>
      </c>
      <c r="AC109" s="891">
        <v>205978</v>
      </c>
      <c r="AD109" s="1622">
        <f t="shared" si="61"/>
        <v>205.97800000000001</v>
      </c>
      <c r="AG109" s="1625" t="s">
        <v>403</v>
      </c>
      <c r="AH109" s="891">
        <v>642645496</v>
      </c>
      <c r="AI109" s="891">
        <v>188863984</v>
      </c>
      <c r="AJ109" s="891">
        <v>524560131</v>
      </c>
      <c r="AK109" s="891">
        <v>118085365</v>
      </c>
      <c r="AL109" s="1622">
        <f t="shared" si="62"/>
        <v>642645.49600000004</v>
      </c>
      <c r="AM109" s="1622">
        <f t="shared" si="63"/>
        <v>188863.984</v>
      </c>
      <c r="AN109" s="1622">
        <f t="shared" si="64"/>
        <v>524560.13100000005</v>
      </c>
      <c r="AO109" s="1622">
        <f t="shared" si="65"/>
        <v>118085.36500000001</v>
      </c>
      <c r="AR109" s="1625" t="s">
        <v>532</v>
      </c>
      <c r="AS109" s="1622">
        <v>1775469</v>
      </c>
      <c r="AT109" s="1622">
        <f t="shared" si="66"/>
        <v>1775.4690000000001</v>
      </c>
      <c r="AW109" s="1625" t="s">
        <v>402</v>
      </c>
      <c r="AX109" s="891">
        <v>143519382</v>
      </c>
      <c r="AY109" s="891">
        <v>16276420</v>
      </c>
      <c r="AZ109" s="891">
        <v>15502920</v>
      </c>
      <c r="BA109" s="891">
        <v>127242962</v>
      </c>
      <c r="BB109" s="1622">
        <f t="shared" si="67"/>
        <v>143519.38200000001</v>
      </c>
      <c r="BC109" s="1622">
        <f t="shared" si="68"/>
        <v>16276.42</v>
      </c>
      <c r="BD109" s="1622">
        <f t="shared" si="69"/>
        <v>15502.92</v>
      </c>
      <c r="BE109" s="1622">
        <f t="shared" si="70"/>
        <v>127242.962</v>
      </c>
      <c r="BM109" s="1625" t="s">
        <v>402</v>
      </c>
      <c r="BN109" s="1627">
        <v>144704367</v>
      </c>
      <c r="BO109" s="1627">
        <v>16546669</v>
      </c>
      <c r="BP109" s="1627">
        <v>31202567</v>
      </c>
      <c r="BQ109" s="1627">
        <v>113501800</v>
      </c>
      <c r="BR109" s="1622">
        <f t="shared" si="72"/>
        <v>144704.367</v>
      </c>
      <c r="BS109" s="1622">
        <f t="shared" si="73"/>
        <v>16546.669000000002</v>
      </c>
      <c r="BT109" s="1622">
        <f t="shared" si="74"/>
        <v>31202.566999999999</v>
      </c>
      <c r="BU109" s="1622">
        <f t="shared" si="75"/>
        <v>113501.8</v>
      </c>
      <c r="BX109" s="1624" t="s">
        <v>638</v>
      </c>
      <c r="BY109" s="1622">
        <v>29181009</v>
      </c>
      <c r="BZ109" s="1622">
        <f t="shared" si="76"/>
        <v>29181.008999999998</v>
      </c>
      <c r="CC109" s="1622" t="s">
        <v>603</v>
      </c>
      <c r="CD109" s="1622">
        <v>4263734</v>
      </c>
      <c r="CE109" s="1622">
        <v>2371274</v>
      </c>
      <c r="CF109" s="1622">
        <v>2503154</v>
      </c>
      <c r="CG109" s="1622">
        <v>1760580</v>
      </c>
      <c r="CH109" s="1622">
        <f t="shared" si="77"/>
        <v>4263.7340000000004</v>
      </c>
      <c r="CI109" s="1622">
        <f t="shared" si="78"/>
        <v>2371.2739999999999</v>
      </c>
      <c r="CJ109" s="1622">
        <f t="shared" si="79"/>
        <v>2503.154</v>
      </c>
      <c r="CK109" s="1622">
        <f t="shared" si="80"/>
        <v>1760.58</v>
      </c>
      <c r="CN109" s="1624" t="s">
        <v>638</v>
      </c>
      <c r="CO109" s="1622">
        <v>78596793</v>
      </c>
      <c r="CP109" s="1622">
        <f t="shared" si="81"/>
        <v>78596.793000000005</v>
      </c>
      <c r="CS109" s="1625" t="s">
        <v>601</v>
      </c>
      <c r="CT109" s="891">
        <v>166458593</v>
      </c>
      <c r="CU109" s="891">
        <v>94098601</v>
      </c>
      <c r="CV109" s="891">
        <v>122450951</v>
      </c>
      <c r="CW109" s="891">
        <v>44007642</v>
      </c>
      <c r="CX109" s="1622">
        <f t="shared" si="82"/>
        <v>166458.59299999999</v>
      </c>
      <c r="CY109" s="1622">
        <f t="shared" si="83"/>
        <v>94098.600999999995</v>
      </c>
      <c r="CZ109" s="1622">
        <f t="shared" si="84"/>
        <v>122450.951</v>
      </c>
      <c r="DA109" s="1622">
        <f t="shared" si="85"/>
        <v>44007.642</v>
      </c>
      <c r="DJ109" s="1624" t="s">
        <v>601</v>
      </c>
      <c r="DK109" s="1622">
        <v>167333765</v>
      </c>
      <c r="DL109" s="1622">
        <v>134700217</v>
      </c>
      <c r="DM109" s="1622">
        <v>32633548</v>
      </c>
      <c r="DN109" s="1622">
        <v>105607602</v>
      </c>
      <c r="DO109" s="1622">
        <f t="shared" si="87"/>
        <v>167333.76500000001</v>
      </c>
      <c r="DP109" s="1622">
        <f t="shared" si="88"/>
        <v>134700.217</v>
      </c>
      <c r="DQ109" s="1622">
        <f t="shared" si="89"/>
        <v>32633.547999999999</v>
      </c>
      <c r="DR109" s="1622">
        <f t="shared" si="90"/>
        <v>105607.602</v>
      </c>
      <c r="DV109" s="780" t="s">
        <v>608</v>
      </c>
      <c r="DW109" s="779">
        <v>721458</v>
      </c>
      <c r="DX109" s="1626">
        <f t="shared" si="91"/>
        <v>721.45799999999997</v>
      </c>
      <c r="EA109" s="780" t="s">
        <v>601</v>
      </c>
      <c r="EB109" s="779">
        <v>165641416</v>
      </c>
      <c r="EC109" s="779">
        <v>111301999</v>
      </c>
      <c r="ED109" s="779">
        <v>138363213</v>
      </c>
      <c r="EE109" s="779">
        <v>27278203</v>
      </c>
      <c r="EF109" s="166">
        <f t="shared" si="92"/>
        <v>165641.416</v>
      </c>
      <c r="EG109" s="166">
        <f t="shared" si="93"/>
        <v>111301.999</v>
      </c>
      <c r="EH109" s="166">
        <f t="shared" si="94"/>
        <v>138363.21299999999</v>
      </c>
      <c r="EI109" s="166">
        <f t="shared" si="95"/>
        <v>27278.203000000001</v>
      </c>
    </row>
    <row r="110" spans="1:139" ht="15" customHeight="1" x14ac:dyDescent="0.3">
      <c r="A110" s="1625" t="s">
        <v>604</v>
      </c>
      <c r="B110" s="891">
        <v>37080000</v>
      </c>
      <c r="C110" s="891">
        <v>29880000</v>
      </c>
      <c r="D110" s="891">
        <v>7200000</v>
      </c>
      <c r="E110" s="891">
        <v>1830399</v>
      </c>
      <c r="F110" s="891">
        <f t="shared" si="52"/>
        <v>37080</v>
      </c>
      <c r="G110" s="891">
        <f t="shared" si="53"/>
        <v>29880</v>
      </c>
      <c r="H110" s="891">
        <f t="shared" si="54"/>
        <v>7200</v>
      </c>
      <c r="I110" s="891">
        <f t="shared" si="55"/>
        <v>1830.3989999999999</v>
      </c>
      <c r="Q110" s="1625" t="s">
        <v>604</v>
      </c>
      <c r="R110" s="891">
        <v>37080000</v>
      </c>
      <c r="S110" s="891">
        <v>29880000</v>
      </c>
      <c r="T110" s="891">
        <v>7200000</v>
      </c>
      <c r="U110" s="891">
        <v>3555909</v>
      </c>
      <c r="V110" s="1622">
        <f t="shared" si="57"/>
        <v>37080</v>
      </c>
      <c r="W110" s="1622">
        <f t="shared" si="58"/>
        <v>29880</v>
      </c>
      <c r="X110" s="1622">
        <f t="shared" si="59"/>
        <v>7200</v>
      </c>
      <c r="Y110" s="1622">
        <f t="shared" si="60"/>
        <v>3555.9090000000001</v>
      </c>
      <c r="AB110" s="1625" t="s">
        <v>609</v>
      </c>
      <c r="AC110" s="891">
        <v>0</v>
      </c>
      <c r="AD110" s="1622">
        <f t="shared" si="61"/>
        <v>0</v>
      </c>
      <c r="AG110" s="1625" t="s">
        <v>404</v>
      </c>
      <c r="AH110" s="891">
        <v>526215496</v>
      </c>
      <c r="AI110" s="891">
        <v>166442771</v>
      </c>
      <c r="AJ110" s="891">
        <v>442473881</v>
      </c>
      <c r="AK110" s="891">
        <v>83741615</v>
      </c>
      <c r="AL110" s="1622">
        <f t="shared" si="62"/>
        <v>526215.49600000004</v>
      </c>
      <c r="AM110" s="1622">
        <f t="shared" si="63"/>
        <v>166442.77100000001</v>
      </c>
      <c r="AN110" s="1622">
        <f t="shared" si="64"/>
        <v>442473.88099999999</v>
      </c>
      <c r="AO110" s="1622">
        <f t="shared" si="65"/>
        <v>83741.615000000005</v>
      </c>
      <c r="AR110" s="1625" t="s">
        <v>638</v>
      </c>
      <c r="AS110" s="1622">
        <v>30377952</v>
      </c>
      <c r="AT110" s="1622">
        <f t="shared" si="66"/>
        <v>30377.952000000001</v>
      </c>
      <c r="AW110" s="1625" t="s">
        <v>403</v>
      </c>
      <c r="AX110" s="891">
        <v>685416507</v>
      </c>
      <c r="AY110" s="891">
        <v>579489607</v>
      </c>
      <c r="AZ110" s="891">
        <v>259573291</v>
      </c>
      <c r="BA110" s="891">
        <v>105926900</v>
      </c>
      <c r="BB110" s="1622">
        <f t="shared" si="67"/>
        <v>685416.50699999998</v>
      </c>
      <c r="BC110" s="1622">
        <f t="shared" si="68"/>
        <v>579489.60699999996</v>
      </c>
      <c r="BD110" s="1622">
        <f t="shared" si="69"/>
        <v>259573.291</v>
      </c>
      <c r="BE110" s="1622">
        <f t="shared" si="70"/>
        <v>105926.9</v>
      </c>
      <c r="BM110" s="1625" t="s">
        <v>403</v>
      </c>
      <c r="BN110" s="1627">
        <v>808359446</v>
      </c>
      <c r="BO110" s="1627">
        <v>329250774</v>
      </c>
      <c r="BP110" s="1627">
        <v>736250828</v>
      </c>
      <c r="BQ110" s="1627">
        <v>72108618</v>
      </c>
      <c r="BR110" s="1622">
        <f t="shared" si="72"/>
        <v>808359.446</v>
      </c>
      <c r="BS110" s="1622">
        <f t="shared" si="73"/>
        <v>329250.77399999998</v>
      </c>
      <c r="BT110" s="1622">
        <f t="shared" si="74"/>
        <v>736250.82799999998</v>
      </c>
      <c r="BU110" s="1622">
        <f t="shared" si="75"/>
        <v>72108.618000000002</v>
      </c>
      <c r="BX110" s="1624" t="s">
        <v>639</v>
      </c>
      <c r="BY110" s="1622">
        <v>29181009</v>
      </c>
      <c r="BZ110" s="1622">
        <f t="shared" si="76"/>
        <v>29181.008999999998</v>
      </c>
      <c r="CC110" s="1622" t="s">
        <v>402</v>
      </c>
      <c r="CD110" s="1622">
        <v>163486911</v>
      </c>
      <c r="CE110" s="1622">
        <v>23348566</v>
      </c>
      <c r="CF110" s="1622">
        <v>31985111</v>
      </c>
      <c r="CG110" s="1622">
        <v>131501800</v>
      </c>
      <c r="CH110" s="1622">
        <f t="shared" si="77"/>
        <v>163486.91099999999</v>
      </c>
      <c r="CI110" s="1622">
        <f t="shared" si="78"/>
        <v>23348.565999999999</v>
      </c>
      <c r="CJ110" s="1622">
        <f t="shared" si="79"/>
        <v>31985.111000000001</v>
      </c>
      <c r="CK110" s="1622">
        <f t="shared" si="80"/>
        <v>131501.79999999999</v>
      </c>
      <c r="CN110" s="1624" t="s">
        <v>639</v>
      </c>
      <c r="CO110" s="1622">
        <v>78596793</v>
      </c>
      <c r="CP110" s="1622">
        <f t="shared" si="81"/>
        <v>78596.793000000005</v>
      </c>
      <c r="CS110" s="1625" t="s">
        <v>602</v>
      </c>
      <c r="CT110" s="891">
        <v>70334875</v>
      </c>
      <c r="CU110" s="891">
        <v>35941701</v>
      </c>
      <c r="CV110" s="891">
        <v>70334875</v>
      </c>
      <c r="CW110" s="891">
        <v>0</v>
      </c>
      <c r="CX110" s="1622">
        <f t="shared" si="82"/>
        <v>70334.875</v>
      </c>
      <c r="CY110" s="1622">
        <f t="shared" si="83"/>
        <v>35941.701000000001</v>
      </c>
      <c r="CZ110" s="1622">
        <f t="shared" si="84"/>
        <v>70334.875</v>
      </c>
      <c r="DA110" s="1622">
        <f t="shared" si="85"/>
        <v>0</v>
      </c>
      <c r="DJ110" s="1624" t="s">
        <v>602</v>
      </c>
      <c r="DK110" s="1622">
        <v>72124875</v>
      </c>
      <c r="DL110" s="1622">
        <v>70334875</v>
      </c>
      <c r="DM110" s="1622">
        <v>1790000</v>
      </c>
      <c r="DN110" s="1622">
        <v>41851701</v>
      </c>
      <c r="DO110" s="1622">
        <f t="shared" si="87"/>
        <v>72124.875</v>
      </c>
      <c r="DP110" s="1622">
        <f t="shared" si="88"/>
        <v>70334.875</v>
      </c>
      <c r="DQ110" s="1622">
        <f t="shared" si="89"/>
        <v>1790</v>
      </c>
      <c r="DR110" s="1622">
        <f t="shared" si="90"/>
        <v>41851.701000000001</v>
      </c>
      <c r="DV110" s="780" t="s">
        <v>410</v>
      </c>
      <c r="DW110" s="779">
        <v>721458</v>
      </c>
      <c r="DX110" s="1626">
        <f t="shared" si="91"/>
        <v>721.45799999999997</v>
      </c>
      <c r="EA110" s="780" t="s">
        <v>602</v>
      </c>
      <c r="EB110" s="779">
        <v>74324875</v>
      </c>
      <c r="EC110" s="779">
        <v>48053701</v>
      </c>
      <c r="ED110" s="779">
        <v>72534875</v>
      </c>
      <c r="EE110" s="779">
        <v>1790000</v>
      </c>
      <c r="EF110" s="166">
        <f t="shared" si="92"/>
        <v>74324.875</v>
      </c>
      <c r="EG110" s="166">
        <f t="shared" si="93"/>
        <v>48053.701000000001</v>
      </c>
      <c r="EH110" s="166">
        <f t="shared" si="94"/>
        <v>72534.875</v>
      </c>
      <c r="EI110" s="166">
        <f t="shared" si="95"/>
        <v>1790</v>
      </c>
    </row>
    <row r="111" spans="1:139" ht="15" customHeight="1" x14ac:dyDescent="0.3">
      <c r="A111" s="1625" t="s">
        <v>605</v>
      </c>
      <c r="B111" s="891">
        <v>85600000</v>
      </c>
      <c r="C111" s="891">
        <v>47000000</v>
      </c>
      <c r="D111" s="891">
        <v>38600000</v>
      </c>
      <c r="E111" s="891">
        <v>5084978</v>
      </c>
      <c r="F111" s="891">
        <f t="shared" si="52"/>
        <v>85600</v>
      </c>
      <c r="G111" s="891">
        <f t="shared" si="53"/>
        <v>47000</v>
      </c>
      <c r="H111" s="891">
        <f t="shared" si="54"/>
        <v>38600</v>
      </c>
      <c r="I111" s="891">
        <f t="shared" si="55"/>
        <v>5084.9780000000001</v>
      </c>
      <c r="Q111" s="1625" t="s">
        <v>605</v>
      </c>
      <c r="R111" s="891">
        <v>85600000</v>
      </c>
      <c r="S111" s="891">
        <v>47000000</v>
      </c>
      <c r="T111" s="891">
        <v>38600000</v>
      </c>
      <c r="U111" s="891">
        <v>5084978</v>
      </c>
      <c r="V111" s="1622">
        <f t="shared" si="57"/>
        <v>85600</v>
      </c>
      <c r="W111" s="1622">
        <f t="shared" si="58"/>
        <v>47000</v>
      </c>
      <c r="X111" s="1622">
        <f t="shared" si="59"/>
        <v>38600</v>
      </c>
      <c r="Y111" s="1622">
        <f t="shared" si="60"/>
        <v>5084.9780000000001</v>
      </c>
      <c r="AB111" s="1625" t="s">
        <v>411</v>
      </c>
      <c r="AC111" s="891">
        <v>0</v>
      </c>
      <c r="AD111" s="1622">
        <f t="shared" si="61"/>
        <v>0</v>
      </c>
      <c r="AG111" s="1625" t="s">
        <v>604</v>
      </c>
      <c r="AH111" s="891">
        <v>37080000</v>
      </c>
      <c r="AI111" s="891">
        <v>5355163</v>
      </c>
      <c r="AJ111" s="891">
        <v>29880000</v>
      </c>
      <c r="AK111" s="891">
        <v>7200000</v>
      </c>
      <c r="AL111" s="1622">
        <f t="shared" si="62"/>
        <v>37080</v>
      </c>
      <c r="AM111" s="1622">
        <f t="shared" si="63"/>
        <v>5355.1629999999996</v>
      </c>
      <c r="AN111" s="1622">
        <f t="shared" si="64"/>
        <v>29880</v>
      </c>
      <c r="AO111" s="1622">
        <f t="shared" si="65"/>
        <v>7200</v>
      </c>
      <c r="AR111" s="1625" t="s">
        <v>639</v>
      </c>
      <c r="AS111" s="1622">
        <v>30377952</v>
      </c>
      <c r="AT111" s="1622">
        <f t="shared" si="66"/>
        <v>30377.952000000001</v>
      </c>
      <c r="AW111" s="1625" t="s">
        <v>404</v>
      </c>
      <c r="AX111" s="891">
        <v>563390773</v>
      </c>
      <c r="AY111" s="891">
        <v>497403357</v>
      </c>
      <c r="AZ111" s="891">
        <v>231184460</v>
      </c>
      <c r="BA111" s="891">
        <v>65987416</v>
      </c>
      <c r="BB111" s="1622">
        <f t="shared" si="67"/>
        <v>563390.77300000004</v>
      </c>
      <c r="BC111" s="1622">
        <f t="shared" si="68"/>
        <v>497403.35700000002</v>
      </c>
      <c r="BD111" s="1622">
        <f t="shared" si="69"/>
        <v>231184.46</v>
      </c>
      <c r="BE111" s="1622">
        <f t="shared" si="70"/>
        <v>65987.415999999997</v>
      </c>
      <c r="BM111" s="1625" t="s">
        <v>404</v>
      </c>
      <c r="BN111" s="1627">
        <v>599579022</v>
      </c>
      <c r="BO111" s="1627">
        <v>294910585</v>
      </c>
      <c r="BP111" s="1627">
        <v>534670403</v>
      </c>
      <c r="BQ111" s="1627">
        <v>64908619</v>
      </c>
      <c r="BR111" s="1622">
        <f t="shared" si="72"/>
        <v>599579.022</v>
      </c>
      <c r="BS111" s="1622">
        <f t="shared" si="73"/>
        <v>294910.58500000002</v>
      </c>
      <c r="BT111" s="1622">
        <f t="shared" si="74"/>
        <v>534670.40300000005</v>
      </c>
      <c r="BU111" s="1622">
        <f t="shared" si="75"/>
        <v>64908.618999999999</v>
      </c>
      <c r="BX111" s="1624" t="s">
        <v>1040</v>
      </c>
      <c r="BY111" s="1622">
        <v>28927981</v>
      </c>
      <c r="BZ111" s="1622">
        <f t="shared" si="76"/>
        <v>28927.981</v>
      </c>
      <c r="CC111" s="1622" t="s">
        <v>403</v>
      </c>
      <c r="CD111" s="1622">
        <v>741660526</v>
      </c>
      <c r="CE111" s="1622">
        <v>356635110</v>
      </c>
      <c r="CF111" s="1622">
        <v>669551908</v>
      </c>
      <c r="CG111" s="1622">
        <v>72108618</v>
      </c>
      <c r="CH111" s="1622">
        <f t="shared" si="77"/>
        <v>741660.52599999995</v>
      </c>
      <c r="CI111" s="1622">
        <f t="shared" si="78"/>
        <v>356635.11</v>
      </c>
      <c r="CJ111" s="1622">
        <f t="shared" si="79"/>
        <v>669551.90800000005</v>
      </c>
      <c r="CK111" s="1622">
        <f t="shared" si="80"/>
        <v>72108.618000000002</v>
      </c>
      <c r="CN111" s="1624" t="s">
        <v>1040</v>
      </c>
      <c r="CO111" s="1622">
        <v>78596793</v>
      </c>
      <c r="CP111" s="1622">
        <f t="shared" si="81"/>
        <v>78596.793000000005</v>
      </c>
      <c r="CS111" s="1625" t="s">
        <v>603</v>
      </c>
      <c r="CT111" s="891">
        <v>4263734</v>
      </c>
      <c r="CU111" s="891">
        <v>2371274</v>
      </c>
      <c r="CV111" s="891">
        <v>2503154</v>
      </c>
      <c r="CW111" s="891">
        <v>1760580</v>
      </c>
      <c r="CX111" s="1622">
        <f t="shared" si="82"/>
        <v>4263.7340000000004</v>
      </c>
      <c r="CY111" s="1622">
        <f t="shared" si="83"/>
        <v>2371.2739999999999</v>
      </c>
      <c r="CZ111" s="1622">
        <f t="shared" si="84"/>
        <v>2503.154</v>
      </c>
      <c r="DA111" s="1622">
        <f t="shared" si="85"/>
        <v>1760.58</v>
      </c>
      <c r="DJ111" s="1624" t="s">
        <v>603</v>
      </c>
      <c r="DK111" s="1622">
        <v>4263734</v>
      </c>
      <c r="DL111" s="1622">
        <v>2503154</v>
      </c>
      <c r="DM111" s="1622">
        <v>1760580</v>
      </c>
      <c r="DN111" s="1622">
        <v>2371274</v>
      </c>
      <c r="DO111" s="1622">
        <f t="shared" si="87"/>
        <v>4263.7340000000004</v>
      </c>
      <c r="DP111" s="1622">
        <f t="shared" si="88"/>
        <v>2503.154</v>
      </c>
      <c r="DQ111" s="1622">
        <f t="shared" si="89"/>
        <v>1760.58</v>
      </c>
      <c r="DR111" s="1622">
        <f t="shared" si="90"/>
        <v>2371.2739999999999</v>
      </c>
      <c r="DV111" s="780" t="s">
        <v>411</v>
      </c>
      <c r="DW111" s="779">
        <v>0</v>
      </c>
      <c r="DX111" s="1626">
        <f t="shared" si="91"/>
        <v>0</v>
      </c>
      <c r="EA111" s="780" t="s">
        <v>603</v>
      </c>
      <c r="EB111" s="779">
        <v>2580359</v>
      </c>
      <c r="EC111" s="779">
        <v>2580359</v>
      </c>
      <c r="ED111" s="779">
        <v>2580359</v>
      </c>
      <c r="EE111" s="779">
        <v>0</v>
      </c>
      <c r="EF111" s="166">
        <f t="shared" si="92"/>
        <v>2580.3589999999999</v>
      </c>
      <c r="EG111" s="166">
        <f t="shared" si="93"/>
        <v>2580.3589999999999</v>
      </c>
      <c r="EH111" s="166">
        <f t="shared" si="94"/>
        <v>2580.3589999999999</v>
      </c>
      <c r="EI111" s="166">
        <f t="shared" si="95"/>
        <v>0</v>
      </c>
    </row>
    <row r="112" spans="1:139" ht="15" customHeight="1" x14ac:dyDescent="0.3">
      <c r="A112" s="1625" t="s">
        <v>494</v>
      </c>
      <c r="B112" s="891">
        <v>12500000</v>
      </c>
      <c r="C112" s="891">
        <v>0</v>
      </c>
      <c r="D112" s="891">
        <v>12500000</v>
      </c>
      <c r="E112" s="891">
        <v>0</v>
      </c>
      <c r="F112" s="891">
        <f t="shared" si="52"/>
        <v>12500</v>
      </c>
      <c r="G112" s="891">
        <f t="shared" si="53"/>
        <v>0</v>
      </c>
      <c r="H112" s="891">
        <f t="shared" si="54"/>
        <v>12500</v>
      </c>
      <c r="I112" s="891">
        <f t="shared" si="55"/>
        <v>0</v>
      </c>
      <c r="Q112" s="1625" t="s">
        <v>494</v>
      </c>
      <c r="R112" s="891">
        <v>12500000</v>
      </c>
      <c r="S112" s="891">
        <v>5206250</v>
      </c>
      <c r="T112" s="891">
        <v>7293750</v>
      </c>
      <c r="U112" s="891">
        <v>1041250</v>
      </c>
      <c r="V112" s="1622">
        <f t="shared" si="57"/>
        <v>12500</v>
      </c>
      <c r="W112" s="1622">
        <f t="shared" si="58"/>
        <v>5206.25</v>
      </c>
      <c r="X112" s="1622">
        <f t="shared" si="59"/>
        <v>7293.75</v>
      </c>
      <c r="Y112" s="1622">
        <f t="shared" si="60"/>
        <v>1041.25</v>
      </c>
      <c r="AB112" s="1625" t="s">
        <v>412</v>
      </c>
      <c r="AC112" s="891">
        <v>9175469</v>
      </c>
      <c r="AD112" s="1622">
        <f t="shared" si="61"/>
        <v>9175.4689999999991</v>
      </c>
      <c r="AG112" s="1625" t="s">
        <v>605</v>
      </c>
      <c r="AH112" s="891">
        <v>66850000</v>
      </c>
      <c r="AI112" s="891">
        <v>14983550</v>
      </c>
      <c r="AJ112" s="891">
        <v>47000000</v>
      </c>
      <c r="AK112" s="891">
        <v>19850000</v>
      </c>
      <c r="AL112" s="1622">
        <f t="shared" si="62"/>
        <v>66850</v>
      </c>
      <c r="AM112" s="1622">
        <f t="shared" si="63"/>
        <v>14983.55</v>
      </c>
      <c r="AN112" s="1622">
        <f t="shared" si="64"/>
        <v>47000</v>
      </c>
      <c r="AO112" s="1622">
        <f t="shared" si="65"/>
        <v>19850</v>
      </c>
      <c r="AR112" s="1625" t="s">
        <v>618</v>
      </c>
      <c r="AS112" s="1622">
        <v>4140000</v>
      </c>
      <c r="AT112" s="1622">
        <f t="shared" si="66"/>
        <v>4140</v>
      </c>
      <c r="AW112" s="1625" t="s">
        <v>604</v>
      </c>
      <c r="AX112" s="891">
        <v>37080000</v>
      </c>
      <c r="AY112" s="891">
        <v>29880000</v>
      </c>
      <c r="AZ112" s="891">
        <v>5355163</v>
      </c>
      <c r="BA112" s="891">
        <v>7200000</v>
      </c>
      <c r="BB112" s="1622">
        <f t="shared" si="67"/>
        <v>37080</v>
      </c>
      <c r="BC112" s="1622">
        <f t="shared" si="68"/>
        <v>29880</v>
      </c>
      <c r="BD112" s="1622">
        <f t="shared" si="69"/>
        <v>5355.1629999999996</v>
      </c>
      <c r="BE112" s="1622">
        <f t="shared" si="70"/>
        <v>7200</v>
      </c>
      <c r="BM112" s="1625" t="s">
        <v>604</v>
      </c>
      <c r="BN112" s="1627">
        <v>37079999</v>
      </c>
      <c r="BO112" s="1627">
        <v>5355163</v>
      </c>
      <c r="BP112" s="1627">
        <v>29880000</v>
      </c>
      <c r="BQ112" s="1627">
        <v>7199999</v>
      </c>
      <c r="BR112" s="1622">
        <f t="shared" si="72"/>
        <v>37079.999000000003</v>
      </c>
      <c r="BS112" s="1622">
        <f t="shared" si="73"/>
        <v>5355.1629999999996</v>
      </c>
      <c r="BT112" s="1622">
        <f t="shared" si="74"/>
        <v>29880</v>
      </c>
      <c r="BU112" s="1622">
        <f t="shared" si="75"/>
        <v>7199.9989999999998</v>
      </c>
      <c r="BX112" s="1624" t="s">
        <v>618</v>
      </c>
      <c r="BY112" s="1622">
        <v>51286201</v>
      </c>
      <c r="BZ112" s="1622">
        <f t="shared" si="76"/>
        <v>51286.201000000001</v>
      </c>
      <c r="CC112" s="1622" t="s">
        <v>404</v>
      </c>
      <c r="CD112" s="1622">
        <v>599579022</v>
      </c>
      <c r="CE112" s="1622">
        <v>316314233</v>
      </c>
      <c r="CF112" s="1622">
        <v>534670403</v>
      </c>
      <c r="CG112" s="1622">
        <v>64908619</v>
      </c>
      <c r="CH112" s="1622">
        <f t="shared" si="77"/>
        <v>599579.022</v>
      </c>
      <c r="CI112" s="1622">
        <f t="shared" si="78"/>
        <v>316314.23300000001</v>
      </c>
      <c r="CJ112" s="1622">
        <f t="shared" si="79"/>
        <v>534670.40300000005</v>
      </c>
      <c r="CK112" s="1622">
        <f t="shared" si="80"/>
        <v>64908.618999999999</v>
      </c>
      <c r="CN112" s="1624" t="s">
        <v>1047</v>
      </c>
      <c r="CO112" s="1622">
        <v>0</v>
      </c>
      <c r="CP112" s="1622">
        <f t="shared" si="81"/>
        <v>0</v>
      </c>
      <c r="CS112" s="1625" t="s">
        <v>402</v>
      </c>
      <c r="CT112" s="891">
        <v>245891465</v>
      </c>
      <c r="CU112" s="891">
        <v>25410598</v>
      </c>
      <c r="CV112" s="891">
        <v>73975247</v>
      </c>
      <c r="CW112" s="891">
        <v>171916218</v>
      </c>
      <c r="CX112" s="1622">
        <f t="shared" si="82"/>
        <v>245891.465</v>
      </c>
      <c r="CY112" s="1622">
        <f t="shared" si="83"/>
        <v>25410.598000000002</v>
      </c>
      <c r="CZ112" s="1622">
        <f t="shared" si="84"/>
        <v>73975.247000000003</v>
      </c>
      <c r="DA112" s="1622">
        <f t="shared" si="85"/>
        <v>171916.21799999999</v>
      </c>
      <c r="DJ112" s="1624" t="s">
        <v>402</v>
      </c>
      <c r="DK112" s="1622">
        <v>257261773</v>
      </c>
      <c r="DL112" s="1622">
        <v>95213254</v>
      </c>
      <c r="DM112" s="1622">
        <v>162048519</v>
      </c>
      <c r="DN112" s="1622">
        <v>66835245</v>
      </c>
      <c r="DO112" s="1622">
        <f t="shared" si="87"/>
        <v>257261.77299999999</v>
      </c>
      <c r="DP112" s="1622">
        <f t="shared" si="88"/>
        <v>95213.254000000001</v>
      </c>
      <c r="DQ112" s="1622">
        <f t="shared" si="89"/>
        <v>162048.519</v>
      </c>
      <c r="DR112" s="1622">
        <f t="shared" si="90"/>
        <v>66835.244999999995</v>
      </c>
      <c r="DV112" s="780" t="s">
        <v>412</v>
      </c>
      <c r="DW112" s="779">
        <v>6441593</v>
      </c>
      <c r="DX112" s="1626">
        <f t="shared" si="91"/>
        <v>6441.5929999999998</v>
      </c>
      <c r="EA112" s="780" t="s">
        <v>402</v>
      </c>
      <c r="EB112" s="779">
        <v>267481042</v>
      </c>
      <c r="EC112" s="779">
        <v>100581747</v>
      </c>
      <c r="ED112" s="779">
        <v>188348742</v>
      </c>
      <c r="EE112" s="779">
        <v>79132300</v>
      </c>
      <c r="EF112" s="166">
        <f t="shared" si="92"/>
        <v>267481.04200000002</v>
      </c>
      <c r="EG112" s="166">
        <f t="shared" si="93"/>
        <v>100581.747</v>
      </c>
      <c r="EH112" s="166">
        <f t="shared" si="94"/>
        <v>188348.742</v>
      </c>
      <c r="EI112" s="166">
        <f t="shared" si="95"/>
        <v>79132.3</v>
      </c>
    </row>
    <row r="113" spans="1:139" ht="15" customHeight="1" x14ac:dyDescent="0.3">
      <c r="A113" s="1625" t="s">
        <v>606</v>
      </c>
      <c r="B113" s="891">
        <v>37000000</v>
      </c>
      <c r="C113" s="891">
        <v>0</v>
      </c>
      <c r="D113" s="891">
        <v>37000000</v>
      </c>
      <c r="E113" s="891">
        <v>0</v>
      </c>
      <c r="F113" s="891">
        <f t="shared" si="52"/>
        <v>37000</v>
      </c>
      <c r="G113" s="891">
        <f t="shared" si="53"/>
        <v>0</v>
      </c>
      <c r="H113" s="891">
        <f t="shared" si="54"/>
        <v>37000</v>
      </c>
      <c r="I113" s="891">
        <f t="shared" si="55"/>
        <v>0</v>
      </c>
      <c r="Q113" s="1625" t="s">
        <v>606</v>
      </c>
      <c r="R113" s="891">
        <v>35500000</v>
      </c>
      <c r="S113" s="891">
        <v>140742</v>
      </c>
      <c r="T113" s="891">
        <v>35359258</v>
      </c>
      <c r="U113" s="891">
        <v>0</v>
      </c>
      <c r="V113" s="1622">
        <f t="shared" si="57"/>
        <v>35500</v>
      </c>
      <c r="W113" s="1622">
        <f t="shared" si="58"/>
        <v>140.74199999999999</v>
      </c>
      <c r="X113" s="1622">
        <f t="shared" si="59"/>
        <v>35359.258000000002</v>
      </c>
      <c r="Y113" s="1622">
        <f t="shared" si="60"/>
        <v>0</v>
      </c>
      <c r="AB113" s="1625" t="s">
        <v>413</v>
      </c>
      <c r="AC113" s="891">
        <v>9175469</v>
      </c>
      <c r="AD113" s="1622">
        <f t="shared" si="61"/>
        <v>9175.4689999999991</v>
      </c>
      <c r="AG113" s="1625" t="s">
        <v>494</v>
      </c>
      <c r="AH113" s="891">
        <v>12500000</v>
      </c>
      <c r="AI113" s="891">
        <v>2082500</v>
      </c>
      <c r="AJ113" s="891">
        <v>5206250</v>
      </c>
      <c r="AK113" s="891">
        <v>7293750</v>
      </c>
      <c r="AL113" s="1622">
        <f t="shared" si="62"/>
        <v>12500</v>
      </c>
      <c r="AM113" s="1622">
        <f t="shared" si="63"/>
        <v>2082.5</v>
      </c>
      <c r="AN113" s="1622">
        <f t="shared" si="64"/>
        <v>5206.25</v>
      </c>
      <c r="AO113" s="1622">
        <f t="shared" si="65"/>
        <v>7293.75</v>
      </c>
      <c r="AR113" s="1625" t="s">
        <v>415</v>
      </c>
      <c r="AS113" s="1622">
        <v>4140000</v>
      </c>
      <c r="AT113" s="1622">
        <f t="shared" si="66"/>
        <v>4140</v>
      </c>
      <c r="AW113" s="1625" t="s">
        <v>605</v>
      </c>
      <c r="AX113" s="891">
        <v>60439484</v>
      </c>
      <c r="AY113" s="891">
        <v>47000000</v>
      </c>
      <c r="AZ113" s="891">
        <v>19909918</v>
      </c>
      <c r="BA113" s="891">
        <v>13439484</v>
      </c>
      <c r="BB113" s="1622">
        <f t="shared" si="67"/>
        <v>60439.483999999997</v>
      </c>
      <c r="BC113" s="1622">
        <f t="shared" si="68"/>
        <v>47000</v>
      </c>
      <c r="BD113" s="1622">
        <f t="shared" si="69"/>
        <v>19909.918000000001</v>
      </c>
      <c r="BE113" s="1622">
        <f t="shared" si="70"/>
        <v>13439.484</v>
      </c>
      <c r="BM113" s="1625" t="s">
        <v>605</v>
      </c>
      <c r="BN113" s="1627">
        <v>80495255</v>
      </c>
      <c r="BO113" s="1627">
        <v>24820026</v>
      </c>
      <c r="BP113" s="1627">
        <v>80495255</v>
      </c>
      <c r="BQ113" s="1627">
        <v>0</v>
      </c>
      <c r="BR113" s="1622">
        <f t="shared" si="72"/>
        <v>80495.255000000005</v>
      </c>
      <c r="BS113" s="1622">
        <f t="shared" si="73"/>
        <v>24820.026000000002</v>
      </c>
      <c r="BT113" s="1622">
        <f t="shared" si="74"/>
        <v>80495.255000000005</v>
      </c>
      <c r="BU113" s="1622">
        <f t="shared" si="75"/>
        <v>0</v>
      </c>
      <c r="BX113" s="1624" t="s">
        <v>929</v>
      </c>
      <c r="BY113" s="1622">
        <v>50929201</v>
      </c>
      <c r="BZ113" s="1622">
        <f t="shared" si="76"/>
        <v>50929.201000000001</v>
      </c>
      <c r="CC113" s="1622" t="s">
        <v>604</v>
      </c>
      <c r="CD113" s="1622">
        <v>37079999</v>
      </c>
      <c r="CE113" s="1622">
        <v>5355163</v>
      </c>
      <c r="CF113" s="1622">
        <v>29880000</v>
      </c>
      <c r="CG113" s="1622">
        <v>7199999</v>
      </c>
      <c r="CH113" s="1622">
        <f t="shared" si="77"/>
        <v>37079.999000000003</v>
      </c>
      <c r="CI113" s="1622">
        <f t="shared" si="78"/>
        <v>5355.1629999999996</v>
      </c>
      <c r="CJ113" s="1622">
        <f t="shared" si="79"/>
        <v>29880</v>
      </c>
      <c r="CK113" s="1622">
        <f t="shared" si="80"/>
        <v>7199.9989999999998</v>
      </c>
      <c r="CN113" s="1624" t="s">
        <v>1048</v>
      </c>
      <c r="CO113" s="1622">
        <v>0</v>
      </c>
      <c r="CP113" s="1622">
        <f t="shared" si="81"/>
        <v>0</v>
      </c>
      <c r="CS113" s="1625" t="s">
        <v>403</v>
      </c>
      <c r="CT113" s="891">
        <v>732196435</v>
      </c>
      <c r="CU113" s="891">
        <v>453906657</v>
      </c>
      <c r="CV113" s="891">
        <v>673336908</v>
      </c>
      <c r="CW113" s="891">
        <v>58859527</v>
      </c>
      <c r="CX113" s="1622">
        <f t="shared" si="82"/>
        <v>732196.43500000006</v>
      </c>
      <c r="CY113" s="1622">
        <f t="shared" si="83"/>
        <v>453906.65700000001</v>
      </c>
      <c r="CZ113" s="1622">
        <f t="shared" si="84"/>
        <v>673336.90800000005</v>
      </c>
      <c r="DA113" s="1622">
        <f t="shared" si="85"/>
        <v>58859.527000000002</v>
      </c>
      <c r="DJ113" s="1624" t="s">
        <v>403</v>
      </c>
      <c r="DK113" s="1622">
        <v>753196435</v>
      </c>
      <c r="DL113" s="1622">
        <v>687347198</v>
      </c>
      <c r="DM113" s="1622">
        <v>65849237</v>
      </c>
      <c r="DN113" s="1622">
        <v>534810863</v>
      </c>
      <c r="DO113" s="1622">
        <f t="shared" si="87"/>
        <v>753196.43500000006</v>
      </c>
      <c r="DP113" s="1622">
        <f t="shared" si="88"/>
        <v>687347.19799999997</v>
      </c>
      <c r="DQ113" s="1622">
        <f t="shared" si="89"/>
        <v>65849.236999999994</v>
      </c>
      <c r="DR113" s="1622">
        <f t="shared" si="90"/>
        <v>534810.86300000001</v>
      </c>
      <c r="DV113" s="780" t="s">
        <v>413</v>
      </c>
      <c r="DW113" s="779">
        <v>6441593</v>
      </c>
      <c r="DX113" s="1626">
        <f t="shared" si="91"/>
        <v>6441.5929999999998</v>
      </c>
      <c r="EA113" s="780" t="s">
        <v>403</v>
      </c>
      <c r="EB113" s="779">
        <v>883897529</v>
      </c>
      <c r="EC113" s="779">
        <v>777232572</v>
      </c>
      <c r="ED113" s="779">
        <v>876397529</v>
      </c>
      <c r="EE113" s="779">
        <v>7500000</v>
      </c>
      <c r="EF113" s="166">
        <f t="shared" si="92"/>
        <v>883897.52899999998</v>
      </c>
      <c r="EG113" s="166">
        <f t="shared" si="93"/>
        <v>777232.57200000004</v>
      </c>
      <c r="EH113" s="166">
        <f t="shared" si="94"/>
        <v>876397.52899999998</v>
      </c>
      <c r="EI113" s="166">
        <f t="shared" si="95"/>
        <v>7500</v>
      </c>
    </row>
    <row r="114" spans="1:139" ht="15" customHeight="1" x14ac:dyDescent="0.3">
      <c r="A114" s="1625" t="s">
        <v>405</v>
      </c>
      <c r="B114" s="891">
        <v>37000000</v>
      </c>
      <c r="C114" s="891">
        <v>0</v>
      </c>
      <c r="D114" s="891">
        <v>37000000</v>
      </c>
      <c r="E114" s="891">
        <v>0</v>
      </c>
      <c r="F114" s="891">
        <f t="shared" si="52"/>
        <v>37000</v>
      </c>
      <c r="G114" s="891">
        <f t="shared" si="53"/>
        <v>0</v>
      </c>
      <c r="H114" s="891">
        <f t="shared" si="54"/>
        <v>37000</v>
      </c>
      <c r="I114" s="891">
        <f t="shared" si="55"/>
        <v>0</v>
      </c>
      <c r="Q114" s="1625" t="s">
        <v>405</v>
      </c>
      <c r="R114" s="891">
        <v>35500000</v>
      </c>
      <c r="S114" s="891">
        <v>140742</v>
      </c>
      <c r="T114" s="891">
        <v>35359258</v>
      </c>
      <c r="U114" s="891">
        <v>0</v>
      </c>
      <c r="V114" s="1622">
        <f t="shared" si="57"/>
        <v>35500</v>
      </c>
      <c r="W114" s="1622">
        <f t="shared" si="58"/>
        <v>140.74199999999999</v>
      </c>
      <c r="X114" s="1622">
        <f t="shared" si="59"/>
        <v>35359.258000000002</v>
      </c>
      <c r="Y114" s="1622">
        <f t="shared" si="60"/>
        <v>0</v>
      </c>
      <c r="AB114" s="1625" t="s">
        <v>532</v>
      </c>
      <c r="AC114" s="891">
        <v>9175469</v>
      </c>
      <c r="AD114" s="1622">
        <f t="shared" si="61"/>
        <v>9175.4689999999991</v>
      </c>
      <c r="AG114" s="1625" t="s">
        <v>606</v>
      </c>
      <c r="AH114" s="891">
        <v>35500000</v>
      </c>
      <c r="AI114" s="891">
        <v>140742</v>
      </c>
      <c r="AJ114" s="891">
        <v>140742</v>
      </c>
      <c r="AK114" s="891">
        <v>35359258</v>
      </c>
      <c r="AL114" s="1622">
        <f t="shared" si="62"/>
        <v>35500</v>
      </c>
      <c r="AM114" s="1622">
        <f t="shared" si="63"/>
        <v>140.74199999999999</v>
      </c>
      <c r="AN114" s="1622">
        <f t="shared" si="64"/>
        <v>140.74199999999999</v>
      </c>
      <c r="AO114" s="1622">
        <f t="shared" si="65"/>
        <v>35359.258000000002</v>
      </c>
      <c r="AR114" s="1625" t="s">
        <v>620</v>
      </c>
      <c r="AS114" s="1622">
        <v>0</v>
      </c>
      <c r="AT114" s="1622">
        <f t="shared" si="66"/>
        <v>0</v>
      </c>
      <c r="AW114" s="1625" t="s">
        <v>494</v>
      </c>
      <c r="AX114" s="891">
        <v>24506250</v>
      </c>
      <c r="AY114" s="891">
        <v>5206250</v>
      </c>
      <c r="AZ114" s="891">
        <v>3123750</v>
      </c>
      <c r="BA114" s="891">
        <v>19300000</v>
      </c>
      <c r="BB114" s="1622">
        <f t="shared" si="67"/>
        <v>24506.25</v>
      </c>
      <c r="BC114" s="1622">
        <f t="shared" si="68"/>
        <v>5206.25</v>
      </c>
      <c r="BD114" s="1622">
        <f t="shared" si="69"/>
        <v>3123.75</v>
      </c>
      <c r="BE114" s="1622">
        <f t="shared" si="70"/>
        <v>19300</v>
      </c>
      <c r="BM114" s="1625" t="s">
        <v>494</v>
      </c>
      <c r="BN114" s="1627">
        <v>91205170</v>
      </c>
      <c r="BO114" s="1627">
        <v>4165000</v>
      </c>
      <c r="BP114" s="1627">
        <v>91205170</v>
      </c>
      <c r="BQ114" s="1627">
        <v>0</v>
      </c>
      <c r="BR114" s="1622">
        <f t="shared" si="72"/>
        <v>91205.17</v>
      </c>
      <c r="BS114" s="1622">
        <f t="shared" si="73"/>
        <v>4165</v>
      </c>
      <c r="BT114" s="1622">
        <f t="shared" si="74"/>
        <v>91205.17</v>
      </c>
      <c r="BU114" s="1622">
        <f t="shared" si="75"/>
        <v>0</v>
      </c>
      <c r="BX114" s="1624" t="s">
        <v>997</v>
      </c>
      <c r="BY114" s="1622">
        <v>0</v>
      </c>
      <c r="BZ114" s="1622">
        <f t="shared" si="76"/>
        <v>0</v>
      </c>
      <c r="CC114" s="1622" t="s">
        <v>605</v>
      </c>
      <c r="CD114" s="1622">
        <v>80495255</v>
      </c>
      <c r="CE114" s="1622">
        <v>29759464</v>
      </c>
      <c r="CF114" s="1622">
        <v>80495255</v>
      </c>
      <c r="CG114" s="1622">
        <v>0</v>
      </c>
      <c r="CH114" s="1622">
        <f t="shared" si="77"/>
        <v>80495.255000000005</v>
      </c>
      <c r="CI114" s="1622">
        <f t="shared" si="78"/>
        <v>29759.464</v>
      </c>
      <c r="CJ114" s="1622">
        <f t="shared" si="79"/>
        <v>80495.255000000005</v>
      </c>
      <c r="CK114" s="1622">
        <f t="shared" si="80"/>
        <v>0</v>
      </c>
      <c r="CN114" s="1624" t="s">
        <v>618</v>
      </c>
      <c r="CO114" s="1622">
        <v>12361918</v>
      </c>
      <c r="CP114" s="1622">
        <f t="shared" si="81"/>
        <v>12361.918</v>
      </c>
      <c r="CS114" s="1625" t="s">
        <v>404</v>
      </c>
      <c r="CT114" s="891">
        <v>589814930</v>
      </c>
      <c r="CU114" s="891">
        <v>408603638</v>
      </c>
      <c r="CV114" s="891">
        <v>538455403</v>
      </c>
      <c r="CW114" s="891">
        <v>51359527</v>
      </c>
      <c r="CX114" s="1622">
        <f t="shared" si="82"/>
        <v>589814.93000000005</v>
      </c>
      <c r="CY114" s="1622">
        <f t="shared" si="83"/>
        <v>408603.63799999998</v>
      </c>
      <c r="CZ114" s="1622">
        <f t="shared" si="84"/>
        <v>538455.40300000005</v>
      </c>
      <c r="DA114" s="1622">
        <f t="shared" si="85"/>
        <v>51359.527000000002</v>
      </c>
      <c r="DJ114" s="1624" t="s">
        <v>404</v>
      </c>
      <c r="DK114" s="1622">
        <v>610814930</v>
      </c>
      <c r="DL114" s="1622">
        <v>559455403</v>
      </c>
      <c r="DM114" s="1622">
        <v>51359527</v>
      </c>
      <c r="DN114" s="1622">
        <v>470204210</v>
      </c>
      <c r="DO114" s="1622">
        <f t="shared" si="87"/>
        <v>610814.93000000005</v>
      </c>
      <c r="DP114" s="1622">
        <f t="shared" si="88"/>
        <v>559455.40300000005</v>
      </c>
      <c r="DQ114" s="1622">
        <f t="shared" si="89"/>
        <v>51359.527000000002</v>
      </c>
      <c r="DR114" s="1622">
        <f t="shared" si="90"/>
        <v>470204.21</v>
      </c>
      <c r="DV114" s="780" t="s">
        <v>532</v>
      </c>
      <c r="DW114" s="779">
        <v>6441593</v>
      </c>
      <c r="DX114" s="1626">
        <f t="shared" si="91"/>
        <v>6441.5929999999998</v>
      </c>
      <c r="EA114" s="780" t="s">
        <v>404</v>
      </c>
      <c r="EB114" s="779">
        <v>748505734</v>
      </c>
      <c r="EC114" s="779">
        <v>692369451</v>
      </c>
      <c r="ED114" s="779">
        <v>748505734</v>
      </c>
      <c r="EE114" s="779">
        <v>0</v>
      </c>
      <c r="EF114" s="166">
        <f t="shared" si="92"/>
        <v>748505.73400000005</v>
      </c>
      <c r="EG114" s="166">
        <f t="shared" si="93"/>
        <v>692369.451</v>
      </c>
      <c r="EH114" s="166">
        <f t="shared" si="94"/>
        <v>748505.73400000005</v>
      </c>
      <c r="EI114" s="166">
        <f t="shared" si="95"/>
        <v>0</v>
      </c>
    </row>
    <row r="115" spans="1:139" ht="15" customHeight="1" x14ac:dyDescent="0.3">
      <c r="A115" s="1625" t="s">
        <v>607</v>
      </c>
      <c r="B115" s="891">
        <v>882367002</v>
      </c>
      <c r="C115" s="891">
        <v>46723000</v>
      </c>
      <c r="D115" s="891">
        <v>835644002</v>
      </c>
      <c r="E115" s="891">
        <v>0</v>
      </c>
      <c r="F115" s="891">
        <f t="shared" si="52"/>
        <v>882367.00199999998</v>
      </c>
      <c r="G115" s="891">
        <f t="shared" si="53"/>
        <v>46723</v>
      </c>
      <c r="H115" s="891">
        <f t="shared" si="54"/>
        <v>835644.00199999998</v>
      </c>
      <c r="I115" s="891">
        <f t="shared" si="55"/>
        <v>0</v>
      </c>
      <c r="Q115" s="1625" t="s">
        <v>607</v>
      </c>
      <c r="R115" s="891">
        <v>899595071</v>
      </c>
      <c r="S115" s="891">
        <v>166820694</v>
      </c>
      <c r="T115" s="891">
        <v>732774377</v>
      </c>
      <c r="U115" s="891">
        <v>13606334</v>
      </c>
      <c r="V115" s="1622">
        <f t="shared" si="57"/>
        <v>899595.071</v>
      </c>
      <c r="W115" s="1622">
        <f t="shared" si="58"/>
        <v>166820.69399999999</v>
      </c>
      <c r="X115" s="1622">
        <f t="shared" si="59"/>
        <v>732774.37699999998</v>
      </c>
      <c r="Y115" s="1622">
        <f t="shared" si="60"/>
        <v>13606.334000000001</v>
      </c>
      <c r="AB115" s="1625" t="s">
        <v>618</v>
      </c>
      <c r="AC115" s="891">
        <v>0</v>
      </c>
      <c r="AD115" s="1622">
        <f t="shared" si="61"/>
        <v>0</v>
      </c>
      <c r="AG115" s="1625" t="s">
        <v>405</v>
      </c>
      <c r="AH115" s="891">
        <v>35500000</v>
      </c>
      <c r="AI115" s="891">
        <v>140742</v>
      </c>
      <c r="AJ115" s="891">
        <v>140742</v>
      </c>
      <c r="AK115" s="891">
        <v>35359258</v>
      </c>
      <c r="AL115" s="1622">
        <f t="shared" si="62"/>
        <v>35500</v>
      </c>
      <c r="AM115" s="1622">
        <f t="shared" si="63"/>
        <v>140.74199999999999</v>
      </c>
      <c r="AN115" s="1622">
        <f t="shared" si="64"/>
        <v>140.74199999999999</v>
      </c>
      <c r="AO115" s="1622">
        <f t="shared" si="65"/>
        <v>35359.258000000002</v>
      </c>
      <c r="AR115" s="1625" t="s">
        <v>914</v>
      </c>
      <c r="AS115" s="1622">
        <v>4140000</v>
      </c>
      <c r="AT115" s="1622">
        <f t="shared" si="66"/>
        <v>4140</v>
      </c>
      <c r="AW115" s="1625" t="s">
        <v>606</v>
      </c>
      <c r="AX115" s="891">
        <v>33915277</v>
      </c>
      <c r="AY115" s="891">
        <v>140742</v>
      </c>
      <c r="AZ115" s="891">
        <v>140742</v>
      </c>
      <c r="BA115" s="891">
        <v>33774535</v>
      </c>
      <c r="BB115" s="1622">
        <f t="shared" si="67"/>
        <v>33915.277000000002</v>
      </c>
      <c r="BC115" s="1622">
        <f t="shared" si="68"/>
        <v>140.74199999999999</v>
      </c>
      <c r="BD115" s="1622">
        <f t="shared" si="69"/>
        <v>140.74199999999999</v>
      </c>
      <c r="BE115" s="1622">
        <f t="shared" si="70"/>
        <v>33774.535000000003</v>
      </c>
      <c r="BM115" s="1625" t="s">
        <v>606</v>
      </c>
      <c r="BN115" s="1627">
        <v>33915277</v>
      </c>
      <c r="BO115" s="1627">
        <v>140742</v>
      </c>
      <c r="BP115" s="1627">
        <v>140742</v>
      </c>
      <c r="BQ115" s="1627">
        <v>33774535</v>
      </c>
      <c r="BR115" s="1622">
        <f t="shared" si="72"/>
        <v>33915.277000000002</v>
      </c>
      <c r="BS115" s="1622">
        <f t="shared" si="73"/>
        <v>140.74199999999999</v>
      </c>
      <c r="BT115" s="1622">
        <f t="shared" si="74"/>
        <v>140.74199999999999</v>
      </c>
      <c r="BU115" s="1622">
        <f t="shared" si="75"/>
        <v>33774.535000000003</v>
      </c>
      <c r="BX115" s="1624" t="s">
        <v>415</v>
      </c>
      <c r="BY115" s="1622">
        <v>357000</v>
      </c>
      <c r="BZ115" s="1622">
        <f t="shared" si="76"/>
        <v>357</v>
      </c>
      <c r="CC115" s="1622" t="s">
        <v>494</v>
      </c>
      <c r="CD115" s="1622">
        <v>24506250</v>
      </c>
      <c r="CE115" s="1622">
        <v>5206250</v>
      </c>
      <c r="CF115" s="1622">
        <v>24506250</v>
      </c>
      <c r="CG115" s="1622">
        <v>0</v>
      </c>
      <c r="CH115" s="1622">
        <f t="shared" si="77"/>
        <v>24506.25</v>
      </c>
      <c r="CI115" s="1622">
        <f t="shared" si="78"/>
        <v>5206.25</v>
      </c>
      <c r="CJ115" s="1622">
        <f t="shared" si="79"/>
        <v>24506.25</v>
      </c>
      <c r="CK115" s="1622">
        <f t="shared" si="80"/>
        <v>0</v>
      </c>
      <c r="CN115" s="1624" t="s">
        <v>929</v>
      </c>
      <c r="CO115" s="1622">
        <v>0</v>
      </c>
      <c r="CP115" s="1622">
        <f t="shared" si="81"/>
        <v>0</v>
      </c>
      <c r="CS115" s="1625" t="s">
        <v>604</v>
      </c>
      <c r="CT115" s="891">
        <v>29880000</v>
      </c>
      <c r="CU115" s="891">
        <v>5355163</v>
      </c>
      <c r="CV115" s="891">
        <v>29880000</v>
      </c>
      <c r="CW115" s="891">
        <v>0</v>
      </c>
      <c r="CX115" s="1622">
        <f t="shared" si="82"/>
        <v>29880</v>
      </c>
      <c r="CY115" s="1622">
        <f t="shared" si="83"/>
        <v>5355.1629999999996</v>
      </c>
      <c r="CZ115" s="1622">
        <f t="shared" si="84"/>
        <v>29880</v>
      </c>
      <c r="DA115" s="1622">
        <f t="shared" si="85"/>
        <v>0</v>
      </c>
      <c r="DJ115" s="1624" t="s">
        <v>604</v>
      </c>
      <c r="DK115" s="1622">
        <v>29880000</v>
      </c>
      <c r="DL115" s="1622">
        <v>29880000</v>
      </c>
      <c r="DM115" s="1622">
        <v>0</v>
      </c>
      <c r="DN115" s="1622">
        <v>14612397</v>
      </c>
      <c r="DO115" s="1622">
        <f t="shared" si="87"/>
        <v>29880</v>
      </c>
      <c r="DP115" s="1622">
        <f t="shared" si="88"/>
        <v>29880</v>
      </c>
      <c r="DQ115" s="1622">
        <f t="shared" si="89"/>
        <v>0</v>
      </c>
      <c r="DR115" s="1622">
        <f t="shared" si="90"/>
        <v>14612.397000000001</v>
      </c>
      <c r="DV115" s="780" t="s">
        <v>638</v>
      </c>
      <c r="DW115" s="779">
        <v>40484771</v>
      </c>
      <c r="DX115" s="1626">
        <f t="shared" si="91"/>
        <v>40484.771000000001</v>
      </c>
      <c r="EA115" s="780" t="s">
        <v>604</v>
      </c>
      <c r="EB115" s="779">
        <v>29880000</v>
      </c>
      <c r="EC115" s="779">
        <v>25628505</v>
      </c>
      <c r="ED115" s="779">
        <v>29880000</v>
      </c>
      <c r="EE115" s="779">
        <v>0</v>
      </c>
      <c r="EF115" s="166">
        <f t="shared" si="92"/>
        <v>29880</v>
      </c>
      <c r="EG115" s="166">
        <f t="shared" si="93"/>
        <v>25628.505000000001</v>
      </c>
      <c r="EH115" s="166">
        <f t="shared" si="94"/>
        <v>29880</v>
      </c>
      <c r="EI115" s="166">
        <f t="shared" si="95"/>
        <v>0</v>
      </c>
    </row>
    <row r="116" spans="1:139" ht="15" customHeight="1" x14ac:dyDescent="0.3">
      <c r="A116" s="1625" t="s">
        <v>406</v>
      </c>
      <c r="B116" s="891">
        <v>24323001</v>
      </c>
      <c r="C116" s="891">
        <v>24323000</v>
      </c>
      <c r="D116" s="891">
        <v>1</v>
      </c>
      <c r="E116" s="891">
        <v>0</v>
      </c>
      <c r="F116" s="891">
        <f t="shared" si="52"/>
        <v>24323.001</v>
      </c>
      <c r="G116" s="891">
        <f t="shared" si="53"/>
        <v>24323</v>
      </c>
      <c r="H116" s="891">
        <f t="shared" si="54"/>
        <v>1E-3</v>
      </c>
      <c r="I116" s="891">
        <f t="shared" si="55"/>
        <v>0</v>
      </c>
      <c r="Q116" s="1625" t="s">
        <v>406</v>
      </c>
      <c r="R116" s="891">
        <v>144420694</v>
      </c>
      <c r="S116" s="891">
        <v>144420694</v>
      </c>
      <c r="T116" s="891">
        <v>0</v>
      </c>
      <c r="U116" s="891">
        <v>9873000</v>
      </c>
      <c r="V116" s="1622">
        <f t="shared" si="57"/>
        <v>144420.69399999999</v>
      </c>
      <c r="W116" s="1622">
        <f t="shared" si="58"/>
        <v>144420.69399999999</v>
      </c>
      <c r="X116" s="1622">
        <f t="shared" si="59"/>
        <v>0</v>
      </c>
      <c r="Y116" s="1622">
        <f t="shared" si="60"/>
        <v>9873</v>
      </c>
      <c r="AB116" s="1625" t="s">
        <v>415</v>
      </c>
      <c r="AC116" s="891">
        <v>0</v>
      </c>
      <c r="AD116" s="1622">
        <f t="shared" si="61"/>
        <v>0</v>
      </c>
      <c r="AG116" s="1625" t="s">
        <v>607</v>
      </c>
      <c r="AH116" s="891">
        <v>988130307</v>
      </c>
      <c r="AI116" s="891">
        <v>140648433</v>
      </c>
      <c r="AJ116" s="891">
        <v>829741064</v>
      </c>
      <c r="AK116" s="891">
        <v>158389243</v>
      </c>
      <c r="AL116" s="1622">
        <f t="shared" si="62"/>
        <v>988130.30700000003</v>
      </c>
      <c r="AM116" s="1622">
        <f t="shared" si="63"/>
        <v>140648.43299999999</v>
      </c>
      <c r="AN116" s="1622">
        <f t="shared" si="64"/>
        <v>829741.06400000001</v>
      </c>
      <c r="AO116" s="1622">
        <f t="shared" si="65"/>
        <v>158389.24299999999</v>
      </c>
      <c r="AR116" s="1625" t="s">
        <v>416</v>
      </c>
      <c r="AS116" s="1622">
        <v>1331291288</v>
      </c>
      <c r="AT116" s="1622">
        <f t="shared" si="66"/>
        <v>1331291.2879999999</v>
      </c>
      <c r="AW116" s="1625" t="s">
        <v>405</v>
      </c>
      <c r="AX116" s="891">
        <v>33915277</v>
      </c>
      <c r="AY116" s="891">
        <v>140742</v>
      </c>
      <c r="AZ116" s="891">
        <v>140742</v>
      </c>
      <c r="BA116" s="891">
        <v>33774535</v>
      </c>
      <c r="BB116" s="1622">
        <f t="shared" si="67"/>
        <v>33915.277000000002</v>
      </c>
      <c r="BC116" s="1622">
        <f t="shared" si="68"/>
        <v>140.74199999999999</v>
      </c>
      <c r="BD116" s="1622">
        <f t="shared" si="69"/>
        <v>140.74199999999999</v>
      </c>
      <c r="BE116" s="1622">
        <f t="shared" si="70"/>
        <v>33774.535000000003</v>
      </c>
      <c r="BM116" s="1625" t="s">
        <v>405</v>
      </c>
      <c r="BN116" s="1627">
        <v>33915277</v>
      </c>
      <c r="BO116" s="1627">
        <v>140742</v>
      </c>
      <c r="BP116" s="1627">
        <v>140742</v>
      </c>
      <c r="BQ116" s="1627">
        <v>33774535</v>
      </c>
      <c r="BR116" s="1622">
        <f t="shared" si="72"/>
        <v>33915.277000000002</v>
      </c>
      <c r="BS116" s="1622">
        <f t="shared" si="73"/>
        <v>140.74199999999999</v>
      </c>
      <c r="BT116" s="1622">
        <f t="shared" si="74"/>
        <v>140.74199999999999</v>
      </c>
      <c r="BU116" s="1622">
        <f t="shared" si="75"/>
        <v>33774.535000000003</v>
      </c>
      <c r="BX116" s="1624" t="s">
        <v>620</v>
      </c>
      <c r="BY116" s="1622">
        <v>357000</v>
      </c>
      <c r="BZ116" s="1622">
        <f t="shared" si="76"/>
        <v>357</v>
      </c>
      <c r="CC116" s="1622" t="s">
        <v>606</v>
      </c>
      <c r="CD116" s="1622">
        <v>25341297</v>
      </c>
      <c r="CE116" s="1622">
        <v>140742</v>
      </c>
      <c r="CF116" s="1622">
        <v>9310587</v>
      </c>
      <c r="CG116" s="1622">
        <v>16030710</v>
      </c>
      <c r="CH116" s="1622">
        <f t="shared" si="77"/>
        <v>25341.296999999999</v>
      </c>
      <c r="CI116" s="1622">
        <f t="shared" si="78"/>
        <v>140.74199999999999</v>
      </c>
      <c r="CJ116" s="1622">
        <f t="shared" si="79"/>
        <v>9310.5869999999995</v>
      </c>
      <c r="CK116" s="1622">
        <f t="shared" si="80"/>
        <v>16030.71</v>
      </c>
      <c r="CN116" s="1624" t="s">
        <v>415</v>
      </c>
      <c r="CO116" s="1622">
        <v>12361918</v>
      </c>
      <c r="CP116" s="1622">
        <f t="shared" si="81"/>
        <v>12361.918</v>
      </c>
      <c r="CS116" s="1625" t="s">
        <v>605</v>
      </c>
      <c r="CT116" s="891">
        <v>87995255</v>
      </c>
      <c r="CU116" s="891">
        <v>34741606</v>
      </c>
      <c r="CV116" s="891">
        <v>80495255</v>
      </c>
      <c r="CW116" s="891">
        <v>7500000</v>
      </c>
      <c r="CX116" s="1622">
        <f t="shared" si="82"/>
        <v>87995.255000000005</v>
      </c>
      <c r="CY116" s="1622">
        <f t="shared" si="83"/>
        <v>34741.606</v>
      </c>
      <c r="CZ116" s="1622">
        <f t="shared" si="84"/>
        <v>80495.255000000005</v>
      </c>
      <c r="DA116" s="1622">
        <f t="shared" si="85"/>
        <v>7500</v>
      </c>
      <c r="DJ116" s="1624" t="s">
        <v>605</v>
      </c>
      <c r="DK116" s="1622">
        <v>87995255</v>
      </c>
      <c r="DL116" s="1622">
        <v>73505545</v>
      </c>
      <c r="DM116" s="1622">
        <v>14489710</v>
      </c>
      <c r="DN116" s="1622">
        <v>40010290</v>
      </c>
      <c r="DO116" s="1622">
        <f t="shared" si="87"/>
        <v>87995.255000000005</v>
      </c>
      <c r="DP116" s="1622">
        <f t="shared" si="88"/>
        <v>73505.544999999998</v>
      </c>
      <c r="DQ116" s="1622">
        <f t="shared" si="89"/>
        <v>14489.71</v>
      </c>
      <c r="DR116" s="1622">
        <f t="shared" si="90"/>
        <v>40010.29</v>
      </c>
      <c r="DV116" s="780" t="s">
        <v>639</v>
      </c>
      <c r="DW116" s="779">
        <v>40484771</v>
      </c>
      <c r="DX116" s="1626">
        <f t="shared" si="91"/>
        <v>40484.771000000001</v>
      </c>
      <c r="EA116" s="780" t="s">
        <v>605</v>
      </c>
      <c r="EB116" s="779">
        <v>81005545</v>
      </c>
      <c r="EC116" s="779">
        <v>46861792</v>
      </c>
      <c r="ED116" s="779">
        <v>73505545</v>
      </c>
      <c r="EE116" s="779">
        <v>7500000</v>
      </c>
      <c r="EF116" s="166">
        <f t="shared" si="92"/>
        <v>81005.544999999998</v>
      </c>
      <c r="EG116" s="166">
        <f t="shared" si="93"/>
        <v>46861.792000000001</v>
      </c>
      <c r="EH116" s="166">
        <f t="shared" si="94"/>
        <v>73505.544999999998</v>
      </c>
      <c r="EI116" s="166">
        <f t="shared" si="95"/>
        <v>7500</v>
      </c>
    </row>
    <row r="117" spans="1:139" ht="15" customHeight="1" x14ac:dyDescent="0.3">
      <c r="A117" s="1625" t="s">
        <v>407</v>
      </c>
      <c r="B117" s="891">
        <v>52663000</v>
      </c>
      <c r="C117" s="891">
        <v>0</v>
      </c>
      <c r="D117" s="891">
        <v>52663000</v>
      </c>
      <c r="E117" s="891">
        <v>0</v>
      </c>
      <c r="F117" s="891">
        <f t="shared" si="52"/>
        <v>52663</v>
      </c>
      <c r="G117" s="891">
        <f t="shared" si="53"/>
        <v>0</v>
      </c>
      <c r="H117" s="891">
        <f t="shared" si="54"/>
        <v>52663</v>
      </c>
      <c r="I117" s="891">
        <f t="shared" si="55"/>
        <v>0</v>
      </c>
      <c r="Q117" s="1625" t="s">
        <v>407</v>
      </c>
      <c r="R117" s="891">
        <v>52663000</v>
      </c>
      <c r="S117" s="891">
        <v>0</v>
      </c>
      <c r="T117" s="891">
        <v>52663000</v>
      </c>
      <c r="U117" s="891">
        <v>0</v>
      </c>
      <c r="V117" s="1622">
        <f t="shared" si="57"/>
        <v>52663</v>
      </c>
      <c r="W117" s="1622">
        <f t="shared" si="58"/>
        <v>0</v>
      </c>
      <c r="X117" s="1622">
        <f t="shared" si="59"/>
        <v>52663</v>
      </c>
      <c r="Y117" s="1622">
        <f t="shared" si="60"/>
        <v>0</v>
      </c>
      <c r="AB117" s="1625" t="s">
        <v>620</v>
      </c>
      <c r="AC117" s="891">
        <v>0</v>
      </c>
      <c r="AD117" s="1622">
        <f t="shared" si="61"/>
        <v>0</v>
      </c>
      <c r="AG117" s="1625" t="s">
        <v>406</v>
      </c>
      <c r="AH117" s="891">
        <v>259420694</v>
      </c>
      <c r="AI117" s="891">
        <v>68698000</v>
      </c>
      <c r="AJ117" s="891">
        <v>219420694</v>
      </c>
      <c r="AK117" s="891">
        <v>40000000</v>
      </c>
      <c r="AL117" s="1622">
        <f t="shared" si="62"/>
        <v>259420.69399999999</v>
      </c>
      <c r="AM117" s="1622">
        <f t="shared" si="63"/>
        <v>68698</v>
      </c>
      <c r="AN117" s="1622">
        <f t="shared" si="64"/>
        <v>219420.69399999999</v>
      </c>
      <c r="AO117" s="1622">
        <f t="shared" si="65"/>
        <v>40000</v>
      </c>
      <c r="AR117" s="1625" t="s">
        <v>417</v>
      </c>
      <c r="AS117" s="1622">
        <v>1258472140</v>
      </c>
      <c r="AT117" s="1622">
        <f t="shared" si="66"/>
        <v>1258472.1399999999</v>
      </c>
      <c r="AW117" s="1625" t="s">
        <v>607</v>
      </c>
      <c r="AX117" s="891">
        <v>1193280416</v>
      </c>
      <c r="AY117" s="891">
        <v>835453971</v>
      </c>
      <c r="AZ117" s="891">
        <v>140648433</v>
      </c>
      <c r="BA117" s="891">
        <v>357826445</v>
      </c>
      <c r="BB117" s="1622">
        <f t="shared" si="67"/>
        <v>1193280.416</v>
      </c>
      <c r="BC117" s="1622">
        <f t="shared" si="68"/>
        <v>835453.97100000002</v>
      </c>
      <c r="BD117" s="1622">
        <f t="shared" si="69"/>
        <v>140648.43299999999</v>
      </c>
      <c r="BE117" s="1622">
        <f t="shared" si="70"/>
        <v>357826.44500000001</v>
      </c>
      <c r="BM117" s="1625" t="s">
        <v>607</v>
      </c>
      <c r="BN117" s="1627">
        <v>2704029960</v>
      </c>
      <c r="BO117" s="1627">
        <v>144983433</v>
      </c>
      <c r="BP117" s="1627">
        <v>1047292221</v>
      </c>
      <c r="BQ117" s="1627">
        <v>1656737739</v>
      </c>
      <c r="BR117" s="1622">
        <f t="shared" si="72"/>
        <v>2704029.96</v>
      </c>
      <c r="BS117" s="1622">
        <f t="shared" si="73"/>
        <v>144983.43299999999</v>
      </c>
      <c r="BT117" s="1622">
        <f t="shared" si="74"/>
        <v>1047292.221</v>
      </c>
      <c r="BU117" s="1622">
        <f t="shared" si="75"/>
        <v>1656737.7390000001</v>
      </c>
      <c r="BX117" s="1624" t="s">
        <v>416</v>
      </c>
      <c r="BY117" s="1622">
        <v>126010328</v>
      </c>
      <c r="BZ117" s="1622">
        <f t="shared" si="76"/>
        <v>126010.32799999999</v>
      </c>
      <c r="CC117" s="1622" t="s">
        <v>405</v>
      </c>
      <c r="CD117" s="1622">
        <v>25341297</v>
      </c>
      <c r="CE117" s="1622">
        <v>140742</v>
      </c>
      <c r="CF117" s="1622">
        <v>9310587</v>
      </c>
      <c r="CG117" s="1622">
        <v>16030710</v>
      </c>
      <c r="CH117" s="1622">
        <f t="shared" si="77"/>
        <v>25341.296999999999</v>
      </c>
      <c r="CI117" s="1622">
        <f t="shared" si="78"/>
        <v>140.74199999999999</v>
      </c>
      <c r="CJ117" s="1622">
        <f t="shared" si="79"/>
        <v>9310.5869999999995</v>
      </c>
      <c r="CK117" s="1622">
        <f t="shared" si="80"/>
        <v>16030.71</v>
      </c>
      <c r="CN117" s="1624" t="s">
        <v>620</v>
      </c>
      <c r="CO117" s="1622">
        <v>12361918</v>
      </c>
      <c r="CP117" s="1622">
        <f t="shared" si="81"/>
        <v>12361.918</v>
      </c>
      <c r="CS117" s="1625" t="s">
        <v>494</v>
      </c>
      <c r="CT117" s="891">
        <v>24506250</v>
      </c>
      <c r="CU117" s="891">
        <v>5206250</v>
      </c>
      <c r="CV117" s="891">
        <v>24506250</v>
      </c>
      <c r="CW117" s="891">
        <v>0</v>
      </c>
      <c r="CX117" s="1622">
        <f t="shared" si="82"/>
        <v>24506.25</v>
      </c>
      <c r="CY117" s="1622">
        <f t="shared" si="83"/>
        <v>5206.25</v>
      </c>
      <c r="CZ117" s="1622">
        <f t="shared" si="84"/>
        <v>24506.25</v>
      </c>
      <c r="DA117" s="1622">
        <f t="shared" si="85"/>
        <v>0</v>
      </c>
      <c r="DJ117" s="1624" t="s">
        <v>494</v>
      </c>
      <c r="DK117" s="1622">
        <v>24506250</v>
      </c>
      <c r="DL117" s="1622">
        <v>24506250</v>
      </c>
      <c r="DM117" s="1622">
        <v>0</v>
      </c>
      <c r="DN117" s="1622">
        <v>9983966</v>
      </c>
      <c r="DO117" s="1622">
        <f t="shared" si="87"/>
        <v>24506.25</v>
      </c>
      <c r="DP117" s="1622">
        <f t="shared" si="88"/>
        <v>24506.25</v>
      </c>
      <c r="DQ117" s="1622">
        <f t="shared" si="89"/>
        <v>0</v>
      </c>
      <c r="DR117" s="1622">
        <f t="shared" si="90"/>
        <v>9983.9660000000003</v>
      </c>
      <c r="DV117" s="780" t="s">
        <v>1040</v>
      </c>
      <c r="DW117" s="779">
        <v>40484771</v>
      </c>
      <c r="DX117" s="1626">
        <f t="shared" si="91"/>
        <v>40484.771000000001</v>
      </c>
      <c r="EA117" s="780" t="s">
        <v>494</v>
      </c>
      <c r="EB117" s="779">
        <v>24506250</v>
      </c>
      <c r="EC117" s="779">
        <v>12372824</v>
      </c>
      <c r="ED117" s="779">
        <v>24506250</v>
      </c>
      <c r="EE117" s="779">
        <v>0</v>
      </c>
      <c r="EF117" s="166">
        <f t="shared" si="92"/>
        <v>24506.25</v>
      </c>
      <c r="EG117" s="166">
        <f t="shared" si="93"/>
        <v>12372.824000000001</v>
      </c>
      <c r="EH117" s="166">
        <f t="shared" si="94"/>
        <v>24506.25</v>
      </c>
      <c r="EI117" s="166">
        <f t="shared" si="95"/>
        <v>0</v>
      </c>
    </row>
    <row r="118" spans="1:139" ht="15" customHeight="1" x14ac:dyDescent="0.3">
      <c r="A118" s="1625" t="s">
        <v>408</v>
      </c>
      <c r="B118" s="891">
        <v>799881001</v>
      </c>
      <c r="C118" s="891">
        <v>22400000</v>
      </c>
      <c r="D118" s="891">
        <v>777481001</v>
      </c>
      <c r="E118" s="891">
        <v>0</v>
      </c>
      <c r="F118" s="891">
        <f t="shared" si="52"/>
        <v>799881.00100000005</v>
      </c>
      <c r="G118" s="891">
        <f t="shared" si="53"/>
        <v>22400</v>
      </c>
      <c r="H118" s="891">
        <f t="shared" si="54"/>
        <v>777481.00100000005</v>
      </c>
      <c r="I118" s="891">
        <f t="shared" si="55"/>
        <v>0</v>
      </c>
      <c r="Q118" s="1625" t="s">
        <v>408</v>
      </c>
      <c r="R118" s="891">
        <v>697011377</v>
      </c>
      <c r="S118" s="891">
        <v>22400000</v>
      </c>
      <c r="T118" s="891">
        <v>674611377</v>
      </c>
      <c r="U118" s="891">
        <v>3733334</v>
      </c>
      <c r="V118" s="1622">
        <f t="shared" si="57"/>
        <v>697011.37699999998</v>
      </c>
      <c r="W118" s="1622">
        <f t="shared" si="58"/>
        <v>22400</v>
      </c>
      <c r="X118" s="1622">
        <f t="shared" si="59"/>
        <v>674611.37699999998</v>
      </c>
      <c r="Y118" s="1622">
        <f t="shared" si="60"/>
        <v>3733.3339999999998</v>
      </c>
      <c r="AB118" s="1625" t="s">
        <v>416</v>
      </c>
      <c r="AC118" s="891">
        <v>7043505941</v>
      </c>
      <c r="AD118" s="1622">
        <f t="shared" si="61"/>
        <v>7043505.9409999996</v>
      </c>
      <c r="AG118" s="1625" t="s">
        <v>407</v>
      </c>
      <c r="AH118" s="891">
        <v>52663000</v>
      </c>
      <c r="AI118" s="891">
        <v>0</v>
      </c>
      <c r="AJ118" s="891">
        <v>3512000</v>
      </c>
      <c r="AK118" s="891">
        <v>49151000</v>
      </c>
      <c r="AL118" s="1622">
        <f t="shared" si="62"/>
        <v>52663</v>
      </c>
      <c r="AM118" s="1622">
        <f t="shared" si="63"/>
        <v>0</v>
      </c>
      <c r="AN118" s="1622">
        <f t="shared" si="64"/>
        <v>3512</v>
      </c>
      <c r="AO118" s="1622">
        <f t="shared" si="65"/>
        <v>49151</v>
      </c>
      <c r="AR118" s="1625" t="s">
        <v>418</v>
      </c>
      <c r="AS118" s="1622">
        <v>0</v>
      </c>
      <c r="AT118" s="1622">
        <v>0</v>
      </c>
      <c r="AW118" s="1625" t="s">
        <v>406</v>
      </c>
      <c r="AX118" s="891">
        <v>447835971</v>
      </c>
      <c r="AY118" s="891">
        <v>219420694</v>
      </c>
      <c r="AZ118" s="891">
        <v>68698000</v>
      </c>
      <c r="BA118" s="891">
        <v>228415277</v>
      </c>
      <c r="BB118" s="1622">
        <f t="shared" si="67"/>
        <v>447835.97100000002</v>
      </c>
      <c r="BC118" s="1622">
        <f t="shared" si="68"/>
        <v>219420.69399999999</v>
      </c>
      <c r="BD118" s="1622">
        <f t="shared" si="69"/>
        <v>68698</v>
      </c>
      <c r="BE118" s="1622">
        <f t="shared" si="70"/>
        <v>228415.277</v>
      </c>
      <c r="BM118" s="1625" t="s">
        <v>406</v>
      </c>
      <c r="BN118" s="1627">
        <v>1593881971</v>
      </c>
      <c r="BO118" s="1627">
        <v>73033000</v>
      </c>
      <c r="BP118" s="1627">
        <v>374220694</v>
      </c>
      <c r="BQ118" s="1627">
        <v>1219661277</v>
      </c>
      <c r="BR118" s="1622">
        <f t="shared" si="72"/>
        <v>1593881.9709999999</v>
      </c>
      <c r="BS118" s="1622">
        <f t="shared" si="73"/>
        <v>73033</v>
      </c>
      <c r="BT118" s="1622">
        <f t="shared" si="74"/>
        <v>374220.69400000002</v>
      </c>
      <c r="BU118" s="1622">
        <f t="shared" si="75"/>
        <v>1219661.277</v>
      </c>
      <c r="BX118" s="1624" t="s">
        <v>417</v>
      </c>
      <c r="BY118" s="1622">
        <v>106350132</v>
      </c>
      <c r="BZ118" s="1622">
        <f t="shared" si="76"/>
        <v>106350.132</v>
      </c>
      <c r="CC118" s="1622" t="s">
        <v>607</v>
      </c>
      <c r="CD118" s="1622">
        <v>2748051552</v>
      </c>
      <c r="CE118" s="1622">
        <v>253111300</v>
      </c>
      <c r="CF118" s="1622">
        <v>1362432262</v>
      </c>
      <c r="CG118" s="1622">
        <v>1385619290</v>
      </c>
      <c r="CH118" s="1622">
        <f t="shared" si="77"/>
        <v>2748051.5520000001</v>
      </c>
      <c r="CI118" s="1622">
        <f t="shared" si="78"/>
        <v>253111.3</v>
      </c>
      <c r="CJ118" s="1622">
        <f t="shared" si="79"/>
        <v>1362432.2620000001</v>
      </c>
      <c r="CK118" s="1622">
        <f t="shared" si="80"/>
        <v>1385619.29</v>
      </c>
      <c r="CN118" s="1624" t="s">
        <v>416</v>
      </c>
      <c r="CO118" s="1622">
        <v>799662796</v>
      </c>
      <c r="CP118" s="1622">
        <f t="shared" si="81"/>
        <v>799662.79599999997</v>
      </c>
      <c r="CS118" s="1625" t="s">
        <v>606</v>
      </c>
      <c r="CT118" s="891">
        <v>21455656</v>
      </c>
      <c r="CU118" s="891">
        <v>9438111</v>
      </c>
      <c r="CV118" s="891">
        <v>9438111</v>
      </c>
      <c r="CW118" s="891">
        <v>12017545</v>
      </c>
      <c r="CX118" s="1622">
        <f t="shared" si="82"/>
        <v>21455.655999999999</v>
      </c>
      <c r="CY118" s="1622">
        <f t="shared" si="83"/>
        <v>9438.1110000000008</v>
      </c>
      <c r="CZ118" s="1622">
        <f t="shared" si="84"/>
        <v>9438.1110000000008</v>
      </c>
      <c r="DA118" s="1622">
        <f t="shared" si="85"/>
        <v>12017.545</v>
      </c>
      <c r="DJ118" s="1624" t="s">
        <v>606</v>
      </c>
      <c r="DK118" s="1622">
        <v>44455656</v>
      </c>
      <c r="DL118" s="1622">
        <v>9739446</v>
      </c>
      <c r="DM118" s="1622">
        <v>34716210</v>
      </c>
      <c r="DN118" s="1622">
        <v>9442420</v>
      </c>
      <c r="DO118" s="1622">
        <f t="shared" si="87"/>
        <v>44455.656000000003</v>
      </c>
      <c r="DP118" s="1622">
        <f t="shared" si="88"/>
        <v>9739.4459999999999</v>
      </c>
      <c r="DQ118" s="1622">
        <f t="shared" si="89"/>
        <v>34716.21</v>
      </c>
      <c r="DR118" s="1622">
        <f t="shared" si="90"/>
        <v>9442.42</v>
      </c>
      <c r="DV118" s="780" t="s">
        <v>618</v>
      </c>
      <c r="DW118" s="779">
        <v>68491094</v>
      </c>
      <c r="DX118" s="1626">
        <f t="shared" si="91"/>
        <v>68491.093999999997</v>
      </c>
      <c r="EA118" s="780" t="s">
        <v>606</v>
      </c>
      <c r="EB118" s="779">
        <v>38670925</v>
      </c>
      <c r="EC118" s="779">
        <v>38670925</v>
      </c>
      <c r="ED118" s="779">
        <v>38670925</v>
      </c>
      <c r="EE118" s="779">
        <v>0</v>
      </c>
      <c r="EF118" s="166">
        <f t="shared" si="92"/>
        <v>38670.925000000003</v>
      </c>
      <c r="EG118" s="166">
        <f t="shared" si="93"/>
        <v>38670.925000000003</v>
      </c>
      <c r="EH118" s="166">
        <f t="shared" si="94"/>
        <v>38670.925000000003</v>
      </c>
      <c r="EI118" s="166">
        <f t="shared" si="95"/>
        <v>0</v>
      </c>
    </row>
    <row r="119" spans="1:139" ht="15" customHeight="1" x14ac:dyDescent="0.3">
      <c r="A119" s="1625" t="s">
        <v>409</v>
      </c>
      <c r="B119" s="891">
        <v>5500000</v>
      </c>
      <c r="C119" s="891">
        <v>0</v>
      </c>
      <c r="D119" s="891">
        <v>5500000</v>
      </c>
      <c r="E119" s="891">
        <v>0</v>
      </c>
      <c r="F119" s="891">
        <f t="shared" si="52"/>
        <v>5500</v>
      </c>
      <c r="G119" s="891">
        <f t="shared" si="53"/>
        <v>0</v>
      </c>
      <c r="H119" s="891">
        <f t="shared" si="54"/>
        <v>5500</v>
      </c>
      <c r="I119" s="891">
        <f t="shared" si="55"/>
        <v>0</v>
      </c>
      <c r="Q119" s="1625" t="s">
        <v>409</v>
      </c>
      <c r="R119" s="891">
        <v>5500000</v>
      </c>
      <c r="S119" s="891">
        <v>0</v>
      </c>
      <c r="T119" s="891">
        <v>5500000</v>
      </c>
      <c r="U119" s="891">
        <v>0</v>
      </c>
      <c r="V119" s="1622">
        <f t="shared" si="57"/>
        <v>5500</v>
      </c>
      <c r="W119" s="1622">
        <f t="shared" si="58"/>
        <v>0</v>
      </c>
      <c r="X119" s="1622">
        <f t="shared" si="59"/>
        <v>5500</v>
      </c>
      <c r="Y119" s="1622">
        <f t="shared" si="60"/>
        <v>0</v>
      </c>
      <c r="AB119" s="1625" t="s">
        <v>417</v>
      </c>
      <c r="AC119" s="891">
        <v>6079119430</v>
      </c>
      <c r="AD119" s="1622">
        <f t="shared" si="61"/>
        <v>6079119.4299999997</v>
      </c>
      <c r="AG119" s="1625" t="s">
        <v>408</v>
      </c>
      <c r="AH119" s="891">
        <v>670546613</v>
      </c>
      <c r="AI119" s="891">
        <v>71950433</v>
      </c>
      <c r="AJ119" s="891">
        <v>606808370</v>
      </c>
      <c r="AK119" s="891">
        <v>63738243</v>
      </c>
      <c r="AL119" s="1622">
        <f t="shared" si="62"/>
        <v>670546.61300000001</v>
      </c>
      <c r="AM119" s="1622">
        <f t="shared" si="63"/>
        <v>71950.433000000005</v>
      </c>
      <c r="AN119" s="1622">
        <f t="shared" si="64"/>
        <v>606808.37</v>
      </c>
      <c r="AO119" s="1622">
        <f t="shared" si="65"/>
        <v>63738.243000000002</v>
      </c>
      <c r="AR119" s="1625" t="s">
        <v>419</v>
      </c>
      <c r="AS119" s="1622">
        <v>72819148</v>
      </c>
      <c r="AT119" s="1622">
        <f t="shared" si="66"/>
        <v>72819.148000000001</v>
      </c>
      <c r="AW119" s="1625" t="s">
        <v>407</v>
      </c>
      <c r="AX119" s="891">
        <v>52663000</v>
      </c>
      <c r="AY119" s="891">
        <v>9224907</v>
      </c>
      <c r="AZ119" s="891">
        <v>0</v>
      </c>
      <c r="BA119" s="891">
        <v>43438093</v>
      </c>
      <c r="BB119" s="1622">
        <f t="shared" si="67"/>
        <v>52663</v>
      </c>
      <c r="BC119" s="1622">
        <f t="shared" si="68"/>
        <v>9224.9069999999992</v>
      </c>
      <c r="BD119" s="1622">
        <f t="shared" si="69"/>
        <v>0</v>
      </c>
      <c r="BE119" s="1622">
        <f t="shared" si="70"/>
        <v>43438.093000000001</v>
      </c>
      <c r="BM119" s="1625" t="s">
        <v>407</v>
      </c>
      <c r="BN119" s="1627">
        <v>52663000</v>
      </c>
      <c r="BO119" s="1627">
        <v>0</v>
      </c>
      <c r="BP119" s="1627">
        <v>14913157</v>
      </c>
      <c r="BQ119" s="1627">
        <v>37749843</v>
      </c>
      <c r="BR119" s="1622">
        <f t="shared" si="72"/>
        <v>52663</v>
      </c>
      <c r="BS119" s="1622">
        <f t="shared" si="73"/>
        <v>0</v>
      </c>
      <c r="BT119" s="1622">
        <f t="shared" si="74"/>
        <v>14913.156999999999</v>
      </c>
      <c r="BU119" s="1622">
        <f t="shared" si="75"/>
        <v>37749.843000000001</v>
      </c>
      <c r="BX119" s="1624" t="s">
        <v>418</v>
      </c>
      <c r="BY119" s="1622">
        <v>106350132</v>
      </c>
      <c r="BZ119" s="1622">
        <f t="shared" si="76"/>
        <v>106350.132</v>
      </c>
      <c r="CC119" s="1622" t="s">
        <v>406</v>
      </c>
      <c r="CD119" s="1622">
        <v>1635482147</v>
      </c>
      <c r="CE119" s="1622">
        <v>95493770</v>
      </c>
      <c r="CF119" s="1622">
        <v>584179584</v>
      </c>
      <c r="CG119" s="1622">
        <v>1051302563</v>
      </c>
      <c r="CH119" s="1622">
        <f t="shared" si="77"/>
        <v>1635482.1470000001</v>
      </c>
      <c r="CI119" s="1622">
        <f t="shared" si="78"/>
        <v>95493.77</v>
      </c>
      <c r="CJ119" s="1622">
        <f t="shared" si="79"/>
        <v>584179.58400000003</v>
      </c>
      <c r="CK119" s="1622">
        <f t="shared" si="80"/>
        <v>1051302.5630000001</v>
      </c>
      <c r="CN119" s="1624" t="s">
        <v>417</v>
      </c>
      <c r="CO119" s="1622">
        <v>0</v>
      </c>
      <c r="CP119" s="1622">
        <f t="shared" si="81"/>
        <v>0</v>
      </c>
      <c r="CS119" s="1625" t="s">
        <v>405</v>
      </c>
      <c r="CT119" s="891">
        <v>21455656</v>
      </c>
      <c r="CU119" s="891">
        <v>9438111</v>
      </c>
      <c r="CV119" s="891">
        <v>9438111</v>
      </c>
      <c r="CW119" s="891">
        <v>12017545</v>
      </c>
      <c r="CX119" s="1622">
        <f t="shared" si="82"/>
        <v>21455.655999999999</v>
      </c>
      <c r="CY119" s="1622">
        <f t="shared" si="83"/>
        <v>9438.1110000000008</v>
      </c>
      <c r="CZ119" s="1622">
        <f t="shared" si="84"/>
        <v>9438.1110000000008</v>
      </c>
      <c r="DA119" s="1622">
        <f t="shared" si="85"/>
        <v>12017.545</v>
      </c>
      <c r="DJ119" s="1624" t="s">
        <v>405</v>
      </c>
      <c r="DK119" s="1622">
        <v>44455656</v>
      </c>
      <c r="DL119" s="1622">
        <v>9739446</v>
      </c>
      <c r="DM119" s="1622">
        <v>34716210</v>
      </c>
      <c r="DN119" s="1622">
        <v>9442420</v>
      </c>
      <c r="DO119" s="1622">
        <f t="shared" si="87"/>
        <v>44455.656000000003</v>
      </c>
      <c r="DP119" s="1622">
        <f t="shared" si="88"/>
        <v>9739.4459999999999</v>
      </c>
      <c r="DQ119" s="1622">
        <f t="shared" si="89"/>
        <v>34716.21</v>
      </c>
      <c r="DR119" s="1622">
        <f t="shared" si="90"/>
        <v>9442.42</v>
      </c>
      <c r="DV119" s="780" t="s">
        <v>929</v>
      </c>
      <c r="DW119" s="779">
        <v>0</v>
      </c>
      <c r="DX119" s="1626">
        <f t="shared" si="91"/>
        <v>0</v>
      </c>
      <c r="EA119" s="780" t="s">
        <v>405</v>
      </c>
      <c r="EB119" s="779">
        <v>38670925</v>
      </c>
      <c r="EC119" s="779">
        <v>38670925</v>
      </c>
      <c r="ED119" s="779">
        <v>38670925</v>
      </c>
      <c r="EE119" s="779">
        <v>0</v>
      </c>
      <c r="EF119" s="166">
        <f t="shared" si="92"/>
        <v>38670.925000000003</v>
      </c>
      <c r="EG119" s="166">
        <f t="shared" si="93"/>
        <v>38670.925000000003</v>
      </c>
      <c r="EH119" s="166">
        <f t="shared" si="94"/>
        <v>38670.925000000003</v>
      </c>
      <c r="EI119" s="166">
        <f t="shared" si="95"/>
        <v>0</v>
      </c>
    </row>
    <row r="120" spans="1:139" ht="15" customHeight="1" x14ac:dyDescent="0.3">
      <c r="A120" s="1625" t="s">
        <v>608</v>
      </c>
      <c r="B120" s="891">
        <v>991013</v>
      </c>
      <c r="C120" s="891">
        <v>191010</v>
      </c>
      <c r="D120" s="891">
        <v>800003</v>
      </c>
      <c r="E120" s="891">
        <v>191010</v>
      </c>
      <c r="F120" s="891">
        <f t="shared" si="52"/>
        <v>991.01300000000003</v>
      </c>
      <c r="G120" s="891">
        <f t="shared" si="53"/>
        <v>191.01</v>
      </c>
      <c r="H120" s="891">
        <f t="shared" si="54"/>
        <v>800.00300000000004</v>
      </c>
      <c r="I120" s="891">
        <f t="shared" si="55"/>
        <v>191.01</v>
      </c>
      <c r="Q120" s="1625" t="s">
        <v>608</v>
      </c>
      <c r="R120" s="891">
        <v>1665050</v>
      </c>
      <c r="S120" s="891">
        <v>865047</v>
      </c>
      <c r="T120" s="891">
        <v>800003</v>
      </c>
      <c r="U120" s="891">
        <v>840047</v>
      </c>
      <c r="V120" s="1622">
        <f t="shared" si="57"/>
        <v>1665.05</v>
      </c>
      <c r="W120" s="1622">
        <f t="shared" si="58"/>
        <v>865.04700000000003</v>
      </c>
      <c r="X120" s="1622">
        <f t="shared" si="59"/>
        <v>800.00300000000004</v>
      </c>
      <c r="Y120" s="1622">
        <f t="shared" si="60"/>
        <v>840.04700000000003</v>
      </c>
      <c r="AB120" s="1625" t="s">
        <v>418</v>
      </c>
      <c r="AC120" s="891">
        <v>6079119430</v>
      </c>
      <c r="AD120" s="1622">
        <f t="shared" si="61"/>
        <v>6079119.4299999997</v>
      </c>
      <c r="AG120" s="1625" t="s">
        <v>409</v>
      </c>
      <c r="AH120" s="891">
        <v>5500000</v>
      </c>
      <c r="AI120" s="891">
        <v>0</v>
      </c>
      <c r="AJ120" s="891">
        <v>0</v>
      </c>
      <c r="AK120" s="891">
        <v>5500000</v>
      </c>
      <c r="AL120" s="1622">
        <f t="shared" si="62"/>
        <v>5500</v>
      </c>
      <c r="AM120" s="1622">
        <f t="shared" si="63"/>
        <v>0</v>
      </c>
      <c r="AN120" s="1622">
        <f t="shared" si="64"/>
        <v>0</v>
      </c>
      <c r="AO120" s="1622">
        <f t="shared" si="65"/>
        <v>5500</v>
      </c>
      <c r="AR120" s="1625" t="s">
        <v>420</v>
      </c>
      <c r="AS120" s="1622">
        <v>0</v>
      </c>
      <c r="AT120" s="1622">
        <v>0</v>
      </c>
      <c r="AW120" s="1625" t="s">
        <v>408</v>
      </c>
      <c r="AX120" s="891">
        <v>687281445</v>
      </c>
      <c r="AY120" s="891">
        <v>606808370</v>
      </c>
      <c r="AZ120" s="891">
        <v>71950433</v>
      </c>
      <c r="BA120" s="891">
        <v>80473075</v>
      </c>
      <c r="BB120" s="1622">
        <f t="shared" si="67"/>
        <v>687281.44499999995</v>
      </c>
      <c r="BC120" s="1622">
        <f t="shared" si="68"/>
        <v>606808.37</v>
      </c>
      <c r="BD120" s="1622">
        <f t="shared" si="69"/>
        <v>71950.433000000005</v>
      </c>
      <c r="BE120" s="1622">
        <f t="shared" si="70"/>
        <v>80473.074999999997</v>
      </c>
      <c r="BM120" s="1625" t="s">
        <v>408</v>
      </c>
      <c r="BN120" s="1627">
        <v>988984989</v>
      </c>
      <c r="BO120" s="1627">
        <v>71950433</v>
      </c>
      <c r="BP120" s="1627">
        <v>658158370</v>
      </c>
      <c r="BQ120" s="1627">
        <v>330826619</v>
      </c>
      <c r="BR120" s="1622">
        <f t="shared" si="72"/>
        <v>988984.98899999994</v>
      </c>
      <c r="BS120" s="1622">
        <f t="shared" si="73"/>
        <v>71950.433000000005</v>
      </c>
      <c r="BT120" s="1622">
        <f t="shared" si="74"/>
        <v>658158.37</v>
      </c>
      <c r="BU120" s="1622">
        <f t="shared" si="75"/>
        <v>330826.61900000001</v>
      </c>
      <c r="BX120" s="1624" t="s">
        <v>419</v>
      </c>
      <c r="BY120" s="1622">
        <v>19660196</v>
      </c>
      <c r="BZ120" s="1622">
        <f t="shared" si="76"/>
        <v>19660.196</v>
      </c>
      <c r="CC120" s="1622" t="s">
        <v>407</v>
      </c>
      <c r="CD120" s="1622">
        <v>52663000</v>
      </c>
      <c r="CE120" s="1622">
        <v>0</v>
      </c>
      <c r="CF120" s="1622">
        <v>16413157</v>
      </c>
      <c r="CG120" s="1622">
        <v>36249843</v>
      </c>
      <c r="CH120" s="1622">
        <f t="shared" si="77"/>
        <v>52663</v>
      </c>
      <c r="CI120" s="1622">
        <f t="shared" si="78"/>
        <v>0</v>
      </c>
      <c r="CJ120" s="1622">
        <f t="shared" si="79"/>
        <v>16413.156999999999</v>
      </c>
      <c r="CK120" s="1622">
        <f t="shared" si="80"/>
        <v>36249.843000000001</v>
      </c>
      <c r="CN120" s="1624" t="s">
        <v>418</v>
      </c>
      <c r="CO120" s="1622">
        <v>0</v>
      </c>
      <c r="CP120" s="1622">
        <f t="shared" si="81"/>
        <v>0</v>
      </c>
      <c r="CS120" s="1625" t="s">
        <v>607</v>
      </c>
      <c r="CT120" s="891">
        <v>2896049500</v>
      </c>
      <c r="CU120" s="891">
        <v>419264990</v>
      </c>
      <c r="CV120" s="891">
        <v>1319942762</v>
      </c>
      <c r="CW120" s="891">
        <v>1576106738</v>
      </c>
      <c r="CX120" s="1622">
        <f t="shared" si="82"/>
        <v>2896049.5</v>
      </c>
      <c r="CY120" s="1622">
        <f t="shared" si="83"/>
        <v>419264.99</v>
      </c>
      <c r="CZ120" s="1622">
        <f t="shared" si="84"/>
        <v>1319942.7620000001</v>
      </c>
      <c r="DA120" s="1622">
        <f t="shared" si="85"/>
        <v>1576106.7379999999</v>
      </c>
      <c r="DJ120" s="1624" t="s">
        <v>607</v>
      </c>
      <c r="DK120" s="1622">
        <v>2814683035</v>
      </c>
      <c r="DL120" s="1622">
        <v>1646088729</v>
      </c>
      <c r="DM120" s="1622">
        <v>1168594306</v>
      </c>
      <c r="DN120" s="1622">
        <v>878326044</v>
      </c>
      <c r="DO120" s="1622">
        <f t="shared" si="87"/>
        <v>2814683.0350000001</v>
      </c>
      <c r="DP120" s="1622">
        <f t="shared" si="88"/>
        <v>1646088.7290000001</v>
      </c>
      <c r="DQ120" s="1622">
        <f t="shared" si="89"/>
        <v>1168594.3060000001</v>
      </c>
      <c r="DR120" s="1622">
        <f t="shared" si="90"/>
        <v>878326.04399999999</v>
      </c>
      <c r="DV120" s="780" t="s">
        <v>415</v>
      </c>
      <c r="DW120" s="779">
        <v>68491094</v>
      </c>
      <c r="DX120" s="1626">
        <f t="shared" si="91"/>
        <v>68491.093999999997</v>
      </c>
      <c r="EA120" s="780" t="s">
        <v>607</v>
      </c>
      <c r="EB120" s="779">
        <v>2594026561</v>
      </c>
      <c r="EC120" s="779">
        <v>1021092762</v>
      </c>
      <c r="ED120" s="779">
        <v>1993009417</v>
      </c>
      <c r="EE120" s="779">
        <v>601017144</v>
      </c>
      <c r="EF120" s="166">
        <f t="shared" si="92"/>
        <v>2594026.5610000002</v>
      </c>
      <c r="EG120" s="166">
        <f t="shared" si="93"/>
        <v>1021092.762</v>
      </c>
      <c r="EH120" s="166">
        <f t="shared" si="94"/>
        <v>1993009.4169999999</v>
      </c>
      <c r="EI120" s="166">
        <f t="shared" si="95"/>
        <v>601017.14399999997</v>
      </c>
    </row>
    <row r="121" spans="1:139" ht="15" customHeight="1" x14ac:dyDescent="0.3">
      <c r="A121" s="1625" t="s">
        <v>410</v>
      </c>
      <c r="B121" s="891">
        <v>991011</v>
      </c>
      <c r="C121" s="891">
        <v>191010</v>
      </c>
      <c r="D121" s="891">
        <v>800001</v>
      </c>
      <c r="E121" s="891">
        <v>191010</v>
      </c>
      <c r="F121" s="891">
        <f t="shared" si="52"/>
        <v>991.01099999999997</v>
      </c>
      <c r="G121" s="891">
        <f t="shared" si="53"/>
        <v>191.01</v>
      </c>
      <c r="H121" s="891">
        <f t="shared" si="54"/>
        <v>800.00099999999998</v>
      </c>
      <c r="I121" s="891">
        <f t="shared" si="55"/>
        <v>191.01</v>
      </c>
      <c r="Q121" s="1625" t="s">
        <v>410</v>
      </c>
      <c r="R121" s="891">
        <v>1665048</v>
      </c>
      <c r="S121" s="891">
        <v>865047</v>
      </c>
      <c r="T121" s="891">
        <v>800001</v>
      </c>
      <c r="U121" s="891">
        <v>840047</v>
      </c>
      <c r="V121" s="1622">
        <f t="shared" si="57"/>
        <v>1665.048</v>
      </c>
      <c r="W121" s="1622">
        <f t="shared" si="58"/>
        <v>865.04700000000003</v>
      </c>
      <c r="X121" s="1622">
        <f t="shared" si="59"/>
        <v>800.00099999999998</v>
      </c>
      <c r="Y121" s="1622">
        <f t="shared" si="60"/>
        <v>840.04700000000003</v>
      </c>
      <c r="AB121" s="1625" t="s">
        <v>419</v>
      </c>
      <c r="AC121" s="891">
        <v>964386511</v>
      </c>
      <c r="AD121" s="1622">
        <f t="shared" si="61"/>
        <v>964386.51100000006</v>
      </c>
      <c r="AG121" s="1625" t="s">
        <v>608</v>
      </c>
      <c r="AH121" s="891">
        <v>16099607</v>
      </c>
      <c r="AI121" s="891">
        <v>1046025</v>
      </c>
      <c r="AJ121" s="891">
        <v>6895145</v>
      </c>
      <c r="AK121" s="891">
        <v>9204462</v>
      </c>
      <c r="AL121" s="1622">
        <f t="shared" si="62"/>
        <v>16099.607</v>
      </c>
      <c r="AM121" s="1622">
        <f t="shared" si="63"/>
        <v>1046.0250000000001</v>
      </c>
      <c r="AN121" s="1622">
        <f t="shared" si="64"/>
        <v>6895.1450000000004</v>
      </c>
      <c r="AO121" s="1622">
        <f t="shared" si="65"/>
        <v>9204.4619999999995</v>
      </c>
      <c r="AR121" s="1625" t="s">
        <v>621</v>
      </c>
      <c r="AS121" s="1622">
        <v>0</v>
      </c>
      <c r="AT121" s="1622">
        <v>0</v>
      </c>
      <c r="AW121" s="1625" t="s">
        <v>409</v>
      </c>
      <c r="AX121" s="891">
        <v>5500000</v>
      </c>
      <c r="AY121" s="891">
        <v>0</v>
      </c>
      <c r="AZ121" s="891">
        <v>0</v>
      </c>
      <c r="BA121" s="891">
        <v>5500000</v>
      </c>
      <c r="BB121" s="1622">
        <f t="shared" si="67"/>
        <v>5500</v>
      </c>
      <c r="BC121" s="1622">
        <f t="shared" si="68"/>
        <v>0</v>
      </c>
      <c r="BD121" s="1622">
        <f t="shared" si="69"/>
        <v>0</v>
      </c>
      <c r="BE121" s="1622">
        <f t="shared" si="70"/>
        <v>5500</v>
      </c>
      <c r="BM121" s="1625" t="s">
        <v>409</v>
      </c>
      <c r="BN121" s="1627">
        <v>68500000</v>
      </c>
      <c r="BO121" s="1627">
        <v>0</v>
      </c>
      <c r="BP121" s="1627">
        <v>0</v>
      </c>
      <c r="BQ121" s="1627">
        <v>68500000</v>
      </c>
      <c r="BR121" s="1622">
        <f t="shared" si="72"/>
        <v>68500</v>
      </c>
      <c r="BS121" s="1622">
        <f t="shared" si="73"/>
        <v>0</v>
      </c>
      <c r="BT121" s="1622">
        <f t="shared" si="74"/>
        <v>0</v>
      </c>
      <c r="BU121" s="1622">
        <f t="shared" si="75"/>
        <v>68500</v>
      </c>
      <c r="BX121" s="1624" t="s">
        <v>420</v>
      </c>
      <c r="BY121" s="1622">
        <v>19660196</v>
      </c>
      <c r="BZ121" s="1622">
        <f t="shared" si="76"/>
        <v>19660.196</v>
      </c>
      <c r="CC121" s="1622" t="s">
        <v>408</v>
      </c>
      <c r="CD121" s="1622">
        <v>986406405</v>
      </c>
      <c r="CE121" s="1622">
        <v>157617530</v>
      </c>
      <c r="CF121" s="1622">
        <v>758939521</v>
      </c>
      <c r="CG121" s="1622">
        <v>227466884</v>
      </c>
      <c r="CH121" s="1622">
        <f t="shared" si="77"/>
        <v>986406.40500000003</v>
      </c>
      <c r="CI121" s="1622">
        <f t="shared" si="78"/>
        <v>157617.53</v>
      </c>
      <c r="CJ121" s="1622">
        <f t="shared" si="79"/>
        <v>758939.52099999995</v>
      </c>
      <c r="CK121" s="1622">
        <f t="shared" si="80"/>
        <v>227466.88399999999</v>
      </c>
      <c r="CN121" s="1624" t="s">
        <v>419</v>
      </c>
      <c r="CO121" s="1622">
        <v>799662796</v>
      </c>
      <c r="CP121" s="1622">
        <f t="shared" si="81"/>
        <v>799662.79599999997</v>
      </c>
      <c r="CS121" s="1625" t="s">
        <v>406</v>
      </c>
      <c r="CT121" s="891">
        <v>1563776340</v>
      </c>
      <c r="CU121" s="891">
        <v>174993770</v>
      </c>
      <c r="CV121" s="891">
        <v>524179584</v>
      </c>
      <c r="CW121" s="891">
        <v>1039596756</v>
      </c>
      <c r="CX121" s="1622">
        <f t="shared" si="82"/>
        <v>1563776.34</v>
      </c>
      <c r="CY121" s="1622">
        <f t="shared" si="83"/>
        <v>174993.77</v>
      </c>
      <c r="CZ121" s="1622">
        <f t="shared" si="84"/>
        <v>524179.58399999997</v>
      </c>
      <c r="DA121" s="1622">
        <f t="shared" si="85"/>
        <v>1039596.7560000001</v>
      </c>
      <c r="DJ121" s="1624" t="s">
        <v>406</v>
      </c>
      <c r="DK121" s="1622">
        <v>1556691516</v>
      </c>
      <c r="DL121" s="1622">
        <v>668191917</v>
      </c>
      <c r="DM121" s="1622">
        <v>888499599</v>
      </c>
      <c r="DN121" s="1622">
        <v>315381437</v>
      </c>
      <c r="DO121" s="1622">
        <f t="shared" si="87"/>
        <v>1556691.5160000001</v>
      </c>
      <c r="DP121" s="1622">
        <f t="shared" si="88"/>
        <v>668191.91700000002</v>
      </c>
      <c r="DQ121" s="1622">
        <f t="shared" si="89"/>
        <v>888499.59900000005</v>
      </c>
      <c r="DR121" s="1622">
        <f t="shared" si="90"/>
        <v>315381.43699999998</v>
      </c>
      <c r="DV121" s="780" t="s">
        <v>620</v>
      </c>
      <c r="DW121" s="779">
        <v>68491094</v>
      </c>
      <c r="DX121" s="1626">
        <f t="shared" si="91"/>
        <v>68491.093999999997</v>
      </c>
      <c r="EA121" s="780" t="s">
        <v>406</v>
      </c>
      <c r="EB121" s="779">
        <v>999803499</v>
      </c>
      <c r="EC121" s="779">
        <v>364787590</v>
      </c>
      <c r="ED121" s="779">
        <v>577226917</v>
      </c>
      <c r="EE121" s="779">
        <v>422576582</v>
      </c>
      <c r="EF121" s="166">
        <f t="shared" si="92"/>
        <v>999803.49899999995</v>
      </c>
      <c r="EG121" s="166">
        <f t="shared" si="93"/>
        <v>364787.59</v>
      </c>
      <c r="EH121" s="166">
        <f t="shared" si="94"/>
        <v>577226.91700000002</v>
      </c>
      <c r="EI121" s="166">
        <f t="shared" si="95"/>
        <v>422576.58199999999</v>
      </c>
    </row>
    <row r="122" spans="1:139" ht="15" customHeight="1" x14ac:dyDescent="0.3">
      <c r="A122" s="1625" t="s">
        <v>609</v>
      </c>
      <c r="B122" s="891">
        <v>1</v>
      </c>
      <c r="C122" s="891">
        <v>0</v>
      </c>
      <c r="D122" s="891">
        <v>1</v>
      </c>
      <c r="E122" s="891">
        <v>0</v>
      </c>
      <c r="F122" s="891">
        <f t="shared" si="52"/>
        <v>1E-3</v>
      </c>
      <c r="G122" s="891">
        <f t="shared" si="53"/>
        <v>0</v>
      </c>
      <c r="H122" s="891">
        <f t="shared" si="54"/>
        <v>1E-3</v>
      </c>
      <c r="I122" s="891">
        <f t="shared" si="55"/>
        <v>0</v>
      </c>
      <c r="Q122" s="1625" t="s">
        <v>609</v>
      </c>
      <c r="R122" s="891">
        <v>1</v>
      </c>
      <c r="S122" s="891">
        <v>0</v>
      </c>
      <c r="T122" s="891">
        <v>1</v>
      </c>
      <c r="U122" s="891">
        <v>0</v>
      </c>
      <c r="V122" s="1622">
        <f t="shared" si="57"/>
        <v>1E-3</v>
      </c>
      <c r="W122" s="1622">
        <f t="shared" si="58"/>
        <v>0</v>
      </c>
      <c r="X122" s="1622">
        <f t="shared" si="59"/>
        <v>1E-3</v>
      </c>
      <c r="Y122" s="1622">
        <f t="shared" si="60"/>
        <v>0</v>
      </c>
      <c r="AB122" s="1625" t="s">
        <v>420</v>
      </c>
      <c r="AC122" s="891">
        <v>964386511</v>
      </c>
      <c r="AD122" s="1622">
        <f t="shared" si="61"/>
        <v>964386.51100000006</v>
      </c>
      <c r="AG122" s="1625" t="s">
        <v>410</v>
      </c>
      <c r="AH122" s="891">
        <v>1943137</v>
      </c>
      <c r="AI122" s="891">
        <v>1046025</v>
      </c>
      <c r="AJ122" s="891">
        <v>1361645</v>
      </c>
      <c r="AK122" s="891">
        <v>581492</v>
      </c>
      <c r="AL122" s="1622">
        <f t="shared" si="62"/>
        <v>1943.1369999999999</v>
      </c>
      <c r="AM122" s="1622">
        <f t="shared" si="63"/>
        <v>1046.0250000000001</v>
      </c>
      <c r="AN122" s="1622">
        <f t="shared" si="64"/>
        <v>1361.645</v>
      </c>
      <c r="AO122" s="1622">
        <f t="shared" si="65"/>
        <v>581.49199999999996</v>
      </c>
      <c r="AS122" s="1626"/>
      <c r="AT122" s="1626"/>
      <c r="AW122" s="1625" t="s">
        <v>608</v>
      </c>
      <c r="AX122" s="891">
        <v>8549555</v>
      </c>
      <c r="AY122" s="891">
        <v>8066745</v>
      </c>
      <c r="AZ122" s="891">
        <v>8027745</v>
      </c>
      <c r="BA122" s="891">
        <v>482810</v>
      </c>
      <c r="BB122" s="1622">
        <f t="shared" si="67"/>
        <v>8549.5550000000003</v>
      </c>
      <c r="BC122" s="1622">
        <f t="shared" si="68"/>
        <v>8066.7449999999999</v>
      </c>
      <c r="BD122" s="1622">
        <f t="shared" si="69"/>
        <v>8027.7449999999999</v>
      </c>
      <c r="BE122" s="1622">
        <f t="shared" si="70"/>
        <v>482.81</v>
      </c>
      <c r="BM122" s="1625" t="s">
        <v>608</v>
      </c>
      <c r="BN122" s="1627">
        <v>9647791</v>
      </c>
      <c r="BO122" s="1627">
        <v>9572454</v>
      </c>
      <c r="BP122" s="1627">
        <v>9572454</v>
      </c>
      <c r="BQ122" s="1627">
        <v>75337</v>
      </c>
      <c r="BR122" s="1622">
        <f t="shared" si="72"/>
        <v>9647.7909999999993</v>
      </c>
      <c r="BS122" s="1622">
        <f t="shared" si="73"/>
        <v>9572.4539999999997</v>
      </c>
      <c r="BT122" s="1622">
        <f t="shared" si="74"/>
        <v>9572.4539999999997</v>
      </c>
      <c r="BU122" s="1622">
        <f t="shared" si="75"/>
        <v>75.337000000000003</v>
      </c>
      <c r="BX122" s="1624" t="s">
        <v>621</v>
      </c>
      <c r="BY122" s="1622">
        <v>19660196</v>
      </c>
      <c r="BZ122" s="1622">
        <f t="shared" si="76"/>
        <v>19660.196</v>
      </c>
      <c r="CC122" s="1622" t="s">
        <v>409</v>
      </c>
      <c r="CD122" s="1622">
        <v>73500000</v>
      </c>
      <c r="CE122" s="1622">
        <v>0</v>
      </c>
      <c r="CF122" s="1622">
        <v>2900000</v>
      </c>
      <c r="CG122" s="1622">
        <v>70600000</v>
      </c>
      <c r="CH122" s="1622">
        <f t="shared" si="77"/>
        <v>73500</v>
      </c>
      <c r="CI122" s="1622">
        <f t="shared" si="78"/>
        <v>0</v>
      </c>
      <c r="CJ122" s="1622">
        <f t="shared" si="79"/>
        <v>2900</v>
      </c>
      <c r="CK122" s="1622">
        <f t="shared" si="80"/>
        <v>70600</v>
      </c>
      <c r="CN122" s="1624" t="s">
        <v>420</v>
      </c>
      <c r="CO122" s="1622">
        <v>799662796</v>
      </c>
      <c r="CP122" s="1622">
        <f t="shared" si="81"/>
        <v>799662.79599999997</v>
      </c>
      <c r="CS122" s="1625" t="s">
        <v>407</v>
      </c>
      <c r="CT122" s="891">
        <v>52663000</v>
      </c>
      <c r="CU122" s="891">
        <v>1547000</v>
      </c>
      <c r="CV122" s="891">
        <v>17308157</v>
      </c>
      <c r="CW122" s="891">
        <v>35354843</v>
      </c>
      <c r="CX122" s="1622">
        <f t="shared" si="82"/>
        <v>52663</v>
      </c>
      <c r="CY122" s="1622">
        <f t="shared" si="83"/>
        <v>1547</v>
      </c>
      <c r="CZ122" s="1622">
        <f t="shared" si="84"/>
        <v>17308.156999999999</v>
      </c>
      <c r="DA122" s="1622">
        <f t="shared" si="85"/>
        <v>35354.843000000001</v>
      </c>
      <c r="DJ122" s="1624" t="s">
        <v>407</v>
      </c>
      <c r="DK122" s="1622">
        <v>52663000</v>
      </c>
      <c r="DL122" s="1622">
        <v>29725657</v>
      </c>
      <c r="DM122" s="1622">
        <v>22937343</v>
      </c>
      <c r="DN122" s="1622">
        <v>1547000</v>
      </c>
      <c r="DO122" s="1622">
        <f t="shared" si="87"/>
        <v>52663</v>
      </c>
      <c r="DP122" s="1622">
        <f t="shared" si="88"/>
        <v>29725.656999999999</v>
      </c>
      <c r="DQ122" s="1622">
        <f t="shared" si="89"/>
        <v>22937.343000000001</v>
      </c>
      <c r="DR122" s="1622">
        <f t="shared" si="90"/>
        <v>1547</v>
      </c>
      <c r="DV122" s="780" t="s">
        <v>416</v>
      </c>
      <c r="DW122" s="779">
        <v>6775929672</v>
      </c>
      <c r="DX122" s="1626">
        <f t="shared" si="91"/>
        <v>6775929.6720000003</v>
      </c>
      <c r="EA122" s="780" t="s">
        <v>407</v>
      </c>
      <c r="EB122" s="779">
        <v>52663000</v>
      </c>
      <c r="EC122" s="779">
        <v>5647000</v>
      </c>
      <c r="ED122" s="779">
        <v>31957673</v>
      </c>
      <c r="EE122" s="779">
        <v>20705327</v>
      </c>
      <c r="EF122" s="166">
        <f t="shared" si="92"/>
        <v>52663</v>
      </c>
      <c r="EG122" s="166">
        <f t="shared" si="93"/>
        <v>5647</v>
      </c>
      <c r="EH122" s="166">
        <f t="shared" si="94"/>
        <v>31957.672999999999</v>
      </c>
      <c r="EI122" s="166">
        <f t="shared" si="95"/>
        <v>20705.327000000001</v>
      </c>
    </row>
    <row r="123" spans="1:139" ht="15" customHeight="1" x14ac:dyDescent="0.3">
      <c r="A123" s="1625" t="s">
        <v>411</v>
      </c>
      <c r="B123" s="891">
        <v>1</v>
      </c>
      <c r="C123" s="891">
        <v>0</v>
      </c>
      <c r="D123" s="891">
        <v>1</v>
      </c>
      <c r="E123" s="891">
        <v>0</v>
      </c>
      <c r="F123" s="891">
        <f t="shared" si="52"/>
        <v>1E-3</v>
      </c>
      <c r="G123" s="891">
        <f t="shared" si="53"/>
        <v>0</v>
      </c>
      <c r="H123" s="891">
        <f t="shared" si="54"/>
        <v>1E-3</v>
      </c>
      <c r="I123" s="891">
        <f t="shared" si="55"/>
        <v>0</v>
      </c>
      <c r="Q123" s="1625" t="s">
        <v>411</v>
      </c>
      <c r="R123" s="891">
        <v>1</v>
      </c>
      <c r="S123" s="891">
        <v>0</v>
      </c>
      <c r="T123" s="891">
        <v>1</v>
      </c>
      <c r="U123" s="891">
        <v>0</v>
      </c>
      <c r="V123" s="1622">
        <f t="shared" si="57"/>
        <v>1E-3</v>
      </c>
      <c r="W123" s="1622">
        <f t="shared" si="58"/>
        <v>0</v>
      </c>
      <c r="X123" s="1622">
        <f t="shared" si="59"/>
        <v>1E-3</v>
      </c>
      <c r="Y123" s="1622">
        <f t="shared" si="60"/>
        <v>0</v>
      </c>
      <c r="AB123" s="1625" t="s">
        <v>621</v>
      </c>
      <c r="AC123" s="891">
        <v>964386511</v>
      </c>
      <c r="AD123" s="1622">
        <f t="shared" si="61"/>
        <v>964386.51100000006</v>
      </c>
      <c r="AG123" s="1625" t="s">
        <v>609</v>
      </c>
      <c r="AH123" s="891">
        <v>5533500</v>
      </c>
      <c r="AI123" s="891">
        <v>0</v>
      </c>
      <c r="AJ123" s="891">
        <v>5533500</v>
      </c>
      <c r="AK123" s="891">
        <v>0</v>
      </c>
      <c r="AL123" s="1622">
        <f t="shared" si="62"/>
        <v>5533.5</v>
      </c>
      <c r="AM123" s="1622">
        <f t="shared" si="63"/>
        <v>0</v>
      </c>
      <c r="AN123" s="1622">
        <f t="shared" si="64"/>
        <v>5533.5</v>
      </c>
      <c r="AO123" s="1622">
        <f t="shared" si="65"/>
        <v>0</v>
      </c>
      <c r="AW123" s="1625" t="s">
        <v>410</v>
      </c>
      <c r="AX123" s="891">
        <v>2974107</v>
      </c>
      <c r="AY123" s="891">
        <v>2533245</v>
      </c>
      <c r="AZ123" s="891">
        <v>2494245</v>
      </c>
      <c r="BA123" s="891">
        <v>440862</v>
      </c>
      <c r="BB123" s="1622">
        <f t="shared" si="67"/>
        <v>2974.107</v>
      </c>
      <c r="BC123" s="1622">
        <f t="shared" si="68"/>
        <v>2533.2449999999999</v>
      </c>
      <c r="BD123" s="1622">
        <f t="shared" si="69"/>
        <v>2494.2449999999999</v>
      </c>
      <c r="BE123" s="1622">
        <f t="shared" si="70"/>
        <v>440.86200000000002</v>
      </c>
      <c r="BM123" s="1625" t="s">
        <v>410</v>
      </c>
      <c r="BN123" s="1627">
        <v>4111943</v>
      </c>
      <c r="BO123" s="1627">
        <v>4038954</v>
      </c>
      <c r="BP123" s="1627">
        <v>4038954</v>
      </c>
      <c r="BQ123" s="1627">
        <v>72989</v>
      </c>
      <c r="BR123" s="1622">
        <f t="shared" si="72"/>
        <v>4111.9430000000002</v>
      </c>
      <c r="BS123" s="1622">
        <f t="shared" si="73"/>
        <v>4038.9540000000002</v>
      </c>
      <c r="BT123" s="1622">
        <f t="shared" si="74"/>
        <v>4038.9540000000002</v>
      </c>
      <c r="BU123" s="1622">
        <f t="shared" si="75"/>
        <v>72.989000000000004</v>
      </c>
      <c r="CC123" s="1622" t="s">
        <v>608</v>
      </c>
      <c r="CD123" s="1622">
        <v>12373115</v>
      </c>
      <c r="CE123" s="1622">
        <v>10628280</v>
      </c>
      <c r="CF123" s="1622">
        <v>10628280</v>
      </c>
      <c r="CG123" s="1622">
        <v>1744835</v>
      </c>
      <c r="CH123" s="1622">
        <f t="shared" si="77"/>
        <v>12373.115</v>
      </c>
      <c r="CI123" s="1622">
        <f t="shared" si="78"/>
        <v>10628.28</v>
      </c>
      <c r="CJ123" s="1622">
        <f t="shared" si="79"/>
        <v>10628.28</v>
      </c>
      <c r="CK123" s="1622">
        <f t="shared" si="80"/>
        <v>1744.835</v>
      </c>
      <c r="CN123" s="1624" t="s">
        <v>621</v>
      </c>
      <c r="CO123" s="1622">
        <v>799662796</v>
      </c>
      <c r="CP123" s="1622">
        <f t="shared" si="81"/>
        <v>799662.79599999997</v>
      </c>
      <c r="CS123" s="1625" t="s">
        <v>408</v>
      </c>
      <c r="CT123" s="891">
        <v>1208210160</v>
      </c>
      <c r="CU123" s="891">
        <v>242724220</v>
      </c>
      <c r="CV123" s="891">
        <v>775555021</v>
      </c>
      <c r="CW123" s="891">
        <v>432655139</v>
      </c>
      <c r="CX123" s="1622">
        <f t="shared" si="82"/>
        <v>1208210.1599999999</v>
      </c>
      <c r="CY123" s="1622">
        <f t="shared" si="83"/>
        <v>242724.22</v>
      </c>
      <c r="CZ123" s="1622">
        <f t="shared" si="84"/>
        <v>775555.02099999995</v>
      </c>
      <c r="DA123" s="1622">
        <f t="shared" si="85"/>
        <v>432655.13900000002</v>
      </c>
      <c r="DJ123" s="1624" t="s">
        <v>408</v>
      </c>
      <c r="DK123" s="1622">
        <v>1127928519</v>
      </c>
      <c r="DL123" s="1622">
        <v>918866245</v>
      </c>
      <c r="DM123" s="1622">
        <v>209062274</v>
      </c>
      <c r="DN123" s="1622">
        <v>549078697</v>
      </c>
      <c r="DO123" s="1622">
        <f t="shared" si="87"/>
        <v>1127928.5190000001</v>
      </c>
      <c r="DP123" s="1622">
        <f t="shared" si="88"/>
        <v>918866.245</v>
      </c>
      <c r="DQ123" s="1622">
        <f t="shared" si="89"/>
        <v>209062.274</v>
      </c>
      <c r="DR123" s="1622">
        <f t="shared" si="90"/>
        <v>549078.69700000004</v>
      </c>
      <c r="DV123" s="780" t="s">
        <v>417</v>
      </c>
      <c r="DW123" s="779">
        <v>6721344085</v>
      </c>
      <c r="DX123" s="1626">
        <f t="shared" si="91"/>
        <v>6721344.085</v>
      </c>
      <c r="EA123" s="780" t="s">
        <v>408</v>
      </c>
      <c r="EB123" s="779">
        <v>1419554417</v>
      </c>
      <c r="EC123" s="779">
        <v>638339262</v>
      </c>
      <c r="ED123" s="779">
        <v>1354519917</v>
      </c>
      <c r="EE123" s="779">
        <v>65034500</v>
      </c>
      <c r="EF123" s="166">
        <f t="shared" si="92"/>
        <v>1419554.4169999999</v>
      </c>
      <c r="EG123" s="166">
        <f t="shared" si="93"/>
        <v>638339.26199999999</v>
      </c>
      <c r="EH123" s="166">
        <f t="shared" si="94"/>
        <v>1354519.9169999999</v>
      </c>
      <c r="EI123" s="166">
        <f t="shared" si="95"/>
        <v>65034.5</v>
      </c>
    </row>
    <row r="124" spans="1:139" ht="15" customHeight="1" x14ac:dyDescent="0.3">
      <c r="A124" s="1625" t="s">
        <v>610</v>
      </c>
      <c r="B124" s="891">
        <v>10000</v>
      </c>
      <c r="C124" s="891">
        <v>0</v>
      </c>
      <c r="D124" s="891">
        <v>10000</v>
      </c>
      <c r="E124" s="891">
        <v>0</v>
      </c>
      <c r="F124" s="891">
        <f t="shared" si="52"/>
        <v>10</v>
      </c>
      <c r="G124" s="891">
        <f t="shared" si="53"/>
        <v>0</v>
      </c>
      <c r="H124" s="891">
        <f t="shared" si="54"/>
        <v>10</v>
      </c>
      <c r="I124" s="891">
        <f t="shared" si="55"/>
        <v>0</v>
      </c>
      <c r="Q124" s="1625" t="s">
        <v>610</v>
      </c>
      <c r="R124" s="891">
        <v>10000</v>
      </c>
      <c r="S124" s="891">
        <v>0</v>
      </c>
      <c r="T124" s="891">
        <v>10000</v>
      </c>
      <c r="U124" s="891">
        <v>0</v>
      </c>
      <c r="V124" s="1622">
        <f t="shared" si="57"/>
        <v>10</v>
      </c>
      <c r="W124" s="1622">
        <f t="shared" si="58"/>
        <v>0</v>
      </c>
      <c r="X124" s="1622">
        <f t="shared" si="59"/>
        <v>10</v>
      </c>
      <c r="Y124" s="1622">
        <f t="shared" si="60"/>
        <v>0</v>
      </c>
      <c r="AB124" s="1625" t="s">
        <v>422</v>
      </c>
      <c r="AC124" s="891">
        <v>0</v>
      </c>
      <c r="AD124" s="1622">
        <f t="shared" si="61"/>
        <v>0</v>
      </c>
      <c r="AG124" s="1625" t="s">
        <v>411</v>
      </c>
      <c r="AH124" s="891">
        <v>8622970</v>
      </c>
      <c r="AI124" s="891">
        <v>0</v>
      </c>
      <c r="AJ124" s="891">
        <v>0</v>
      </c>
      <c r="AK124" s="891">
        <v>8622970</v>
      </c>
      <c r="AL124" s="1622">
        <f t="shared" si="62"/>
        <v>8622.9699999999993</v>
      </c>
      <c r="AM124" s="1622">
        <f t="shared" si="63"/>
        <v>0</v>
      </c>
      <c r="AN124" s="1622">
        <f t="shared" si="64"/>
        <v>0</v>
      </c>
      <c r="AO124" s="1622">
        <f t="shared" si="65"/>
        <v>8622.9699999999993</v>
      </c>
      <c r="AW124" s="1625" t="s">
        <v>609</v>
      </c>
      <c r="AX124" s="891">
        <v>5533500</v>
      </c>
      <c r="AY124" s="891">
        <v>5533500</v>
      </c>
      <c r="AZ124" s="891">
        <v>5533500</v>
      </c>
      <c r="BA124" s="891">
        <v>0</v>
      </c>
      <c r="BB124" s="1622">
        <f t="shared" si="67"/>
        <v>5533.5</v>
      </c>
      <c r="BC124" s="1622">
        <f t="shared" si="68"/>
        <v>5533.5</v>
      </c>
      <c r="BD124" s="1622">
        <f t="shared" si="69"/>
        <v>5533.5</v>
      </c>
      <c r="BE124" s="1622">
        <f t="shared" si="70"/>
        <v>0</v>
      </c>
      <c r="BM124" s="1625" t="s">
        <v>609</v>
      </c>
      <c r="BN124" s="1627">
        <v>5533500</v>
      </c>
      <c r="BO124" s="1627">
        <v>5533500</v>
      </c>
      <c r="BP124" s="1627">
        <v>5533500</v>
      </c>
      <c r="BQ124" s="1627">
        <v>0</v>
      </c>
      <c r="BR124" s="1622">
        <f t="shared" si="72"/>
        <v>5533.5</v>
      </c>
      <c r="BS124" s="1622">
        <f t="shared" si="73"/>
        <v>5533.5</v>
      </c>
      <c r="BT124" s="1622">
        <f t="shared" si="74"/>
        <v>5533.5</v>
      </c>
      <c r="BU124" s="1622">
        <f t="shared" si="75"/>
        <v>0</v>
      </c>
      <c r="CC124" s="1622" t="s">
        <v>410</v>
      </c>
      <c r="CD124" s="1622">
        <v>5167769</v>
      </c>
      <c r="CE124" s="1622">
        <v>5094780</v>
      </c>
      <c r="CF124" s="1622">
        <v>5094780</v>
      </c>
      <c r="CG124" s="1622">
        <v>72989</v>
      </c>
      <c r="CH124" s="1622">
        <f t="shared" si="77"/>
        <v>5167.7690000000002</v>
      </c>
      <c r="CI124" s="1622">
        <f t="shared" si="78"/>
        <v>5094.78</v>
      </c>
      <c r="CJ124" s="1622">
        <f t="shared" si="79"/>
        <v>5094.78</v>
      </c>
      <c r="CK124" s="1622">
        <f t="shared" si="80"/>
        <v>72.989000000000004</v>
      </c>
      <c r="CS124" s="1625" t="s">
        <v>409</v>
      </c>
      <c r="CT124" s="891">
        <v>71400000</v>
      </c>
      <c r="CU124" s="891">
        <v>0</v>
      </c>
      <c r="CV124" s="891">
        <v>2900000</v>
      </c>
      <c r="CW124" s="891">
        <v>68500000</v>
      </c>
      <c r="CX124" s="1622">
        <f t="shared" si="82"/>
        <v>71400</v>
      </c>
      <c r="CY124" s="1622">
        <f t="shared" si="83"/>
        <v>0</v>
      </c>
      <c r="CZ124" s="1622">
        <f t="shared" si="84"/>
        <v>2900</v>
      </c>
      <c r="DA124" s="1622">
        <f t="shared" si="85"/>
        <v>68500</v>
      </c>
      <c r="DJ124" s="1624" t="s">
        <v>409</v>
      </c>
      <c r="DK124" s="1622">
        <v>77400000</v>
      </c>
      <c r="DL124" s="1622">
        <v>29304910</v>
      </c>
      <c r="DM124" s="1622">
        <v>48095090</v>
      </c>
      <c r="DN124" s="1622">
        <v>12318910</v>
      </c>
      <c r="DO124" s="1622">
        <f t="shared" si="87"/>
        <v>77400</v>
      </c>
      <c r="DP124" s="1622">
        <f t="shared" si="88"/>
        <v>29304.91</v>
      </c>
      <c r="DQ124" s="1622">
        <f t="shared" si="89"/>
        <v>48095.09</v>
      </c>
      <c r="DR124" s="1622">
        <f t="shared" si="90"/>
        <v>12318.91</v>
      </c>
      <c r="DV124" s="780" t="s">
        <v>418</v>
      </c>
      <c r="DW124" s="779">
        <v>6721344085</v>
      </c>
      <c r="DX124" s="1626">
        <f t="shared" si="91"/>
        <v>6721344.085</v>
      </c>
      <c r="EA124" s="780" t="s">
        <v>409</v>
      </c>
      <c r="EB124" s="779">
        <v>122005645</v>
      </c>
      <c r="EC124" s="779">
        <v>12318910</v>
      </c>
      <c r="ED124" s="779">
        <v>29304910</v>
      </c>
      <c r="EE124" s="779">
        <v>92700735</v>
      </c>
      <c r="EF124" s="166">
        <f t="shared" si="92"/>
        <v>122005.645</v>
      </c>
      <c r="EG124" s="166">
        <f t="shared" si="93"/>
        <v>12318.91</v>
      </c>
      <c r="EH124" s="166">
        <f t="shared" si="94"/>
        <v>29304.91</v>
      </c>
      <c r="EI124" s="166">
        <f t="shared" si="95"/>
        <v>92700.735000000001</v>
      </c>
    </row>
    <row r="125" spans="1:139" ht="15" customHeight="1" x14ac:dyDescent="0.3">
      <c r="A125" s="1625" t="s">
        <v>611</v>
      </c>
      <c r="B125" s="891">
        <v>10000</v>
      </c>
      <c r="C125" s="891">
        <v>0</v>
      </c>
      <c r="D125" s="891">
        <v>10000</v>
      </c>
      <c r="E125" s="891">
        <v>0</v>
      </c>
      <c r="F125" s="891">
        <f t="shared" si="52"/>
        <v>10</v>
      </c>
      <c r="G125" s="891">
        <f t="shared" si="53"/>
        <v>0</v>
      </c>
      <c r="H125" s="891">
        <f t="shared" si="54"/>
        <v>10</v>
      </c>
      <c r="I125" s="891">
        <f t="shared" si="55"/>
        <v>0</v>
      </c>
      <c r="Q125" s="1625" t="s">
        <v>611</v>
      </c>
      <c r="R125" s="891">
        <v>10000</v>
      </c>
      <c r="S125" s="891">
        <v>0</v>
      </c>
      <c r="T125" s="891">
        <v>10000</v>
      </c>
      <c r="U125" s="891">
        <v>0</v>
      </c>
      <c r="V125" s="1622">
        <f t="shared" si="57"/>
        <v>10</v>
      </c>
      <c r="W125" s="1622">
        <f t="shared" si="58"/>
        <v>0</v>
      </c>
      <c r="X125" s="1622">
        <f t="shared" si="59"/>
        <v>10</v>
      </c>
      <c r="Y125" s="1622">
        <f t="shared" si="60"/>
        <v>0</v>
      </c>
      <c r="AG125" s="1625" t="s">
        <v>610</v>
      </c>
      <c r="AH125" s="891">
        <v>10000</v>
      </c>
      <c r="AI125" s="891">
        <v>0</v>
      </c>
      <c r="AJ125" s="891">
        <v>0</v>
      </c>
      <c r="AK125" s="891">
        <v>10000</v>
      </c>
      <c r="AL125" s="1622">
        <f t="shared" si="62"/>
        <v>10</v>
      </c>
      <c r="AM125" s="1622">
        <f t="shared" si="63"/>
        <v>0</v>
      </c>
      <c r="AN125" s="1622">
        <f t="shared" si="64"/>
        <v>0</v>
      </c>
      <c r="AO125" s="1622">
        <f t="shared" si="65"/>
        <v>10</v>
      </c>
      <c r="AW125" s="1625" t="s">
        <v>411</v>
      </c>
      <c r="AX125" s="891">
        <v>41948</v>
      </c>
      <c r="AY125" s="891">
        <v>0</v>
      </c>
      <c r="AZ125" s="891">
        <v>0</v>
      </c>
      <c r="BA125" s="891">
        <v>41948</v>
      </c>
      <c r="BB125" s="1622">
        <f t="shared" si="67"/>
        <v>41.948</v>
      </c>
      <c r="BC125" s="1622">
        <f t="shared" si="68"/>
        <v>0</v>
      </c>
      <c r="BD125" s="1622">
        <f t="shared" si="69"/>
        <v>0</v>
      </c>
      <c r="BE125" s="1622">
        <f t="shared" si="70"/>
        <v>41.948</v>
      </c>
      <c r="BM125" s="1625" t="s">
        <v>411</v>
      </c>
      <c r="BN125" s="1627">
        <v>2348</v>
      </c>
      <c r="BO125" s="1627">
        <v>0</v>
      </c>
      <c r="BP125" s="1627">
        <v>0</v>
      </c>
      <c r="BQ125" s="1627">
        <v>2348</v>
      </c>
      <c r="BR125" s="1622">
        <f t="shared" si="72"/>
        <v>2.3479999999999999</v>
      </c>
      <c r="BS125" s="1622">
        <f t="shared" si="73"/>
        <v>0</v>
      </c>
      <c r="BT125" s="1622">
        <f t="shared" si="74"/>
        <v>0</v>
      </c>
      <c r="BU125" s="1622">
        <f t="shared" si="75"/>
        <v>2.3479999999999999</v>
      </c>
      <c r="CC125" s="1622" t="s">
        <v>609</v>
      </c>
      <c r="CD125" s="1622">
        <v>5533500</v>
      </c>
      <c r="CE125" s="1622">
        <v>5533500</v>
      </c>
      <c r="CF125" s="1622">
        <v>5533500</v>
      </c>
      <c r="CG125" s="1622">
        <v>0</v>
      </c>
      <c r="CH125" s="1622">
        <f t="shared" si="77"/>
        <v>5533.5</v>
      </c>
      <c r="CI125" s="1622">
        <f t="shared" si="78"/>
        <v>5533.5</v>
      </c>
      <c r="CJ125" s="1622">
        <f t="shared" si="79"/>
        <v>5533.5</v>
      </c>
      <c r="CK125" s="1622">
        <f t="shared" si="80"/>
        <v>0</v>
      </c>
      <c r="CS125" s="1625" t="s">
        <v>608</v>
      </c>
      <c r="CT125" s="891">
        <v>30267986</v>
      </c>
      <c r="CU125" s="891">
        <v>11642101</v>
      </c>
      <c r="CV125" s="891">
        <v>11707290</v>
      </c>
      <c r="CW125" s="891">
        <v>18560696</v>
      </c>
      <c r="CX125" s="1622">
        <f t="shared" si="82"/>
        <v>30267.986000000001</v>
      </c>
      <c r="CY125" s="1622">
        <f t="shared" si="83"/>
        <v>11642.101000000001</v>
      </c>
      <c r="CZ125" s="1622">
        <f t="shared" si="84"/>
        <v>11707.29</v>
      </c>
      <c r="DA125" s="1622">
        <f t="shared" si="85"/>
        <v>18560.696</v>
      </c>
      <c r="DJ125" s="1624" t="s">
        <v>608</v>
      </c>
      <c r="DK125" s="1622">
        <v>13247872</v>
      </c>
      <c r="DL125" s="1622">
        <v>13126185</v>
      </c>
      <c r="DM125" s="1622">
        <v>121687</v>
      </c>
      <c r="DN125" s="1622">
        <v>12978786</v>
      </c>
      <c r="DO125" s="1622">
        <f t="shared" si="87"/>
        <v>13247.871999999999</v>
      </c>
      <c r="DP125" s="1622">
        <f t="shared" si="88"/>
        <v>13126.184999999999</v>
      </c>
      <c r="DQ125" s="1622">
        <f t="shared" si="89"/>
        <v>121.687</v>
      </c>
      <c r="DR125" s="1622">
        <f t="shared" si="90"/>
        <v>12978.786</v>
      </c>
      <c r="DV125" s="780" t="s">
        <v>419</v>
      </c>
      <c r="DW125" s="779">
        <v>54585587</v>
      </c>
      <c r="DX125" s="1626">
        <f t="shared" si="91"/>
        <v>54585.587</v>
      </c>
      <c r="EA125" s="780" t="s">
        <v>608</v>
      </c>
      <c r="EB125" s="779">
        <v>20564694</v>
      </c>
      <c r="EC125" s="779">
        <v>13700244</v>
      </c>
      <c r="ED125" s="779">
        <v>13880433</v>
      </c>
      <c r="EE125" s="779">
        <v>6684261</v>
      </c>
      <c r="EF125" s="166">
        <f t="shared" si="92"/>
        <v>20564.694</v>
      </c>
      <c r="EG125" s="166">
        <f t="shared" si="93"/>
        <v>13700.244000000001</v>
      </c>
      <c r="EH125" s="166">
        <f t="shared" si="94"/>
        <v>13880.433000000001</v>
      </c>
      <c r="EI125" s="166">
        <f t="shared" si="95"/>
        <v>6684.2610000000004</v>
      </c>
    </row>
    <row r="126" spans="1:139" ht="15" customHeight="1" x14ac:dyDescent="0.3">
      <c r="A126" s="1625" t="s">
        <v>612</v>
      </c>
      <c r="B126" s="891">
        <v>10000</v>
      </c>
      <c r="C126" s="891">
        <v>0</v>
      </c>
      <c r="D126" s="891">
        <v>10000</v>
      </c>
      <c r="E126" s="891">
        <v>0</v>
      </c>
      <c r="F126" s="891">
        <f t="shared" si="52"/>
        <v>10</v>
      </c>
      <c r="G126" s="891">
        <f t="shared" si="53"/>
        <v>0</v>
      </c>
      <c r="H126" s="891">
        <f t="shared" si="54"/>
        <v>10</v>
      </c>
      <c r="I126" s="891">
        <f t="shared" si="55"/>
        <v>0</v>
      </c>
      <c r="Q126" s="1625" t="s">
        <v>612</v>
      </c>
      <c r="R126" s="891">
        <v>10000</v>
      </c>
      <c r="S126" s="891">
        <v>0</v>
      </c>
      <c r="T126" s="891">
        <v>10000</v>
      </c>
      <c r="U126" s="891">
        <v>0</v>
      </c>
      <c r="V126" s="1622">
        <f t="shared" si="57"/>
        <v>10</v>
      </c>
      <c r="W126" s="1622">
        <f t="shared" si="58"/>
        <v>0</v>
      </c>
      <c r="X126" s="1622">
        <f t="shared" si="59"/>
        <v>10</v>
      </c>
      <c r="Y126" s="1622">
        <f t="shared" si="60"/>
        <v>0</v>
      </c>
      <c r="AG126" s="1625" t="s">
        <v>611</v>
      </c>
      <c r="AH126" s="891">
        <v>10000</v>
      </c>
      <c r="AI126" s="891">
        <v>0</v>
      </c>
      <c r="AJ126" s="891">
        <v>0</v>
      </c>
      <c r="AK126" s="891">
        <v>10000</v>
      </c>
      <c r="AL126" s="1622">
        <f t="shared" si="62"/>
        <v>10</v>
      </c>
      <c r="AM126" s="1622">
        <f t="shared" si="63"/>
        <v>0</v>
      </c>
      <c r="AN126" s="1622">
        <f t="shared" si="64"/>
        <v>0</v>
      </c>
      <c r="AO126" s="1622">
        <f t="shared" si="65"/>
        <v>10</v>
      </c>
      <c r="AW126" s="1625" t="s">
        <v>610</v>
      </c>
      <c r="AX126" s="891">
        <v>10000</v>
      </c>
      <c r="AY126" s="891">
        <v>0</v>
      </c>
      <c r="AZ126" s="891">
        <v>0</v>
      </c>
      <c r="BA126" s="891">
        <v>10000</v>
      </c>
      <c r="BB126" s="1622">
        <f t="shared" si="67"/>
        <v>10</v>
      </c>
      <c r="BC126" s="1622">
        <f t="shared" si="68"/>
        <v>0</v>
      </c>
      <c r="BD126" s="1622">
        <f t="shared" si="69"/>
        <v>0</v>
      </c>
      <c r="BE126" s="1622">
        <f t="shared" si="70"/>
        <v>10</v>
      </c>
      <c r="BM126" s="1625" t="s">
        <v>610</v>
      </c>
      <c r="BN126" s="1627">
        <v>183168000</v>
      </c>
      <c r="BO126" s="1627">
        <v>183168000</v>
      </c>
      <c r="BP126" s="1627">
        <v>183168000</v>
      </c>
      <c r="BQ126" s="1627">
        <v>0</v>
      </c>
      <c r="BR126" s="1622">
        <f t="shared" si="72"/>
        <v>183168</v>
      </c>
      <c r="BS126" s="1622">
        <f t="shared" si="73"/>
        <v>183168</v>
      </c>
      <c r="BT126" s="1622">
        <f t="shared" si="74"/>
        <v>183168</v>
      </c>
      <c r="BU126" s="1622">
        <f t="shared" si="75"/>
        <v>0</v>
      </c>
      <c r="CC126" s="1622" t="s">
        <v>411</v>
      </c>
      <c r="CD126" s="1622">
        <v>1671846</v>
      </c>
      <c r="CE126" s="1622">
        <v>0</v>
      </c>
      <c r="CF126" s="1622">
        <v>0</v>
      </c>
      <c r="CG126" s="1622">
        <v>1671846</v>
      </c>
      <c r="CH126" s="1622">
        <f t="shared" si="77"/>
        <v>1671.846</v>
      </c>
      <c r="CI126" s="1622">
        <f t="shared" si="78"/>
        <v>0</v>
      </c>
      <c r="CJ126" s="1622">
        <f t="shared" si="79"/>
        <v>0</v>
      </c>
      <c r="CK126" s="1622">
        <f t="shared" si="80"/>
        <v>1671.846</v>
      </c>
      <c r="CS126" s="1625" t="s">
        <v>410</v>
      </c>
      <c r="CT126" s="891">
        <v>6122739</v>
      </c>
      <c r="CU126" s="891">
        <v>6057550</v>
      </c>
      <c r="CV126" s="891">
        <v>6122739</v>
      </c>
      <c r="CW126" s="891">
        <v>0</v>
      </c>
      <c r="CX126" s="1622">
        <f t="shared" si="82"/>
        <v>6122.7389999999996</v>
      </c>
      <c r="CY126" s="1622">
        <f t="shared" si="83"/>
        <v>6057.55</v>
      </c>
      <c r="CZ126" s="1622">
        <f t="shared" si="84"/>
        <v>6122.7389999999996</v>
      </c>
      <c r="DA126" s="1622">
        <f t="shared" si="85"/>
        <v>0</v>
      </c>
      <c r="DJ126" s="1624" t="s">
        <v>410</v>
      </c>
      <c r="DK126" s="1622">
        <v>7541634</v>
      </c>
      <c r="DL126" s="1622">
        <v>7541634</v>
      </c>
      <c r="DM126" s="1622">
        <v>0</v>
      </c>
      <c r="DN126" s="1622">
        <v>7394235</v>
      </c>
      <c r="DO126" s="1622">
        <f t="shared" si="87"/>
        <v>7541.634</v>
      </c>
      <c r="DP126" s="1622">
        <f t="shared" si="88"/>
        <v>7541.634</v>
      </c>
      <c r="DQ126" s="1622">
        <f t="shared" si="89"/>
        <v>0</v>
      </c>
      <c r="DR126" s="1622">
        <f t="shared" si="90"/>
        <v>7394.2349999999997</v>
      </c>
      <c r="DV126" s="780" t="s">
        <v>420</v>
      </c>
      <c r="DW126" s="779">
        <v>54585587</v>
      </c>
      <c r="DX126" s="1626">
        <f t="shared" si="91"/>
        <v>54585.587</v>
      </c>
      <c r="EA126" s="780" t="s">
        <v>410</v>
      </c>
      <c r="EB126" s="779">
        <v>8295882</v>
      </c>
      <c r="EC126" s="779">
        <v>8115693</v>
      </c>
      <c r="ED126" s="779">
        <v>8295882</v>
      </c>
      <c r="EE126" s="779">
        <v>0</v>
      </c>
      <c r="EF126" s="166">
        <f t="shared" si="92"/>
        <v>8295.8819999999996</v>
      </c>
      <c r="EG126" s="166">
        <f t="shared" si="93"/>
        <v>8115.6930000000002</v>
      </c>
      <c r="EH126" s="166">
        <f t="shared" si="94"/>
        <v>8295.8819999999996</v>
      </c>
      <c r="EI126" s="166">
        <f t="shared" si="95"/>
        <v>0</v>
      </c>
    </row>
    <row r="127" spans="1:139" ht="15" customHeight="1" x14ac:dyDescent="0.3">
      <c r="A127" s="1625" t="s">
        <v>412</v>
      </c>
      <c r="B127" s="891">
        <v>136431000</v>
      </c>
      <c r="C127" s="891">
        <v>68455996</v>
      </c>
      <c r="D127" s="891">
        <v>67975004</v>
      </c>
      <c r="E127" s="891">
        <v>8886155</v>
      </c>
      <c r="F127" s="891">
        <f t="shared" si="52"/>
        <v>136431</v>
      </c>
      <c r="G127" s="891">
        <f t="shared" si="53"/>
        <v>68455.995999999999</v>
      </c>
      <c r="H127" s="891">
        <f t="shared" si="54"/>
        <v>67975.004000000001</v>
      </c>
      <c r="I127" s="891">
        <f t="shared" si="55"/>
        <v>8886.1550000000007</v>
      </c>
      <c r="Q127" s="1625" t="s">
        <v>412</v>
      </c>
      <c r="R127" s="891">
        <v>136431000</v>
      </c>
      <c r="S127" s="891">
        <v>68812996</v>
      </c>
      <c r="T127" s="891">
        <v>67618004</v>
      </c>
      <c r="U127" s="891">
        <v>16620999</v>
      </c>
      <c r="V127" s="1622">
        <f t="shared" si="57"/>
        <v>136431</v>
      </c>
      <c r="W127" s="1622">
        <f t="shared" si="58"/>
        <v>68812.995999999999</v>
      </c>
      <c r="X127" s="1622">
        <f t="shared" si="59"/>
        <v>67618.004000000001</v>
      </c>
      <c r="Y127" s="1622">
        <f t="shared" si="60"/>
        <v>16620.999</v>
      </c>
      <c r="AG127" s="1625" t="s">
        <v>612</v>
      </c>
      <c r="AH127" s="891">
        <v>10000</v>
      </c>
      <c r="AI127" s="891">
        <v>0</v>
      </c>
      <c r="AJ127" s="891">
        <v>0</v>
      </c>
      <c r="AK127" s="891">
        <v>10000</v>
      </c>
      <c r="AL127" s="1622">
        <f t="shared" si="62"/>
        <v>10</v>
      </c>
      <c r="AM127" s="1622">
        <f t="shared" si="63"/>
        <v>0</v>
      </c>
      <c r="AN127" s="1622">
        <f t="shared" si="64"/>
        <v>0</v>
      </c>
      <c r="AO127" s="1622">
        <f t="shared" si="65"/>
        <v>10</v>
      </c>
      <c r="AW127" s="1625" t="s">
        <v>611</v>
      </c>
      <c r="AX127" s="891">
        <v>10000</v>
      </c>
      <c r="AY127" s="891">
        <v>0</v>
      </c>
      <c r="AZ127" s="891">
        <v>0</v>
      </c>
      <c r="BA127" s="891">
        <v>10000</v>
      </c>
      <c r="BB127" s="1622">
        <f t="shared" si="67"/>
        <v>10</v>
      </c>
      <c r="BC127" s="1622">
        <f t="shared" si="68"/>
        <v>0</v>
      </c>
      <c r="BD127" s="1622">
        <f t="shared" si="69"/>
        <v>0</v>
      </c>
      <c r="BE127" s="1622">
        <f t="shared" si="70"/>
        <v>10</v>
      </c>
      <c r="BM127" s="1625" t="s">
        <v>611</v>
      </c>
      <c r="BN127" s="1627">
        <v>183168000</v>
      </c>
      <c r="BO127" s="1627">
        <v>183168000</v>
      </c>
      <c r="BP127" s="1627">
        <v>183168000</v>
      </c>
      <c r="BQ127" s="1627">
        <v>0</v>
      </c>
      <c r="BR127" s="1622">
        <f t="shared" si="72"/>
        <v>183168</v>
      </c>
      <c r="BS127" s="1622">
        <f t="shared" si="73"/>
        <v>183168</v>
      </c>
      <c r="BT127" s="1622">
        <f t="shared" si="74"/>
        <v>183168</v>
      </c>
      <c r="BU127" s="1622">
        <f t="shared" si="75"/>
        <v>0</v>
      </c>
      <c r="CC127" s="1622" t="s">
        <v>610</v>
      </c>
      <c r="CD127" s="1622">
        <v>183168000</v>
      </c>
      <c r="CE127" s="1622">
        <v>183168000</v>
      </c>
      <c r="CF127" s="1622">
        <v>183168000</v>
      </c>
      <c r="CG127" s="1622">
        <v>0</v>
      </c>
      <c r="CH127" s="1622">
        <f t="shared" si="77"/>
        <v>183168</v>
      </c>
      <c r="CI127" s="1622">
        <f t="shared" si="78"/>
        <v>183168</v>
      </c>
      <c r="CJ127" s="1622">
        <f t="shared" si="79"/>
        <v>183168</v>
      </c>
      <c r="CK127" s="1622">
        <f t="shared" si="80"/>
        <v>0</v>
      </c>
      <c r="CS127" s="1625" t="s">
        <v>609</v>
      </c>
      <c r="CT127" s="891">
        <v>5533500</v>
      </c>
      <c r="CU127" s="891">
        <v>5533500</v>
      </c>
      <c r="CV127" s="891">
        <v>5533500</v>
      </c>
      <c r="CW127" s="891">
        <v>0</v>
      </c>
      <c r="CX127" s="1622">
        <f t="shared" si="82"/>
        <v>5533.5</v>
      </c>
      <c r="CY127" s="1622">
        <f t="shared" si="83"/>
        <v>5533.5</v>
      </c>
      <c r="CZ127" s="1622">
        <f t="shared" si="84"/>
        <v>5533.5</v>
      </c>
      <c r="DA127" s="1622">
        <f t="shared" si="85"/>
        <v>0</v>
      </c>
      <c r="DJ127" s="1624" t="s">
        <v>609</v>
      </c>
      <c r="DK127" s="1622">
        <v>5533500</v>
      </c>
      <c r="DL127" s="1622">
        <v>5533500</v>
      </c>
      <c r="DM127" s="1622">
        <v>0</v>
      </c>
      <c r="DN127" s="1622">
        <v>5533500</v>
      </c>
      <c r="DO127" s="1622">
        <f t="shared" si="87"/>
        <v>5533.5</v>
      </c>
      <c r="DP127" s="1622">
        <f t="shared" si="88"/>
        <v>5533.5</v>
      </c>
      <c r="DQ127" s="1622">
        <f t="shared" si="89"/>
        <v>0</v>
      </c>
      <c r="DR127" s="1622">
        <f t="shared" si="90"/>
        <v>5533.5</v>
      </c>
      <c r="DV127" s="780" t="s">
        <v>621</v>
      </c>
      <c r="DW127" s="779">
        <v>54585587</v>
      </c>
      <c r="DX127" s="1626">
        <f t="shared" si="91"/>
        <v>54585.587</v>
      </c>
      <c r="EA127" s="780" t="s">
        <v>609</v>
      </c>
      <c r="EB127" s="779">
        <v>5533500</v>
      </c>
      <c r="EC127" s="779">
        <v>5533500</v>
      </c>
      <c r="ED127" s="779">
        <v>5533500</v>
      </c>
      <c r="EE127" s="779">
        <v>0</v>
      </c>
      <c r="EF127" s="166">
        <f t="shared" si="92"/>
        <v>5533.5</v>
      </c>
      <c r="EG127" s="166">
        <f t="shared" si="93"/>
        <v>5533.5</v>
      </c>
      <c r="EH127" s="166">
        <f t="shared" si="94"/>
        <v>5533.5</v>
      </c>
      <c r="EI127" s="166">
        <f t="shared" si="95"/>
        <v>0</v>
      </c>
    </row>
    <row r="128" spans="1:139" ht="15" customHeight="1" x14ac:dyDescent="0.3">
      <c r="A128" s="1625" t="s">
        <v>413</v>
      </c>
      <c r="B128" s="891">
        <v>136431000</v>
      </c>
      <c r="C128" s="891">
        <v>68455996</v>
      </c>
      <c r="D128" s="891">
        <v>67975004</v>
      </c>
      <c r="E128" s="891">
        <v>8886155</v>
      </c>
      <c r="F128" s="891">
        <f t="shared" si="52"/>
        <v>136431</v>
      </c>
      <c r="G128" s="891">
        <f t="shared" si="53"/>
        <v>68455.995999999999</v>
      </c>
      <c r="H128" s="891">
        <f t="shared" si="54"/>
        <v>67975.004000000001</v>
      </c>
      <c r="I128" s="891">
        <f t="shared" si="55"/>
        <v>8886.1550000000007</v>
      </c>
      <c r="Q128" s="1625" t="s">
        <v>413</v>
      </c>
      <c r="R128" s="891">
        <v>136431000</v>
      </c>
      <c r="S128" s="891">
        <v>68812996</v>
      </c>
      <c r="T128" s="891">
        <v>67618004</v>
      </c>
      <c r="U128" s="891">
        <v>16620999</v>
      </c>
      <c r="V128" s="1622">
        <f t="shared" si="57"/>
        <v>136431</v>
      </c>
      <c r="W128" s="1622">
        <f t="shared" si="58"/>
        <v>68812.995999999999</v>
      </c>
      <c r="X128" s="1622">
        <f t="shared" si="59"/>
        <v>67618.004000000001</v>
      </c>
      <c r="Y128" s="1622">
        <f t="shared" si="60"/>
        <v>16620.999</v>
      </c>
      <c r="AG128" s="1625" t="s">
        <v>412</v>
      </c>
      <c r="AH128" s="891">
        <v>136431000</v>
      </c>
      <c r="AI128" s="891">
        <v>25796468</v>
      </c>
      <c r="AJ128" s="891">
        <v>68455996</v>
      </c>
      <c r="AK128" s="891">
        <v>67975004</v>
      </c>
      <c r="AL128" s="1622">
        <f t="shared" si="62"/>
        <v>136431</v>
      </c>
      <c r="AM128" s="1622">
        <f t="shared" si="63"/>
        <v>25796.468000000001</v>
      </c>
      <c r="AN128" s="1622">
        <f t="shared" si="64"/>
        <v>68455.995999999999</v>
      </c>
      <c r="AO128" s="1622">
        <f t="shared" si="65"/>
        <v>67975.004000000001</v>
      </c>
      <c r="AW128" s="1625" t="s">
        <v>612</v>
      </c>
      <c r="AX128" s="891">
        <v>10000</v>
      </c>
      <c r="AY128" s="891">
        <v>0</v>
      </c>
      <c r="AZ128" s="891">
        <v>0</v>
      </c>
      <c r="BA128" s="891">
        <v>10000</v>
      </c>
      <c r="BB128" s="1622">
        <f t="shared" si="67"/>
        <v>10</v>
      </c>
      <c r="BC128" s="1622">
        <f t="shared" si="68"/>
        <v>0</v>
      </c>
      <c r="BD128" s="1622">
        <f t="shared" si="69"/>
        <v>0</v>
      </c>
      <c r="BE128" s="1622">
        <f t="shared" si="70"/>
        <v>10</v>
      </c>
      <c r="BM128" s="1625" t="s">
        <v>612</v>
      </c>
      <c r="BN128" s="1627">
        <v>183168000</v>
      </c>
      <c r="BO128" s="1627">
        <v>183168000</v>
      </c>
      <c r="BP128" s="1627">
        <v>183168000</v>
      </c>
      <c r="BQ128" s="1627">
        <v>0</v>
      </c>
      <c r="BR128" s="1622">
        <f t="shared" si="72"/>
        <v>183168</v>
      </c>
      <c r="BS128" s="1622">
        <f t="shared" si="73"/>
        <v>183168</v>
      </c>
      <c r="BT128" s="1622">
        <f t="shared" si="74"/>
        <v>183168</v>
      </c>
      <c r="BU128" s="1622">
        <f t="shared" si="75"/>
        <v>0</v>
      </c>
      <c r="CC128" s="1622" t="s">
        <v>611</v>
      </c>
      <c r="CD128" s="1622">
        <v>183168000</v>
      </c>
      <c r="CE128" s="1622">
        <v>183168000</v>
      </c>
      <c r="CF128" s="1622">
        <v>183168000</v>
      </c>
      <c r="CG128" s="1622">
        <v>0</v>
      </c>
      <c r="CH128" s="1622">
        <f t="shared" si="77"/>
        <v>183168</v>
      </c>
      <c r="CI128" s="1622">
        <f t="shared" si="78"/>
        <v>183168</v>
      </c>
      <c r="CJ128" s="1622">
        <f t="shared" si="79"/>
        <v>183168</v>
      </c>
      <c r="CK128" s="1622">
        <f t="shared" si="80"/>
        <v>0</v>
      </c>
      <c r="CS128" s="1625" t="s">
        <v>411</v>
      </c>
      <c r="CT128" s="891">
        <v>18611747</v>
      </c>
      <c r="CU128" s="891">
        <v>51051</v>
      </c>
      <c r="CV128" s="891">
        <v>51051</v>
      </c>
      <c r="CW128" s="891">
        <v>18560696</v>
      </c>
      <c r="CX128" s="1622">
        <f t="shared" si="82"/>
        <v>18611.746999999999</v>
      </c>
      <c r="CY128" s="1622">
        <f t="shared" si="83"/>
        <v>51.051000000000002</v>
      </c>
      <c r="CZ128" s="1622">
        <f t="shared" si="84"/>
        <v>51.051000000000002</v>
      </c>
      <c r="DA128" s="1622">
        <f t="shared" si="85"/>
        <v>18560.696</v>
      </c>
      <c r="DJ128" s="1624" t="s">
        <v>411</v>
      </c>
      <c r="DK128" s="1622">
        <v>172738</v>
      </c>
      <c r="DL128" s="1622">
        <v>51051</v>
      </c>
      <c r="DM128" s="1622">
        <v>121687</v>
      </c>
      <c r="DN128" s="1622">
        <v>51051</v>
      </c>
      <c r="DO128" s="1622">
        <f t="shared" si="87"/>
        <v>172.738</v>
      </c>
      <c r="DP128" s="1622">
        <f t="shared" si="88"/>
        <v>51.051000000000002</v>
      </c>
      <c r="DQ128" s="1622">
        <f t="shared" si="89"/>
        <v>121.687</v>
      </c>
      <c r="DR128" s="1622">
        <f t="shared" si="90"/>
        <v>51.051000000000002</v>
      </c>
      <c r="EA128" s="780" t="s">
        <v>411</v>
      </c>
      <c r="EB128" s="779">
        <v>6735312</v>
      </c>
      <c r="EC128" s="779">
        <v>51051</v>
      </c>
      <c r="ED128" s="779">
        <v>51051</v>
      </c>
      <c r="EE128" s="779">
        <v>6684261</v>
      </c>
      <c r="EF128" s="166">
        <f t="shared" si="92"/>
        <v>6735.3119999999999</v>
      </c>
      <c r="EG128" s="166">
        <f t="shared" si="93"/>
        <v>51.051000000000002</v>
      </c>
      <c r="EH128" s="166">
        <f t="shared" si="94"/>
        <v>51.051000000000002</v>
      </c>
      <c r="EI128" s="166">
        <f t="shared" si="95"/>
        <v>6684.2610000000004</v>
      </c>
    </row>
    <row r="129" spans="1:139" ht="15" customHeight="1" x14ac:dyDescent="0.3">
      <c r="A129" s="1625" t="s">
        <v>614</v>
      </c>
      <c r="B129" s="891">
        <v>10000</v>
      </c>
      <c r="C129" s="891">
        <v>0</v>
      </c>
      <c r="D129" s="891">
        <v>10000</v>
      </c>
      <c r="E129" s="891">
        <v>0</v>
      </c>
      <c r="F129" s="891">
        <f t="shared" si="52"/>
        <v>10</v>
      </c>
      <c r="G129" s="891">
        <f t="shared" si="53"/>
        <v>0</v>
      </c>
      <c r="H129" s="891">
        <f t="shared" si="54"/>
        <v>10</v>
      </c>
      <c r="I129" s="891">
        <f t="shared" si="55"/>
        <v>0</v>
      </c>
      <c r="Q129" s="1625" t="s">
        <v>614</v>
      </c>
      <c r="R129" s="891">
        <v>10000</v>
      </c>
      <c r="S129" s="891">
        <v>0</v>
      </c>
      <c r="T129" s="891">
        <v>10000</v>
      </c>
      <c r="U129" s="891">
        <v>0</v>
      </c>
      <c r="V129" s="1622">
        <f t="shared" si="57"/>
        <v>10</v>
      </c>
      <c r="W129" s="1622">
        <f t="shared" si="58"/>
        <v>0</v>
      </c>
      <c r="X129" s="1622">
        <f t="shared" si="59"/>
        <v>10</v>
      </c>
      <c r="Y129" s="1622">
        <f t="shared" si="60"/>
        <v>0</v>
      </c>
      <c r="AG129" s="1625" t="s">
        <v>413</v>
      </c>
      <c r="AH129" s="891">
        <v>136431000</v>
      </c>
      <c r="AI129" s="891">
        <v>25796468</v>
      </c>
      <c r="AJ129" s="891">
        <v>68455996</v>
      </c>
      <c r="AK129" s="891">
        <v>67975004</v>
      </c>
      <c r="AL129" s="1622">
        <f t="shared" si="62"/>
        <v>136431</v>
      </c>
      <c r="AM129" s="1622">
        <f t="shared" si="63"/>
        <v>25796.468000000001</v>
      </c>
      <c r="AN129" s="1622">
        <f t="shared" si="64"/>
        <v>68455.995999999999</v>
      </c>
      <c r="AO129" s="1622">
        <f t="shared" si="65"/>
        <v>67975.004000000001</v>
      </c>
      <c r="AW129" s="1625" t="s">
        <v>412</v>
      </c>
      <c r="AX129" s="891">
        <v>136431000</v>
      </c>
      <c r="AY129" s="891">
        <v>68812996</v>
      </c>
      <c r="AZ129" s="891">
        <v>27571937</v>
      </c>
      <c r="BA129" s="891">
        <v>67618004</v>
      </c>
      <c r="BB129" s="1622">
        <f t="shared" si="67"/>
        <v>136431</v>
      </c>
      <c r="BC129" s="1622">
        <f t="shared" si="68"/>
        <v>68812.995999999999</v>
      </c>
      <c r="BD129" s="1622">
        <f t="shared" si="69"/>
        <v>27571.937000000002</v>
      </c>
      <c r="BE129" s="1622">
        <f t="shared" si="70"/>
        <v>67618.004000000001</v>
      </c>
      <c r="BM129" s="1625" t="s">
        <v>412</v>
      </c>
      <c r="BN129" s="1627">
        <v>518867000</v>
      </c>
      <c r="BO129" s="1627">
        <v>35557406</v>
      </c>
      <c r="BP129" s="1627">
        <v>70099386</v>
      </c>
      <c r="BQ129" s="1627">
        <v>448767614</v>
      </c>
      <c r="BR129" s="1622">
        <f t="shared" si="72"/>
        <v>518867</v>
      </c>
      <c r="BS129" s="1622">
        <f t="shared" si="73"/>
        <v>35557.406000000003</v>
      </c>
      <c r="BT129" s="1622">
        <f t="shared" si="74"/>
        <v>70099.385999999999</v>
      </c>
      <c r="BU129" s="1622">
        <f t="shared" si="75"/>
        <v>448767.614</v>
      </c>
      <c r="CC129" s="1622" t="s">
        <v>612</v>
      </c>
      <c r="CD129" s="1622">
        <v>183168000</v>
      </c>
      <c r="CE129" s="1622">
        <v>183168000</v>
      </c>
      <c r="CF129" s="1622">
        <v>183168000</v>
      </c>
      <c r="CG129" s="1622">
        <v>0</v>
      </c>
      <c r="CH129" s="1622">
        <f t="shared" si="77"/>
        <v>183168</v>
      </c>
      <c r="CI129" s="1622">
        <f t="shared" si="78"/>
        <v>183168</v>
      </c>
      <c r="CJ129" s="1622">
        <f t="shared" si="79"/>
        <v>183168</v>
      </c>
      <c r="CK129" s="1622">
        <f t="shared" si="80"/>
        <v>0</v>
      </c>
      <c r="CS129" s="1625" t="s">
        <v>610</v>
      </c>
      <c r="CT129" s="891">
        <v>183168000</v>
      </c>
      <c r="CU129" s="891">
        <v>183168000</v>
      </c>
      <c r="CV129" s="891">
        <v>183168000</v>
      </c>
      <c r="CW129" s="891">
        <v>0</v>
      </c>
      <c r="CX129" s="1622">
        <f t="shared" si="82"/>
        <v>183168</v>
      </c>
      <c r="CY129" s="1622">
        <f t="shared" si="83"/>
        <v>183168</v>
      </c>
      <c r="CZ129" s="1622">
        <f t="shared" si="84"/>
        <v>183168</v>
      </c>
      <c r="DA129" s="1622">
        <f t="shared" si="85"/>
        <v>0</v>
      </c>
      <c r="DJ129" s="1624" t="s">
        <v>610</v>
      </c>
      <c r="DK129" s="1622">
        <v>183168000</v>
      </c>
      <c r="DL129" s="1622">
        <v>183168000</v>
      </c>
      <c r="DM129" s="1622">
        <v>0</v>
      </c>
      <c r="DN129" s="1622">
        <v>183168000</v>
      </c>
      <c r="DO129" s="1622">
        <f t="shared" si="87"/>
        <v>183168</v>
      </c>
      <c r="DP129" s="1622">
        <f t="shared" si="88"/>
        <v>183168</v>
      </c>
      <c r="DQ129" s="1622">
        <f t="shared" si="89"/>
        <v>0</v>
      </c>
      <c r="DR129" s="1622">
        <f t="shared" si="90"/>
        <v>183168</v>
      </c>
      <c r="EA129" s="780" t="s">
        <v>610</v>
      </c>
      <c r="EB129" s="779">
        <v>183168000</v>
      </c>
      <c r="EC129" s="779">
        <v>183168000</v>
      </c>
      <c r="ED129" s="779">
        <v>183168000</v>
      </c>
      <c r="EE129" s="779">
        <v>0</v>
      </c>
      <c r="EF129" s="166">
        <f t="shared" si="92"/>
        <v>183168</v>
      </c>
      <c r="EG129" s="166">
        <f t="shared" si="93"/>
        <v>183168</v>
      </c>
      <c r="EH129" s="166">
        <f t="shared" si="94"/>
        <v>183168</v>
      </c>
      <c r="EI129" s="166">
        <f t="shared" si="95"/>
        <v>0</v>
      </c>
    </row>
    <row r="130" spans="1:139" ht="15" customHeight="1" x14ac:dyDescent="0.3">
      <c r="A130" s="1625" t="s">
        <v>532</v>
      </c>
      <c r="B130" s="891">
        <v>136421000</v>
      </c>
      <c r="C130" s="891">
        <v>68455996</v>
      </c>
      <c r="D130" s="891">
        <v>67965004</v>
      </c>
      <c r="E130" s="891">
        <v>8886155</v>
      </c>
      <c r="F130" s="891">
        <f t="shared" si="52"/>
        <v>136421</v>
      </c>
      <c r="G130" s="891">
        <f t="shared" si="53"/>
        <v>68455.995999999999</v>
      </c>
      <c r="H130" s="891">
        <f t="shared" si="54"/>
        <v>67965.004000000001</v>
      </c>
      <c r="I130" s="891">
        <f t="shared" si="55"/>
        <v>8886.1550000000007</v>
      </c>
      <c r="Q130" s="1625" t="s">
        <v>532</v>
      </c>
      <c r="R130" s="891">
        <v>136421000</v>
      </c>
      <c r="S130" s="891">
        <v>68812996</v>
      </c>
      <c r="T130" s="891">
        <v>67608004</v>
      </c>
      <c r="U130" s="891">
        <v>16620999</v>
      </c>
      <c r="V130" s="1622">
        <f t="shared" si="57"/>
        <v>136421</v>
      </c>
      <c r="W130" s="1622">
        <f t="shared" si="58"/>
        <v>68812.995999999999</v>
      </c>
      <c r="X130" s="1622">
        <f t="shared" si="59"/>
        <v>67608.004000000001</v>
      </c>
      <c r="Y130" s="1622">
        <f t="shared" si="60"/>
        <v>16620.999</v>
      </c>
      <c r="AG130" s="1625" t="s">
        <v>614</v>
      </c>
      <c r="AH130" s="891">
        <v>10000</v>
      </c>
      <c r="AI130" s="891">
        <v>0</v>
      </c>
      <c r="AJ130" s="891">
        <v>0</v>
      </c>
      <c r="AK130" s="891">
        <v>10000</v>
      </c>
      <c r="AL130" s="1622">
        <f t="shared" si="62"/>
        <v>10</v>
      </c>
      <c r="AM130" s="1622">
        <f t="shared" si="63"/>
        <v>0</v>
      </c>
      <c r="AN130" s="1622">
        <f t="shared" si="64"/>
        <v>0</v>
      </c>
      <c r="AO130" s="1622">
        <f t="shared" si="65"/>
        <v>10</v>
      </c>
      <c r="AW130" s="1625" t="s">
        <v>413</v>
      </c>
      <c r="AX130" s="891">
        <v>136431000</v>
      </c>
      <c r="AY130" s="891">
        <v>68812996</v>
      </c>
      <c r="AZ130" s="891">
        <v>27571937</v>
      </c>
      <c r="BA130" s="891">
        <v>67618004</v>
      </c>
      <c r="BB130" s="1622">
        <f t="shared" si="67"/>
        <v>136431</v>
      </c>
      <c r="BC130" s="1622">
        <f t="shared" si="68"/>
        <v>68812.995999999999</v>
      </c>
      <c r="BD130" s="1622">
        <f t="shared" si="69"/>
        <v>27571.937000000002</v>
      </c>
      <c r="BE130" s="1622">
        <f t="shared" si="70"/>
        <v>67618.004000000001</v>
      </c>
      <c r="BM130" s="1625" t="s">
        <v>538</v>
      </c>
      <c r="BN130" s="1627">
        <v>90000000</v>
      </c>
      <c r="BO130" s="1627">
        <v>0</v>
      </c>
      <c r="BP130" s="1627">
        <v>0</v>
      </c>
      <c r="BQ130" s="1627">
        <v>90000000</v>
      </c>
      <c r="BR130" s="1622">
        <f t="shared" si="72"/>
        <v>90000</v>
      </c>
      <c r="BS130" s="1622">
        <f t="shared" si="73"/>
        <v>0</v>
      </c>
      <c r="BT130" s="1622">
        <f t="shared" si="74"/>
        <v>0</v>
      </c>
      <c r="BU130" s="1622">
        <f t="shared" si="75"/>
        <v>90000</v>
      </c>
      <c r="CC130" s="1622" t="s">
        <v>412</v>
      </c>
      <c r="CD130" s="1622">
        <v>518867000</v>
      </c>
      <c r="CE130" s="1622">
        <v>134636485</v>
      </c>
      <c r="CF130" s="1622">
        <v>161911698</v>
      </c>
      <c r="CG130" s="1622">
        <v>356955302</v>
      </c>
      <c r="CH130" s="1622">
        <f t="shared" si="77"/>
        <v>518867</v>
      </c>
      <c r="CI130" s="1622">
        <f t="shared" si="78"/>
        <v>134636.48499999999</v>
      </c>
      <c r="CJ130" s="1622">
        <f t="shared" si="79"/>
        <v>161911.698</v>
      </c>
      <c r="CK130" s="1622">
        <f t="shared" si="80"/>
        <v>356955.30200000003</v>
      </c>
      <c r="CS130" s="1625" t="s">
        <v>611</v>
      </c>
      <c r="CT130" s="891">
        <v>183168000</v>
      </c>
      <c r="CU130" s="891">
        <v>183168000</v>
      </c>
      <c r="CV130" s="891">
        <v>183168000</v>
      </c>
      <c r="CW130" s="891">
        <v>0</v>
      </c>
      <c r="CX130" s="1622">
        <f t="shared" si="82"/>
        <v>183168</v>
      </c>
      <c r="CY130" s="1622">
        <f t="shared" si="83"/>
        <v>183168</v>
      </c>
      <c r="CZ130" s="1622">
        <f t="shared" si="84"/>
        <v>183168</v>
      </c>
      <c r="DA130" s="1622">
        <f t="shared" si="85"/>
        <v>0</v>
      </c>
      <c r="DJ130" s="1624" t="s">
        <v>611</v>
      </c>
      <c r="DK130" s="1622">
        <v>183168000</v>
      </c>
      <c r="DL130" s="1622">
        <v>183168000</v>
      </c>
      <c r="DM130" s="1622">
        <v>0</v>
      </c>
      <c r="DN130" s="1622">
        <v>183168000</v>
      </c>
      <c r="DO130" s="1622">
        <f t="shared" si="87"/>
        <v>183168</v>
      </c>
      <c r="DP130" s="1622">
        <f t="shared" si="88"/>
        <v>183168</v>
      </c>
      <c r="DQ130" s="1622">
        <f t="shared" si="89"/>
        <v>0</v>
      </c>
      <c r="DR130" s="1622">
        <f t="shared" si="90"/>
        <v>183168</v>
      </c>
      <c r="EA130" s="780" t="s">
        <v>611</v>
      </c>
      <c r="EB130" s="779">
        <v>183168000</v>
      </c>
      <c r="EC130" s="779">
        <v>183168000</v>
      </c>
      <c r="ED130" s="779">
        <v>183168000</v>
      </c>
      <c r="EE130" s="779">
        <v>0</v>
      </c>
      <c r="EF130" s="166">
        <f t="shared" si="92"/>
        <v>183168</v>
      </c>
      <c r="EG130" s="166">
        <f t="shared" si="93"/>
        <v>183168</v>
      </c>
      <c r="EH130" s="166">
        <f t="shared" si="94"/>
        <v>183168</v>
      </c>
      <c r="EI130" s="166">
        <f t="shared" si="95"/>
        <v>0</v>
      </c>
    </row>
    <row r="131" spans="1:139" ht="15" customHeight="1" x14ac:dyDescent="0.3">
      <c r="A131" s="1625" t="s">
        <v>638</v>
      </c>
      <c r="B131" s="891">
        <v>165389000</v>
      </c>
      <c r="C131" s="891">
        <v>35780628</v>
      </c>
      <c r="D131" s="891">
        <v>129608372</v>
      </c>
      <c r="E131" s="891">
        <v>35780628</v>
      </c>
      <c r="F131" s="891">
        <f t="shared" si="52"/>
        <v>165389</v>
      </c>
      <c r="G131" s="891">
        <f t="shared" si="53"/>
        <v>35780.627999999997</v>
      </c>
      <c r="H131" s="891">
        <f t="shared" si="54"/>
        <v>129608.372</v>
      </c>
      <c r="I131" s="891">
        <f t="shared" si="55"/>
        <v>35780.627999999997</v>
      </c>
      <c r="Q131" s="1625" t="s">
        <v>638</v>
      </c>
      <c r="R131" s="891">
        <v>165389000</v>
      </c>
      <c r="S131" s="891">
        <v>43370044</v>
      </c>
      <c r="T131" s="891">
        <v>122018956</v>
      </c>
      <c r="U131" s="891">
        <v>43370044</v>
      </c>
      <c r="V131" s="1622">
        <f t="shared" si="57"/>
        <v>165389</v>
      </c>
      <c r="W131" s="1622">
        <f t="shared" si="58"/>
        <v>43370.044000000002</v>
      </c>
      <c r="X131" s="1622">
        <f t="shared" si="59"/>
        <v>122018.95600000001</v>
      </c>
      <c r="Y131" s="1622">
        <f t="shared" si="60"/>
        <v>43370.044000000002</v>
      </c>
      <c r="AG131" s="1625" t="s">
        <v>532</v>
      </c>
      <c r="AH131" s="891">
        <v>136421000</v>
      </c>
      <c r="AI131" s="891">
        <v>25796468</v>
      </c>
      <c r="AJ131" s="891">
        <v>68455996</v>
      </c>
      <c r="AK131" s="891">
        <v>67965004</v>
      </c>
      <c r="AL131" s="1622">
        <f t="shared" si="62"/>
        <v>136421</v>
      </c>
      <c r="AM131" s="1622">
        <f t="shared" si="63"/>
        <v>25796.468000000001</v>
      </c>
      <c r="AN131" s="1622">
        <f t="shared" si="64"/>
        <v>68455.995999999999</v>
      </c>
      <c r="AO131" s="1622">
        <f t="shared" si="65"/>
        <v>67965.004000000001</v>
      </c>
      <c r="AW131" s="1625" t="s">
        <v>614</v>
      </c>
      <c r="AX131" s="891">
        <v>10000</v>
      </c>
      <c r="AY131" s="891">
        <v>0</v>
      </c>
      <c r="AZ131" s="891">
        <v>0</v>
      </c>
      <c r="BA131" s="891">
        <v>10000</v>
      </c>
      <c r="BB131" s="1622">
        <f t="shared" si="67"/>
        <v>10</v>
      </c>
      <c r="BC131" s="1622">
        <f t="shared" si="68"/>
        <v>0</v>
      </c>
      <c r="BD131" s="1622">
        <f t="shared" si="69"/>
        <v>0</v>
      </c>
      <c r="BE131" s="1622">
        <f t="shared" si="70"/>
        <v>10</v>
      </c>
      <c r="BM131" s="1625" t="s">
        <v>1024</v>
      </c>
      <c r="BN131" s="1627">
        <v>90000000</v>
      </c>
      <c r="BO131" s="1627">
        <v>0</v>
      </c>
      <c r="BP131" s="1627">
        <v>0</v>
      </c>
      <c r="BQ131" s="1627">
        <v>90000000</v>
      </c>
      <c r="BR131" s="1622">
        <f t="shared" si="72"/>
        <v>90000</v>
      </c>
      <c r="BS131" s="1622">
        <f t="shared" si="73"/>
        <v>0</v>
      </c>
      <c r="BT131" s="1622">
        <f t="shared" si="74"/>
        <v>0</v>
      </c>
      <c r="BU131" s="1622">
        <f t="shared" si="75"/>
        <v>90000</v>
      </c>
      <c r="CC131" s="1622" t="s">
        <v>538</v>
      </c>
      <c r="CD131" s="1622">
        <v>90000000</v>
      </c>
      <c r="CE131" s="1622">
        <v>90000000</v>
      </c>
      <c r="CF131" s="1622">
        <v>90000000</v>
      </c>
      <c r="CG131" s="1622">
        <v>0</v>
      </c>
      <c r="CH131" s="1622">
        <f t="shared" si="77"/>
        <v>90000</v>
      </c>
      <c r="CI131" s="1622">
        <f t="shared" si="78"/>
        <v>90000</v>
      </c>
      <c r="CJ131" s="1622">
        <f t="shared" si="79"/>
        <v>90000</v>
      </c>
      <c r="CK131" s="1622">
        <f t="shared" si="80"/>
        <v>0</v>
      </c>
      <c r="CS131" s="1625" t="s">
        <v>612</v>
      </c>
      <c r="CT131" s="891">
        <v>183168000</v>
      </c>
      <c r="CU131" s="891">
        <v>183168000</v>
      </c>
      <c r="CV131" s="891">
        <v>183168000</v>
      </c>
      <c r="CW131" s="891">
        <v>0</v>
      </c>
      <c r="CX131" s="1622">
        <f t="shared" si="82"/>
        <v>183168</v>
      </c>
      <c r="CY131" s="1622">
        <f t="shared" si="83"/>
        <v>183168</v>
      </c>
      <c r="CZ131" s="1622">
        <f t="shared" si="84"/>
        <v>183168</v>
      </c>
      <c r="DA131" s="1622">
        <f t="shared" si="85"/>
        <v>0</v>
      </c>
      <c r="DJ131" s="1624" t="s">
        <v>612</v>
      </c>
      <c r="DK131" s="1622">
        <v>183168000</v>
      </c>
      <c r="DL131" s="1622">
        <v>183168000</v>
      </c>
      <c r="DM131" s="1622">
        <v>0</v>
      </c>
      <c r="DN131" s="1622">
        <v>183168000</v>
      </c>
      <c r="DO131" s="1622">
        <f t="shared" si="87"/>
        <v>183168</v>
      </c>
      <c r="DP131" s="1622">
        <f t="shared" si="88"/>
        <v>183168</v>
      </c>
      <c r="DQ131" s="1622">
        <f t="shared" si="89"/>
        <v>0</v>
      </c>
      <c r="DR131" s="1622">
        <f t="shared" si="90"/>
        <v>183168</v>
      </c>
      <c r="EA131" s="780" t="s">
        <v>612</v>
      </c>
      <c r="EB131" s="779">
        <v>183168000</v>
      </c>
      <c r="EC131" s="779">
        <v>183168000</v>
      </c>
      <c r="ED131" s="779">
        <v>183168000</v>
      </c>
      <c r="EE131" s="779">
        <v>0</v>
      </c>
      <c r="EF131" s="166">
        <f t="shared" si="92"/>
        <v>183168</v>
      </c>
      <c r="EG131" s="166">
        <f t="shared" si="93"/>
        <v>183168</v>
      </c>
      <c r="EH131" s="166">
        <f t="shared" si="94"/>
        <v>183168</v>
      </c>
      <c r="EI131" s="166">
        <f t="shared" si="95"/>
        <v>0</v>
      </c>
    </row>
    <row r="132" spans="1:139" ht="15" customHeight="1" x14ac:dyDescent="0.3">
      <c r="A132" s="1625" t="s">
        <v>639</v>
      </c>
      <c r="B132" s="891">
        <v>165389000</v>
      </c>
      <c r="C132" s="891">
        <v>35780628</v>
      </c>
      <c r="D132" s="891">
        <v>129608372</v>
      </c>
      <c r="E132" s="891">
        <v>35780628</v>
      </c>
      <c r="F132" s="891">
        <f t="shared" ref="F132:F147" si="96">+B132/$H$1*$I$1</f>
        <v>165389</v>
      </c>
      <c r="G132" s="891">
        <f t="shared" ref="G132:G147" si="97">+C132/$H$1*$I$1</f>
        <v>35780.627999999997</v>
      </c>
      <c r="H132" s="891">
        <f t="shared" ref="H132:H147" si="98">+D132/$H$1*$I$1</f>
        <v>129608.372</v>
      </c>
      <c r="I132" s="891">
        <f t="shared" ref="I132:I147" si="99">+E132/$H$1*$I$1</f>
        <v>35780.627999999997</v>
      </c>
      <c r="Q132" s="1625" t="s">
        <v>639</v>
      </c>
      <c r="R132" s="891">
        <v>165389000</v>
      </c>
      <c r="S132" s="891">
        <v>43370044</v>
      </c>
      <c r="T132" s="891">
        <v>122018956</v>
      </c>
      <c r="U132" s="891">
        <v>43370044</v>
      </c>
      <c r="V132" s="1622">
        <f t="shared" ref="V132:V146" si="100">+R132/$X$1*$Y$1</f>
        <v>165389</v>
      </c>
      <c r="W132" s="1622">
        <f t="shared" ref="W132:W146" si="101">+S132/$X$1*$Y$1</f>
        <v>43370.044000000002</v>
      </c>
      <c r="X132" s="1622">
        <f t="shared" ref="X132:X146" si="102">+T132/$X$1*$Y$1</f>
        <v>122018.95600000001</v>
      </c>
      <c r="Y132" s="1622">
        <f t="shared" ref="Y132:Y146" si="103">+U132/$X$1*$Y$1</f>
        <v>43370.044000000002</v>
      </c>
      <c r="AG132" s="1625" t="s">
        <v>638</v>
      </c>
      <c r="AH132" s="891">
        <v>165389000</v>
      </c>
      <c r="AI132" s="891">
        <v>43370044</v>
      </c>
      <c r="AJ132" s="891">
        <v>43370044</v>
      </c>
      <c r="AK132" s="891">
        <v>122018956</v>
      </c>
      <c r="AL132" s="1622">
        <f t="shared" ref="AL132:AL147" si="104">+AH132/$AN$1*$AO$1</f>
        <v>165389</v>
      </c>
      <c r="AM132" s="1622">
        <f t="shared" ref="AM132:AM147" si="105">+AI132/$AN$1*$AO$1</f>
        <v>43370.044000000002</v>
      </c>
      <c r="AN132" s="1622">
        <f t="shared" ref="AN132:AN147" si="106">+AJ132/$AN$1*$AO$1</f>
        <v>43370.044000000002</v>
      </c>
      <c r="AO132" s="1622">
        <f t="shared" ref="AO132:AO147" si="107">+AK132/$AN$1*$AO$1</f>
        <v>122018.95600000001</v>
      </c>
      <c r="AW132" s="1625" t="s">
        <v>532</v>
      </c>
      <c r="AX132" s="891">
        <v>136421000</v>
      </c>
      <c r="AY132" s="891">
        <v>68812996</v>
      </c>
      <c r="AZ132" s="891">
        <v>27571937</v>
      </c>
      <c r="BA132" s="891">
        <v>67608004</v>
      </c>
      <c r="BB132" s="1622">
        <f t="shared" ref="BB132:BB149" si="108">+AX132/$BD$1*$BE$1</f>
        <v>136421</v>
      </c>
      <c r="BC132" s="1622">
        <f t="shared" ref="BC132:BC149" si="109">+AY132/$BD$1*$BE$1</f>
        <v>68812.995999999999</v>
      </c>
      <c r="BD132" s="1622">
        <f t="shared" ref="BD132:BD149" si="110">+AZ132/$BD$1*$BE$1</f>
        <v>27571.937000000002</v>
      </c>
      <c r="BE132" s="1622">
        <f t="shared" ref="BE132:BE149" si="111">+BA132/$BD$1*$BE$1</f>
        <v>67608.004000000001</v>
      </c>
      <c r="BM132" s="1625" t="s">
        <v>413</v>
      </c>
      <c r="BN132" s="1627">
        <v>136431000</v>
      </c>
      <c r="BO132" s="1627">
        <v>35557406</v>
      </c>
      <c r="BP132" s="1627">
        <v>70099386</v>
      </c>
      <c r="BQ132" s="1627">
        <v>66331614</v>
      </c>
      <c r="BR132" s="1622">
        <f t="shared" ref="BR132:BR155" si="112">+BN132/$BU$1*$BV$1</f>
        <v>136431</v>
      </c>
      <c r="BS132" s="1622">
        <f t="shared" ref="BS132:BS155" si="113">+BO132/$BU$1*$BV$1</f>
        <v>35557.406000000003</v>
      </c>
      <c r="BT132" s="1622">
        <f t="shared" ref="BT132:BT155" si="114">+BP132/$BU$1*$BV$1</f>
        <v>70099.385999999999</v>
      </c>
      <c r="BU132" s="1622">
        <f t="shared" ref="BU132:BU155" si="115">+BQ132/$BU$1*$BV$1</f>
        <v>66331.614000000001</v>
      </c>
      <c r="CC132" s="1622" t="s">
        <v>1024</v>
      </c>
      <c r="CD132" s="1622">
        <v>90000000</v>
      </c>
      <c r="CE132" s="1622">
        <v>90000000</v>
      </c>
      <c r="CF132" s="1622">
        <v>90000000</v>
      </c>
      <c r="CG132" s="1622">
        <v>0</v>
      </c>
      <c r="CH132" s="1622">
        <f t="shared" ref="CH132:CH157" si="116">+CD132/$CJ$1*$CK$1</f>
        <v>90000</v>
      </c>
      <c r="CI132" s="1622">
        <f t="shared" ref="CI132:CI157" si="117">+CE132/$CJ$1*$CK$1</f>
        <v>90000</v>
      </c>
      <c r="CJ132" s="1622">
        <f t="shared" ref="CJ132:CJ157" si="118">+CF132/$CJ$1*$CK$1</f>
        <v>90000</v>
      </c>
      <c r="CK132" s="1622">
        <f t="shared" ref="CK132:CK157" si="119">+CG132/$CJ$1*$CK$1</f>
        <v>0</v>
      </c>
      <c r="CS132" s="1625" t="s">
        <v>412</v>
      </c>
      <c r="CT132" s="891">
        <v>518867000</v>
      </c>
      <c r="CU132" s="891">
        <v>145986609</v>
      </c>
      <c r="CV132" s="891">
        <v>185984041</v>
      </c>
      <c r="CW132" s="891">
        <v>332882959</v>
      </c>
      <c r="CX132" s="1622">
        <f t="shared" ref="CX132:CX162" si="120">+CT132/$CZ$1*$DA$1</f>
        <v>518867</v>
      </c>
      <c r="CY132" s="1622">
        <f t="shared" ref="CY132:CY162" si="121">+CU132/$CZ$1*$DA$1</f>
        <v>145986.609</v>
      </c>
      <c r="CZ132" s="1622">
        <f t="shared" ref="CZ132:CZ162" si="122">+CV132/$CZ$1*$DA$1</f>
        <v>185984.041</v>
      </c>
      <c r="DA132" s="1622">
        <f t="shared" ref="DA132:DA162" si="123">+CW132/$CZ$1*$DA$1</f>
        <v>332882.95899999997</v>
      </c>
      <c r="DJ132" s="1624" t="s">
        <v>412</v>
      </c>
      <c r="DK132" s="1622">
        <v>518867000</v>
      </c>
      <c r="DL132" s="1622">
        <v>185984041</v>
      </c>
      <c r="DM132" s="1622">
        <v>332882959</v>
      </c>
      <c r="DN132" s="1622">
        <v>153972078</v>
      </c>
      <c r="DO132" s="1622">
        <f t="shared" ref="DO132:DO162" si="124">+DK132/$DS$2*$DT$2</f>
        <v>518867</v>
      </c>
      <c r="DP132" s="1622">
        <f t="shared" ref="DP132:DP162" si="125">+DL132/$DS$2*$DT$2</f>
        <v>185984.041</v>
      </c>
      <c r="DQ132" s="1622">
        <f t="shared" ref="DQ132:DQ162" si="126">+DM132/$DS$2*$DT$2</f>
        <v>332882.95899999997</v>
      </c>
      <c r="DR132" s="1622">
        <f t="shared" ref="DR132:DR162" si="127">+DN132/$DS$2*$DT$2</f>
        <v>153972.07800000001</v>
      </c>
      <c r="EA132" s="780" t="s">
        <v>412</v>
      </c>
      <c r="EB132" s="779">
        <v>518867000</v>
      </c>
      <c r="EC132" s="779">
        <v>160413671</v>
      </c>
      <c r="ED132" s="779">
        <v>185984041</v>
      </c>
      <c r="EE132" s="779">
        <v>332882959</v>
      </c>
      <c r="EF132" s="166">
        <f t="shared" ref="EF132:EF162" si="128">+EB132/$EH$1*$EI$1</f>
        <v>518867</v>
      </c>
      <c r="EG132" s="166">
        <f t="shared" ref="EG132:EG162" si="129">+EC132/$EH$1*$EI$1</f>
        <v>160413.671</v>
      </c>
      <c r="EH132" s="166">
        <f t="shared" ref="EH132:EH162" si="130">+ED132/$EH$1*$EI$1</f>
        <v>185984.041</v>
      </c>
      <c r="EI132" s="166">
        <f t="shared" ref="EI132:EI162" si="131">+EE132/$EH$1*$EI$1</f>
        <v>332882.95899999997</v>
      </c>
    </row>
    <row r="133" spans="1:139" ht="15" customHeight="1" x14ac:dyDescent="0.3">
      <c r="A133" s="1625" t="s">
        <v>995</v>
      </c>
      <c r="B133" s="891">
        <v>0</v>
      </c>
      <c r="C133" s="891">
        <v>0</v>
      </c>
      <c r="D133" s="891">
        <v>0</v>
      </c>
      <c r="E133" s="891">
        <v>0</v>
      </c>
      <c r="F133" s="891">
        <f t="shared" si="96"/>
        <v>0</v>
      </c>
      <c r="G133" s="891">
        <f t="shared" si="97"/>
        <v>0</v>
      </c>
      <c r="H133" s="891">
        <f t="shared" si="98"/>
        <v>0</v>
      </c>
      <c r="I133" s="891">
        <f t="shared" si="99"/>
        <v>0</v>
      </c>
      <c r="Q133" s="1625" t="s">
        <v>995</v>
      </c>
      <c r="R133" s="891">
        <v>0</v>
      </c>
      <c r="S133" s="891">
        <v>0</v>
      </c>
      <c r="T133" s="891">
        <v>0</v>
      </c>
      <c r="U133" s="891">
        <v>0</v>
      </c>
      <c r="V133" s="1622">
        <f t="shared" si="100"/>
        <v>0</v>
      </c>
      <c r="W133" s="1622">
        <f t="shared" si="101"/>
        <v>0</v>
      </c>
      <c r="X133" s="1622">
        <f t="shared" si="102"/>
        <v>0</v>
      </c>
      <c r="Y133" s="1622">
        <f t="shared" si="103"/>
        <v>0</v>
      </c>
      <c r="AG133" s="1625" t="s">
        <v>639</v>
      </c>
      <c r="AH133" s="891">
        <v>165389000</v>
      </c>
      <c r="AI133" s="891">
        <v>43370044</v>
      </c>
      <c r="AJ133" s="891">
        <v>43370044</v>
      </c>
      <c r="AK133" s="891">
        <v>122018956</v>
      </c>
      <c r="AL133" s="1622">
        <f t="shared" si="104"/>
        <v>165389</v>
      </c>
      <c r="AM133" s="1622">
        <f t="shared" si="105"/>
        <v>43370.044000000002</v>
      </c>
      <c r="AN133" s="1622">
        <f t="shared" si="106"/>
        <v>43370.044000000002</v>
      </c>
      <c r="AO133" s="1622">
        <f t="shared" si="107"/>
        <v>122018.95600000001</v>
      </c>
      <c r="AW133" s="1625" t="s">
        <v>638</v>
      </c>
      <c r="AX133" s="891">
        <v>165389000</v>
      </c>
      <c r="AY133" s="891">
        <v>73747996</v>
      </c>
      <c r="AZ133" s="891">
        <v>73747996</v>
      </c>
      <c r="BA133" s="891">
        <v>91641004</v>
      </c>
      <c r="BB133" s="1622">
        <f t="shared" si="108"/>
        <v>165389</v>
      </c>
      <c r="BC133" s="1622">
        <f t="shared" si="109"/>
        <v>73747.995999999999</v>
      </c>
      <c r="BD133" s="1622">
        <f t="shared" si="110"/>
        <v>73747.995999999999</v>
      </c>
      <c r="BE133" s="1622">
        <f t="shared" si="111"/>
        <v>91641.004000000001</v>
      </c>
      <c r="BM133" s="1625" t="s">
        <v>614</v>
      </c>
      <c r="BN133" s="1627">
        <v>10000</v>
      </c>
      <c r="BO133" s="1627">
        <v>0</v>
      </c>
      <c r="BP133" s="1627">
        <v>0</v>
      </c>
      <c r="BQ133" s="1627">
        <v>10000</v>
      </c>
      <c r="BR133" s="1622">
        <f t="shared" si="112"/>
        <v>10</v>
      </c>
      <c r="BS133" s="1622">
        <f t="shared" si="113"/>
        <v>0</v>
      </c>
      <c r="BT133" s="1622">
        <f t="shared" si="114"/>
        <v>0</v>
      </c>
      <c r="BU133" s="1622">
        <f t="shared" si="115"/>
        <v>10</v>
      </c>
      <c r="CC133" s="1622" t="s">
        <v>413</v>
      </c>
      <c r="CD133" s="1622">
        <v>136431000</v>
      </c>
      <c r="CE133" s="1622">
        <v>44636485</v>
      </c>
      <c r="CF133" s="1622">
        <v>71911698</v>
      </c>
      <c r="CG133" s="1622">
        <v>64519302</v>
      </c>
      <c r="CH133" s="1622">
        <f t="shared" si="116"/>
        <v>136431</v>
      </c>
      <c r="CI133" s="1622">
        <f t="shared" si="117"/>
        <v>44636.485000000001</v>
      </c>
      <c r="CJ133" s="1622">
        <f t="shared" si="118"/>
        <v>71911.698000000004</v>
      </c>
      <c r="CK133" s="1622">
        <f t="shared" si="119"/>
        <v>64519.302000000003</v>
      </c>
      <c r="CS133" s="1625" t="s">
        <v>538</v>
      </c>
      <c r="CT133" s="891">
        <v>90000000</v>
      </c>
      <c r="CU133" s="891">
        <v>90000000</v>
      </c>
      <c r="CV133" s="891">
        <v>90000000</v>
      </c>
      <c r="CW133" s="891">
        <v>0</v>
      </c>
      <c r="CX133" s="1622">
        <f t="shared" si="120"/>
        <v>90000</v>
      </c>
      <c r="CY133" s="1622">
        <f t="shared" si="121"/>
        <v>90000</v>
      </c>
      <c r="CZ133" s="1622">
        <f t="shared" si="122"/>
        <v>90000</v>
      </c>
      <c r="DA133" s="1622">
        <f t="shared" si="123"/>
        <v>0</v>
      </c>
      <c r="DJ133" s="1624" t="s">
        <v>538</v>
      </c>
      <c r="DK133" s="1622">
        <v>90000000</v>
      </c>
      <c r="DL133" s="1622">
        <v>90000000</v>
      </c>
      <c r="DM133" s="1622">
        <v>0</v>
      </c>
      <c r="DN133" s="1622">
        <v>90000000</v>
      </c>
      <c r="DO133" s="1622">
        <f t="shared" si="124"/>
        <v>90000</v>
      </c>
      <c r="DP133" s="1622">
        <f t="shared" si="125"/>
        <v>90000</v>
      </c>
      <c r="DQ133" s="1622">
        <f t="shared" si="126"/>
        <v>0</v>
      </c>
      <c r="DR133" s="1622">
        <f t="shared" si="127"/>
        <v>90000</v>
      </c>
      <c r="EA133" s="780" t="s">
        <v>538</v>
      </c>
      <c r="EB133" s="779">
        <v>90000000</v>
      </c>
      <c r="EC133" s="779">
        <v>90000000</v>
      </c>
      <c r="ED133" s="779">
        <v>90000000</v>
      </c>
      <c r="EE133" s="779">
        <v>0</v>
      </c>
      <c r="EF133" s="166">
        <f t="shared" si="128"/>
        <v>90000</v>
      </c>
      <c r="EG133" s="166">
        <f t="shared" si="129"/>
        <v>90000</v>
      </c>
      <c r="EH133" s="166">
        <f t="shared" si="130"/>
        <v>90000</v>
      </c>
      <c r="EI133" s="166">
        <f t="shared" si="131"/>
        <v>0</v>
      </c>
    </row>
    <row r="134" spans="1:139" ht="15" customHeight="1" x14ac:dyDescent="0.3">
      <c r="A134" s="1625" t="s">
        <v>996</v>
      </c>
      <c r="B134" s="891">
        <v>0</v>
      </c>
      <c r="C134" s="891">
        <v>0</v>
      </c>
      <c r="D134" s="891">
        <v>0</v>
      </c>
      <c r="E134" s="891">
        <v>0</v>
      </c>
      <c r="F134" s="891">
        <f t="shared" si="96"/>
        <v>0</v>
      </c>
      <c r="G134" s="891">
        <f t="shared" si="97"/>
        <v>0</v>
      </c>
      <c r="H134" s="891">
        <f t="shared" si="98"/>
        <v>0</v>
      </c>
      <c r="I134" s="891">
        <f t="shared" si="99"/>
        <v>0</v>
      </c>
      <c r="Q134" s="1625" t="s">
        <v>996</v>
      </c>
      <c r="R134" s="891">
        <v>0</v>
      </c>
      <c r="S134" s="891">
        <v>0</v>
      </c>
      <c r="T134" s="891">
        <v>0</v>
      </c>
      <c r="U134" s="891">
        <v>0</v>
      </c>
      <c r="V134" s="1622">
        <f t="shared" si="100"/>
        <v>0</v>
      </c>
      <c r="W134" s="1622">
        <f t="shared" si="101"/>
        <v>0</v>
      </c>
      <c r="X134" s="1622">
        <f t="shared" si="102"/>
        <v>0</v>
      </c>
      <c r="Y134" s="1622">
        <f t="shared" si="103"/>
        <v>0</v>
      </c>
      <c r="AG134" s="1625" t="s">
        <v>995</v>
      </c>
      <c r="AH134" s="891">
        <v>0</v>
      </c>
      <c r="AI134" s="891">
        <v>0</v>
      </c>
      <c r="AJ134" s="891">
        <v>0</v>
      </c>
      <c r="AK134" s="891">
        <v>0</v>
      </c>
      <c r="AL134" s="1622">
        <f t="shared" si="104"/>
        <v>0</v>
      </c>
      <c r="AM134" s="1622">
        <f t="shared" si="105"/>
        <v>0</v>
      </c>
      <c r="AN134" s="1622">
        <f t="shared" si="106"/>
        <v>0</v>
      </c>
      <c r="AO134" s="1622">
        <f t="shared" si="107"/>
        <v>0</v>
      </c>
      <c r="AW134" s="1625" t="s">
        <v>639</v>
      </c>
      <c r="AX134" s="891">
        <v>165389000</v>
      </c>
      <c r="AY134" s="891">
        <v>73747996</v>
      </c>
      <c r="AZ134" s="891">
        <v>73747996</v>
      </c>
      <c r="BA134" s="891">
        <v>91641004</v>
      </c>
      <c r="BB134" s="1622">
        <f t="shared" si="108"/>
        <v>165389</v>
      </c>
      <c r="BC134" s="1622">
        <f t="shared" si="109"/>
        <v>73747.995999999999</v>
      </c>
      <c r="BD134" s="1622">
        <f t="shared" si="110"/>
        <v>73747.995999999999</v>
      </c>
      <c r="BE134" s="1622">
        <f t="shared" si="111"/>
        <v>91641.004000000001</v>
      </c>
      <c r="BM134" s="1625" t="s">
        <v>532</v>
      </c>
      <c r="BN134" s="1627">
        <v>136421000</v>
      </c>
      <c r="BO134" s="1627">
        <v>35557406</v>
      </c>
      <c r="BP134" s="1627">
        <v>70099386</v>
      </c>
      <c r="BQ134" s="1627">
        <v>66321614</v>
      </c>
      <c r="BR134" s="1622">
        <f t="shared" si="112"/>
        <v>136421</v>
      </c>
      <c r="BS134" s="1622">
        <f t="shared" si="113"/>
        <v>35557.406000000003</v>
      </c>
      <c r="BT134" s="1622">
        <f t="shared" si="114"/>
        <v>70099.385999999999</v>
      </c>
      <c r="BU134" s="1622">
        <f t="shared" si="115"/>
        <v>66321.614000000001</v>
      </c>
      <c r="CC134" s="1622" t="s">
        <v>614</v>
      </c>
      <c r="CD134" s="1622">
        <v>10000</v>
      </c>
      <c r="CE134" s="1622">
        <v>0</v>
      </c>
      <c r="CF134" s="1622">
        <v>0</v>
      </c>
      <c r="CG134" s="1622">
        <v>10000</v>
      </c>
      <c r="CH134" s="1622">
        <f t="shared" si="116"/>
        <v>10</v>
      </c>
      <c r="CI134" s="1622">
        <f t="shared" si="117"/>
        <v>0</v>
      </c>
      <c r="CJ134" s="1622">
        <f t="shared" si="118"/>
        <v>0</v>
      </c>
      <c r="CK134" s="1622">
        <f t="shared" si="119"/>
        <v>10</v>
      </c>
      <c r="CS134" s="1625" t="s">
        <v>1024</v>
      </c>
      <c r="CT134" s="891">
        <v>90000000</v>
      </c>
      <c r="CU134" s="891">
        <v>90000000</v>
      </c>
      <c r="CV134" s="891">
        <v>90000000</v>
      </c>
      <c r="CW134" s="891">
        <v>0</v>
      </c>
      <c r="CX134" s="1622">
        <f t="shared" si="120"/>
        <v>90000</v>
      </c>
      <c r="CY134" s="1622">
        <f t="shared" si="121"/>
        <v>90000</v>
      </c>
      <c r="CZ134" s="1622">
        <f t="shared" si="122"/>
        <v>90000</v>
      </c>
      <c r="DA134" s="1622">
        <f t="shared" si="123"/>
        <v>0</v>
      </c>
      <c r="DJ134" s="1624" t="s">
        <v>1024</v>
      </c>
      <c r="DK134" s="1622">
        <v>90000000</v>
      </c>
      <c r="DL134" s="1622">
        <v>90000000</v>
      </c>
      <c r="DM134" s="1622">
        <v>0</v>
      </c>
      <c r="DN134" s="1622">
        <v>90000000</v>
      </c>
      <c r="DO134" s="1622">
        <f t="shared" si="124"/>
        <v>90000</v>
      </c>
      <c r="DP134" s="1622">
        <f t="shared" si="125"/>
        <v>90000</v>
      </c>
      <c r="DQ134" s="1622">
        <f t="shared" si="126"/>
        <v>0</v>
      </c>
      <c r="DR134" s="1622">
        <f t="shared" si="127"/>
        <v>90000</v>
      </c>
      <c r="EA134" s="780" t="s">
        <v>1024</v>
      </c>
      <c r="EB134" s="779">
        <v>90000000</v>
      </c>
      <c r="EC134" s="779">
        <v>90000000</v>
      </c>
      <c r="ED134" s="779">
        <v>90000000</v>
      </c>
      <c r="EE134" s="779">
        <v>0</v>
      </c>
      <c r="EF134" s="166">
        <f t="shared" si="128"/>
        <v>90000</v>
      </c>
      <c r="EG134" s="166">
        <f t="shared" si="129"/>
        <v>90000</v>
      </c>
      <c r="EH134" s="166">
        <f t="shared" si="130"/>
        <v>90000</v>
      </c>
      <c r="EI134" s="166">
        <f t="shared" si="131"/>
        <v>0</v>
      </c>
    </row>
    <row r="135" spans="1:139" ht="15" customHeight="1" x14ac:dyDescent="0.3">
      <c r="A135" s="1625" t="s">
        <v>618</v>
      </c>
      <c r="B135" s="891">
        <v>332151000</v>
      </c>
      <c r="C135" s="891">
        <v>0</v>
      </c>
      <c r="D135" s="891">
        <v>332151000</v>
      </c>
      <c r="E135" s="891">
        <v>0</v>
      </c>
      <c r="F135" s="891">
        <f t="shared" si="96"/>
        <v>332151</v>
      </c>
      <c r="G135" s="891">
        <f t="shared" si="97"/>
        <v>0</v>
      </c>
      <c r="H135" s="891">
        <f t="shared" si="98"/>
        <v>332151</v>
      </c>
      <c r="I135" s="891">
        <f t="shared" si="99"/>
        <v>0</v>
      </c>
      <c r="Q135" s="1625" t="s">
        <v>618</v>
      </c>
      <c r="R135" s="891">
        <v>332151000</v>
      </c>
      <c r="S135" s="891">
        <v>0</v>
      </c>
      <c r="T135" s="891">
        <v>332151000</v>
      </c>
      <c r="U135" s="891">
        <v>0</v>
      </c>
      <c r="V135" s="1622">
        <f t="shared" si="100"/>
        <v>332151</v>
      </c>
      <c r="W135" s="1622">
        <f t="shared" si="101"/>
        <v>0</v>
      </c>
      <c r="X135" s="1622">
        <f t="shared" si="102"/>
        <v>332151</v>
      </c>
      <c r="Y135" s="1622">
        <f t="shared" si="103"/>
        <v>0</v>
      </c>
      <c r="AG135" s="1625" t="s">
        <v>996</v>
      </c>
      <c r="AH135" s="891">
        <v>0</v>
      </c>
      <c r="AI135" s="891">
        <v>0</v>
      </c>
      <c r="AJ135" s="891">
        <v>0</v>
      </c>
      <c r="AK135" s="891">
        <v>0</v>
      </c>
      <c r="AL135" s="1622">
        <f t="shared" si="104"/>
        <v>0</v>
      </c>
      <c r="AM135" s="1622">
        <f t="shared" si="105"/>
        <v>0</v>
      </c>
      <c r="AN135" s="1622">
        <f t="shared" si="106"/>
        <v>0</v>
      </c>
      <c r="AO135" s="1622">
        <f t="shared" si="107"/>
        <v>0</v>
      </c>
      <c r="AW135" s="1625" t="s">
        <v>995</v>
      </c>
      <c r="AX135" s="891">
        <v>0</v>
      </c>
      <c r="AY135" s="891">
        <v>0</v>
      </c>
      <c r="AZ135" s="891">
        <v>0</v>
      </c>
      <c r="BA135" s="891">
        <v>0</v>
      </c>
      <c r="BB135" s="1622">
        <f t="shared" si="108"/>
        <v>0</v>
      </c>
      <c r="BC135" s="1622">
        <f t="shared" si="109"/>
        <v>0</v>
      </c>
      <c r="BD135" s="1622">
        <f t="shared" si="110"/>
        <v>0</v>
      </c>
      <c r="BE135" s="1622">
        <f t="shared" si="111"/>
        <v>0</v>
      </c>
      <c r="BM135" s="1625" t="s">
        <v>495</v>
      </c>
      <c r="BN135" s="1627">
        <v>292436000</v>
      </c>
      <c r="BO135" s="1627">
        <v>0</v>
      </c>
      <c r="BP135" s="1627">
        <v>0</v>
      </c>
      <c r="BQ135" s="1627">
        <v>292436000</v>
      </c>
      <c r="BR135" s="1622">
        <f t="shared" si="112"/>
        <v>292436</v>
      </c>
      <c r="BS135" s="1622">
        <f t="shared" si="113"/>
        <v>0</v>
      </c>
      <c r="BT135" s="1622">
        <f t="shared" si="114"/>
        <v>0</v>
      </c>
      <c r="BU135" s="1622">
        <f t="shared" si="115"/>
        <v>292436</v>
      </c>
      <c r="CC135" s="1622" t="s">
        <v>532</v>
      </c>
      <c r="CD135" s="1622">
        <v>136421000</v>
      </c>
      <c r="CE135" s="1622">
        <v>44636485</v>
      </c>
      <c r="CF135" s="1622">
        <v>71911698</v>
      </c>
      <c r="CG135" s="1622">
        <v>64509302</v>
      </c>
      <c r="CH135" s="1622">
        <f t="shared" si="116"/>
        <v>136421</v>
      </c>
      <c r="CI135" s="1622">
        <f t="shared" si="117"/>
        <v>44636.485000000001</v>
      </c>
      <c r="CJ135" s="1622">
        <f t="shared" si="118"/>
        <v>71911.698000000004</v>
      </c>
      <c r="CK135" s="1622">
        <f t="shared" si="119"/>
        <v>64509.302000000003</v>
      </c>
      <c r="CS135" s="1625" t="s">
        <v>413</v>
      </c>
      <c r="CT135" s="891">
        <v>136431000</v>
      </c>
      <c r="CU135" s="891">
        <v>55986609</v>
      </c>
      <c r="CV135" s="891">
        <v>95984041</v>
      </c>
      <c r="CW135" s="891">
        <v>40446959</v>
      </c>
      <c r="CX135" s="1622">
        <f t="shared" si="120"/>
        <v>136431</v>
      </c>
      <c r="CY135" s="1622">
        <f t="shared" si="121"/>
        <v>55986.608999999997</v>
      </c>
      <c r="CZ135" s="1622">
        <f t="shared" si="122"/>
        <v>95984.040999999997</v>
      </c>
      <c r="DA135" s="1622">
        <f t="shared" si="123"/>
        <v>40446.959000000003</v>
      </c>
      <c r="DJ135" s="1624" t="s">
        <v>413</v>
      </c>
      <c r="DK135" s="1622">
        <v>136431000</v>
      </c>
      <c r="DL135" s="1622">
        <v>95984041</v>
      </c>
      <c r="DM135" s="1622">
        <v>40446959</v>
      </c>
      <c r="DN135" s="1622">
        <v>63972078</v>
      </c>
      <c r="DO135" s="1622">
        <f t="shared" si="124"/>
        <v>136431</v>
      </c>
      <c r="DP135" s="1622">
        <f t="shared" si="125"/>
        <v>95984.040999999997</v>
      </c>
      <c r="DQ135" s="1622">
        <f t="shared" si="126"/>
        <v>40446.959000000003</v>
      </c>
      <c r="DR135" s="1622">
        <f t="shared" si="127"/>
        <v>63972.078000000001</v>
      </c>
      <c r="EA135" s="780" t="s">
        <v>413</v>
      </c>
      <c r="EB135" s="779">
        <v>136431000</v>
      </c>
      <c r="EC135" s="779">
        <v>70413671</v>
      </c>
      <c r="ED135" s="779">
        <v>95984041</v>
      </c>
      <c r="EE135" s="779">
        <v>40446959</v>
      </c>
      <c r="EF135" s="166">
        <f t="shared" si="128"/>
        <v>136431</v>
      </c>
      <c r="EG135" s="166">
        <f t="shared" si="129"/>
        <v>70413.671000000002</v>
      </c>
      <c r="EH135" s="166">
        <f t="shared" si="130"/>
        <v>95984.040999999997</v>
      </c>
      <c r="EI135" s="166">
        <f t="shared" si="131"/>
        <v>40446.959000000003</v>
      </c>
    </row>
    <row r="136" spans="1:139" ht="15" customHeight="1" x14ac:dyDescent="0.3">
      <c r="A136" s="1625" t="s">
        <v>929</v>
      </c>
      <c r="B136" s="891">
        <v>82914000</v>
      </c>
      <c r="C136" s="891">
        <v>0</v>
      </c>
      <c r="D136" s="891">
        <v>82914000</v>
      </c>
      <c r="E136" s="891">
        <v>0</v>
      </c>
      <c r="F136" s="891">
        <f t="shared" si="96"/>
        <v>82914</v>
      </c>
      <c r="G136" s="891">
        <f t="shared" si="97"/>
        <v>0</v>
      </c>
      <c r="H136" s="891">
        <f t="shared" si="98"/>
        <v>82914</v>
      </c>
      <c r="I136" s="891">
        <f t="shared" si="99"/>
        <v>0</v>
      </c>
      <c r="Q136" s="1625" t="s">
        <v>929</v>
      </c>
      <c r="R136" s="891">
        <v>82914000</v>
      </c>
      <c r="S136" s="891">
        <v>0</v>
      </c>
      <c r="T136" s="891">
        <v>82914000</v>
      </c>
      <c r="U136" s="891">
        <v>0</v>
      </c>
      <c r="V136" s="1622">
        <f t="shared" si="100"/>
        <v>82914</v>
      </c>
      <c r="W136" s="1622">
        <f t="shared" si="101"/>
        <v>0</v>
      </c>
      <c r="X136" s="1622">
        <f t="shared" si="102"/>
        <v>82914</v>
      </c>
      <c r="Y136" s="1622">
        <f t="shared" si="103"/>
        <v>0</v>
      </c>
      <c r="AG136" s="1625" t="s">
        <v>618</v>
      </c>
      <c r="AH136" s="891">
        <v>332151000</v>
      </c>
      <c r="AI136" s="891">
        <v>0</v>
      </c>
      <c r="AJ136" s="891">
        <v>357000</v>
      </c>
      <c r="AK136" s="891">
        <v>331794000</v>
      </c>
      <c r="AL136" s="1622">
        <f t="shared" si="104"/>
        <v>332151</v>
      </c>
      <c r="AM136" s="1622">
        <f t="shared" si="105"/>
        <v>0</v>
      </c>
      <c r="AN136" s="1622">
        <f t="shared" si="106"/>
        <v>357</v>
      </c>
      <c r="AO136" s="1622">
        <f t="shared" si="107"/>
        <v>331794</v>
      </c>
      <c r="AW136" s="1625" t="s">
        <v>996</v>
      </c>
      <c r="AX136" s="891">
        <v>0</v>
      </c>
      <c r="AY136" s="891">
        <v>0</v>
      </c>
      <c r="AZ136" s="891">
        <v>0</v>
      </c>
      <c r="BA136" s="891">
        <v>0</v>
      </c>
      <c r="BB136" s="1622">
        <f t="shared" si="108"/>
        <v>0</v>
      </c>
      <c r="BC136" s="1622">
        <f t="shared" si="109"/>
        <v>0</v>
      </c>
      <c r="BD136" s="1622">
        <f t="shared" si="110"/>
        <v>0</v>
      </c>
      <c r="BE136" s="1622">
        <f t="shared" si="111"/>
        <v>0</v>
      </c>
      <c r="BM136" s="1625" t="s">
        <v>615</v>
      </c>
      <c r="BN136" s="1627">
        <v>165000000</v>
      </c>
      <c r="BO136" s="1627">
        <v>0</v>
      </c>
      <c r="BP136" s="1627">
        <v>0</v>
      </c>
      <c r="BQ136" s="1627">
        <v>165000000</v>
      </c>
      <c r="BR136" s="1622">
        <f t="shared" si="112"/>
        <v>165000</v>
      </c>
      <c r="BS136" s="1622">
        <f t="shared" si="113"/>
        <v>0</v>
      </c>
      <c r="BT136" s="1622">
        <f t="shared" si="114"/>
        <v>0</v>
      </c>
      <c r="BU136" s="1622">
        <f t="shared" si="115"/>
        <v>165000</v>
      </c>
      <c r="CC136" s="1622" t="s">
        <v>495</v>
      </c>
      <c r="CD136" s="1622">
        <v>292436000</v>
      </c>
      <c r="CE136" s="1622">
        <v>0</v>
      </c>
      <c r="CF136" s="1622">
        <v>0</v>
      </c>
      <c r="CG136" s="1622">
        <v>292436000</v>
      </c>
      <c r="CH136" s="1622">
        <f t="shared" si="116"/>
        <v>292436</v>
      </c>
      <c r="CI136" s="1622">
        <f t="shared" si="117"/>
        <v>0</v>
      </c>
      <c r="CJ136" s="1622">
        <f t="shared" si="118"/>
        <v>0</v>
      </c>
      <c r="CK136" s="1622">
        <f t="shared" si="119"/>
        <v>292436</v>
      </c>
      <c r="CS136" s="1625" t="s">
        <v>614</v>
      </c>
      <c r="CT136" s="891">
        <v>10000</v>
      </c>
      <c r="CU136" s="891">
        <v>0</v>
      </c>
      <c r="CV136" s="891">
        <v>0</v>
      </c>
      <c r="CW136" s="891">
        <v>10000</v>
      </c>
      <c r="CX136" s="1622">
        <f t="shared" si="120"/>
        <v>10</v>
      </c>
      <c r="CY136" s="1622">
        <f t="shared" si="121"/>
        <v>0</v>
      </c>
      <c r="CZ136" s="1622">
        <f t="shared" si="122"/>
        <v>0</v>
      </c>
      <c r="DA136" s="1622">
        <f t="shared" si="123"/>
        <v>10</v>
      </c>
      <c r="DJ136" s="1624" t="s">
        <v>614</v>
      </c>
      <c r="DK136" s="1622">
        <v>10000</v>
      </c>
      <c r="DL136" s="1622">
        <v>0</v>
      </c>
      <c r="DM136" s="1622">
        <v>10000</v>
      </c>
      <c r="DN136" s="1622">
        <v>0</v>
      </c>
      <c r="DO136" s="1622">
        <f t="shared" si="124"/>
        <v>10</v>
      </c>
      <c r="DP136" s="1622">
        <f t="shared" si="125"/>
        <v>0</v>
      </c>
      <c r="DQ136" s="1622">
        <f t="shared" si="126"/>
        <v>10</v>
      </c>
      <c r="DR136" s="1622">
        <f t="shared" si="127"/>
        <v>0</v>
      </c>
      <c r="EA136" s="780" t="s">
        <v>614</v>
      </c>
      <c r="EB136" s="779">
        <v>10000</v>
      </c>
      <c r="EC136" s="779">
        <v>0</v>
      </c>
      <c r="ED136" s="779">
        <v>0</v>
      </c>
      <c r="EE136" s="779">
        <v>10000</v>
      </c>
      <c r="EF136" s="166">
        <f t="shared" si="128"/>
        <v>10</v>
      </c>
      <c r="EG136" s="166">
        <f t="shared" si="129"/>
        <v>0</v>
      </c>
      <c r="EH136" s="166">
        <f t="shared" si="130"/>
        <v>0</v>
      </c>
      <c r="EI136" s="166">
        <f t="shared" si="131"/>
        <v>10</v>
      </c>
    </row>
    <row r="137" spans="1:139" ht="15" customHeight="1" x14ac:dyDescent="0.3">
      <c r="A137" s="1625" t="s">
        <v>997</v>
      </c>
      <c r="B137" s="891">
        <v>16508000</v>
      </c>
      <c r="C137" s="891">
        <v>0</v>
      </c>
      <c r="D137" s="891">
        <v>16508000</v>
      </c>
      <c r="E137" s="891">
        <v>0</v>
      </c>
      <c r="F137" s="891">
        <f t="shared" si="96"/>
        <v>16508</v>
      </c>
      <c r="G137" s="891">
        <f t="shared" si="97"/>
        <v>0</v>
      </c>
      <c r="H137" s="891">
        <f t="shared" si="98"/>
        <v>16508</v>
      </c>
      <c r="I137" s="891">
        <f t="shared" si="99"/>
        <v>0</v>
      </c>
      <c r="Q137" s="1625" t="s">
        <v>997</v>
      </c>
      <c r="R137" s="891">
        <v>16508000</v>
      </c>
      <c r="S137" s="891">
        <v>0</v>
      </c>
      <c r="T137" s="891">
        <v>16508000</v>
      </c>
      <c r="U137" s="891">
        <v>0</v>
      </c>
      <c r="V137" s="1622">
        <f t="shared" si="100"/>
        <v>16508</v>
      </c>
      <c r="W137" s="1622">
        <f t="shared" si="101"/>
        <v>0</v>
      </c>
      <c r="X137" s="1622">
        <f t="shared" si="102"/>
        <v>16508</v>
      </c>
      <c r="Y137" s="1622">
        <f t="shared" si="103"/>
        <v>0</v>
      </c>
      <c r="AG137" s="1625" t="s">
        <v>929</v>
      </c>
      <c r="AH137" s="891">
        <v>82914000</v>
      </c>
      <c r="AI137" s="891">
        <v>0</v>
      </c>
      <c r="AJ137" s="891">
        <v>0</v>
      </c>
      <c r="AK137" s="891">
        <v>82914000</v>
      </c>
      <c r="AL137" s="1622">
        <f t="shared" si="104"/>
        <v>82914</v>
      </c>
      <c r="AM137" s="1622">
        <f t="shared" si="105"/>
        <v>0</v>
      </c>
      <c r="AN137" s="1622">
        <f t="shared" si="106"/>
        <v>0</v>
      </c>
      <c r="AO137" s="1622">
        <f t="shared" si="107"/>
        <v>82914</v>
      </c>
      <c r="AW137" s="1625" t="s">
        <v>618</v>
      </c>
      <c r="AX137" s="891">
        <v>332151000</v>
      </c>
      <c r="AY137" s="891">
        <v>13497000</v>
      </c>
      <c r="AZ137" s="891">
        <v>4140000</v>
      </c>
      <c r="BA137" s="891">
        <v>318654000</v>
      </c>
      <c r="BB137" s="1622">
        <f t="shared" si="108"/>
        <v>332151</v>
      </c>
      <c r="BC137" s="1622">
        <f t="shared" si="109"/>
        <v>13497</v>
      </c>
      <c r="BD137" s="1622">
        <f t="shared" si="110"/>
        <v>4140</v>
      </c>
      <c r="BE137" s="1622">
        <f t="shared" si="111"/>
        <v>318654</v>
      </c>
      <c r="BM137" s="1625" t="s">
        <v>1025</v>
      </c>
      <c r="BN137" s="1627">
        <v>51678000</v>
      </c>
      <c r="BO137" s="1627">
        <v>0</v>
      </c>
      <c r="BP137" s="1627">
        <v>0</v>
      </c>
      <c r="BQ137" s="1627">
        <v>51678000</v>
      </c>
      <c r="BR137" s="1622">
        <f t="shared" si="112"/>
        <v>51678</v>
      </c>
      <c r="BS137" s="1622">
        <f t="shared" si="113"/>
        <v>0</v>
      </c>
      <c r="BT137" s="1622">
        <f t="shared" si="114"/>
        <v>0</v>
      </c>
      <c r="BU137" s="1622">
        <f t="shared" si="115"/>
        <v>51678</v>
      </c>
      <c r="CC137" s="1622" t="s">
        <v>615</v>
      </c>
      <c r="CD137" s="1622">
        <v>165000000</v>
      </c>
      <c r="CE137" s="1622">
        <v>0</v>
      </c>
      <c r="CF137" s="1622">
        <v>0</v>
      </c>
      <c r="CG137" s="1622">
        <v>165000000</v>
      </c>
      <c r="CH137" s="1622">
        <f t="shared" si="116"/>
        <v>165000</v>
      </c>
      <c r="CI137" s="1622">
        <f t="shared" si="117"/>
        <v>0</v>
      </c>
      <c r="CJ137" s="1622">
        <f t="shared" si="118"/>
        <v>0</v>
      </c>
      <c r="CK137" s="1622">
        <f t="shared" si="119"/>
        <v>165000</v>
      </c>
      <c r="CS137" s="1625" t="s">
        <v>532</v>
      </c>
      <c r="CT137" s="891">
        <v>136421000</v>
      </c>
      <c r="CU137" s="891">
        <v>55986609</v>
      </c>
      <c r="CV137" s="891">
        <v>95984041</v>
      </c>
      <c r="CW137" s="891">
        <v>40436959</v>
      </c>
      <c r="CX137" s="1622">
        <f t="shared" si="120"/>
        <v>136421</v>
      </c>
      <c r="CY137" s="1622">
        <f t="shared" si="121"/>
        <v>55986.608999999997</v>
      </c>
      <c r="CZ137" s="1622">
        <f t="shared" si="122"/>
        <v>95984.040999999997</v>
      </c>
      <c r="DA137" s="1622">
        <f t="shared" si="123"/>
        <v>40436.959000000003</v>
      </c>
      <c r="DJ137" s="1624" t="s">
        <v>532</v>
      </c>
      <c r="DK137" s="1622">
        <v>136421000</v>
      </c>
      <c r="DL137" s="1622">
        <v>95984041</v>
      </c>
      <c r="DM137" s="1622">
        <v>40436959</v>
      </c>
      <c r="DN137" s="1622">
        <v>63972078</v>
      </c>
      <c r="DO137" s="1622">
        <f t="shared" si="124"/>
        <v>136421</v>
      </c>
      <c r="DP137" s="1622">
        <f t="shared" si="125"/>
        <v>95984.040999999997</v>
      </c>
      <c r="DQ137" s="1622">
        <f t="shared" si="126"/>
        <v>40436.959000000003</v>
      </c>
      <c r="DR137" s="1622">
        <f t="shared" si="127"/>
        <v>63972.078000000001</v>
      </c>
      <c r="EA137" s="780" t="s">
        <v>532</v>
      </c>
      <c r="EB137" s="779">
        <v>136421000</v>
      </c>
      <c r="EC137" s="779">
        <v>70413671</v>
      </c>
      <c r="ED137" s="779">
        <v>95984041</v>
      </c>
      <c r="EE137" s="779">
        <v>40436959</v>
      </c>
      <c r="EF137" s="166">
        <f t="shared" si="128"/>
        <v>136421</v>
      </c>
      <c r="EG137" s="166">
        <f t="shared" si="129"/>
        <v>70413.671000000002</v>
      </c>
      <c r="EH137" s="166">
        <f t="shared" si="130"/>
        <v>95984.040999999997</v>
      </c>
      <c r="EI137" s="166">
        <f t="shared" si="131"/>
        <v>40436.959000000003</v>
      </c>
    </row>
    <row r="138" spans="1:139" ht="15" customHeight="1" x14ac:dyDescent="0.3">
      <c r="A138" s="1625" t="s">
        <v>415</v>
      </c>
      <c r="B138" s="891">
        <v>232729000</v>
      </c>
      <c r="C138" s="891">
        <v>0</v>
      </c>
      <c r="D138" s="891">
        <v>232729000</v>
      </c>
      <c r="E138" s="891">
        <v>0</v>
      </c>
      <c r="F138" s="891">
        <f t="shared" si="96"/>
        <v>232729</v>
      </c>
      <c r="G138" s="891">
        <f t="shared" si="97"/>
        <v>0</v>
      </c>
      <c r="H138" s="891">
        <f t="shared" si="98"/>
        <v>232729</v>
      </c>
      <c r="I138" s="891">
        <f t="shared" si="99"/>
        <v>0</v>
      </c>
      <c r="Q138" s="1625" t="s">
        <v>415</v>
      </c>
      <c r="R138" s="891">
        <v>232729000</v>
      </c>
      <c r="S138" s="891">
        <v>0</v>
      </c>
      <c r="T138" s="891">
        <v>232729000</v>
      </c>
      <c r="U138" s="891">
        <v>0</v>
      </c>
      <c r="V138" s="1622">
        <f t="shared" si="100"/>
        <v>232729</v>
      </c>
      <c r="W138" s="1622">
        <f t="shared" si="101"/>
        <v>0</v>
      </c>
      <c r="X138" s="1622">
        <f t="shared" si="102"/>
        <v>232729</v>
      </c>
      <c r="Y138" s="1622">
        <f t="shared" si="103"/>
        <v>0</v>
      </c>
      <c r="AG138" s="1625" t="s">
        <v>997</v>
      </c>
      <c r="AH138" s="891">
        <v>16508000</v>
      </c>
      <c r="AI138" s="891">
        <v>0</v>
      </c>
      <c r="AJ138" s="891">
        <v>0</v>
      </c>
      <c r="AK138" s="891">
        <v>16508000</v>
      </c>
      <c r="AL138" s="1622">
        <f t="shared" si="104"/>
        <v>16508</v>
      </c>
      <c r="AM138" s="1622">
        <f t="shared" si="105"/>
        <v>0</v>
      </c>
      <c r="AN138" s="1622">
        <f t="shared" si="106"/>
        <v>0</v>
      </c>
      <c r="AO138" s="1622">
        <f t="shared" si="107"/>
        <v>16508</v>
      </c>
      <c r="AW138" s="1625" t="s">
        <v>929</v>
      </c>
      <c r="AX138" s="891">
        <v>82914000</v>
      </c>
      <c r="AY138" s="891">
        <v>0</v>
      </c>
      <c r="AZ138" s="891">
        <v>0</v>
      </c>
      <c r="BA138" s="891">
        <v>82914000</v>
      </c>
      <c r="BB138" s="1622">
        <f t="shared" si="108"/>
        <v>82914</v>
      </c>
      <c r="BC138" s="1622">
        <f t="shared" si="109"/>
        <v>0</v>
      </c>
      <c r="BD138" s="1622">
        <f t="shared" si="110"/>
        <v>0</v>
      </c>
      <c r="BE138" s="1622">
        <f t="shared" si="111"/>
        <v>82914</v>
      </c>
      <c r="BM138" s="1625" t="s">
        <v>617</v>
      </c>
      <c r="BN138" s="1627">
        <v>75758000</v>
      </c>
      <c r="BO138" s="1627">
        <v>0</v>
      </c>
      <c r="BP138" s="1627">
        <v>0</v>
      </c>
      <c r="BQ138" s="1627">
        <v>75758000</v>
      </c>
      <c r="BR138" s="1622">
        <f t="shared" si="112"/>
        <v>75758</v>
      </c>
      <c r="BS138" s="1622">
        <f t="shared" si="113"/>
        <v>0</v>
      </c>
      <c r="BT138" s="1622">
        <f t="shared" si="114"/>
        <v>0</v>
      </c>
      <c r="BU138" s="1622">
        <f t="shared" si="115"/>
        <v>75758</v>
      </c>
      <c r="CC138" s="1622" t="s">
        <v>1025</v>
      </c>
      <c r="CD138" s="1622">
        <v>51678000</v>
      </c>
      <c r="CE138" s="1622">
        <v>0</v>
      </c>
      <c r="CF138" s="1622">
        <v>0</v>
      </c>
      <c r="CG138" s="1622">
        <v>51678000</v>
      </c>
      <c r="CH138" s="1622">
        <f t="shared" si="116"/>
        <v>51678</v>
      </c>
      <c r="CI138" s="1622">
        <f t="shared" si="117"/>
        <v>0</v>
      </c>
      <c r="CJ138" s="1622">
        <f t="shared" si="118"/>
        <v>0</v>
      </c>
      <c r="CK138" s="1622">
        <f t="shared" si="119"/>
        <v>51678</v>
      </c>
      <c r="CS138" s="1625" t="s">
        <v>495</v>
      </c>
      <c r="CT138" s="891">
        <v>292436000</v>
      </c>
      <c r="CU138" s="891">
        <v>0</v>
      </c>
      <c r="CV138" s="891">
        <v>0</v>
      </c>
      <c r="CW138" s="891">
        <v>292436000</v>
      </c>
      <c r="CX138" s="1622">
        <f t="shared" si="120"/>
        <v>292436</v>
      </c>
      <c r="CY138" s="1622">
        <f t="shared" si="121"/>
        <v>0</v>
      </c>
      <c r="CZ138" s="1622">
        <f t="shared" si="122"/>
        <v>0</v>
      </c>
      <c r="DA138" s="1622">
        <f t="shared" si="123"/>
        <v>292436</v>
      </c>
      <c r="DJ138" s="1624" t="s">
        <v>495</v>
      </c>
      <c r="DK138" s="1622">
        <v>292436000</v>
      </c>
      <c r="DL138" s="1622">
        <v>0</v>
      </c>
      <c r="DM138" s="1622">
        <v>292436000</v>
      </c>
      <c r="DN138" s="1622">
        <v>0</v>
      </c>
      <c r="DO138" s="1622">
        <f t="shared" si="124"/>
        <v>292436</v>
      </c>
      <c r="DP138" s="1622">
        <f t="shared" si="125"/>
        <v>0</v>
      </c>
      <c r="DQ138" s="1622">
        <f t="shared" si="126"/>
        <v>292436</v>
      </c>
      <c r="DR138" s="1622">
        <f t="shared" si="127"/>
        <v>0</v>
      </c>
      <c r="EA138" s="780" t="s">
        <v>495</v>
      </c>
      <c r="EB138" s="779">
        <v>292436000</v>
      </c>
      <c r="EC138" s="779">
        <v>0</v>
      </c>
      <c r="ED138" s="779">
        <v>0</v>
      </c>
      <c r="EE138" s="779">
        <v>292436000</v>
      </c>
      <c r="EF138" s="166">
        <f t="shared" si="128"/>
        <v>292436</v>
      </c>
      <c r="EG138" s="166">
        <f t="shared" si="129"/>
        <v>0</v>
      </c>
      <c r="EH138" s="166">
        <f t="shared" si="130"/>
        <v>0</v>
      </c>
      <c r="EI138" s="166">
        <f t="shared" si="131"/>
        <v>292436</v>
      </c>
    </row>
    <row r="139" spans="1:139" ht="15" customHeight="1" x14ac:dyDescent="0.3">
      <c r="A139" s="1625" t="s">
        <v>620</v>
      </c>
      <c r="B139" s="891">
        <v>232729000</v>
      </c>
      <c r="C139" s="891">
        <v>0</v>
      </c>
      <c r="D139" s="891">
        <v>232729000</v>
      </c>
      <c r="E139" s="891">
        <v>0</v>
      </c>
      <c r="F139" s="891">
        <f t="shared" si="96"/>
        <v>232729</v>
      </c>
      <c r="G139" s="891">
        <f t="shared" si="97"/>
        <v>0</v>
      </c>
      <c r="H139" s="891">
        <f t="shared" si="98"/>
        <v>232729</v>
      </c>
      <c r="I139" s="891">
        <f t="shared" si="99"/>
        <v>0</v>
      </c>
      <c r="Q139" s="1625" t="s">
        <v>620</v>
      </c>
      <c r="R139" s="891">
        <v>232729000</v>
      </c>
      <c r="S139" s="891">
        <v>0</v>
      </c>
      <c r="T139" s="891">
        <v>232729000</v>
      </c>
      <c r="U139" s="891">
        <v>0</v>
      </c>
      <c r="V139" s="1622">
        <f t="shared" si="100"/>
        <v>232729</v>
      </c>
      <c r="W139" s="1622">
        <f t="shared" si="101"/>
        <v>0</v>
      </c>
      <c r="X139" s="1622">
        <f t="shared" si="102"/>
        <v>232729</v>
      </c>
      <c r="Y139" s="1622">
        <f t="shared" si="103"/>
        <v>0</v>
      </c>
      <c r="AG139" s="1625" t="s">
        <v>415</v>
      </c>
      <c r="AH139" s="891">
        <v>232729000</v>
      </c>
      <c r="AI139" s="891">
        <v>0</v>
      </c>
      <c r="AJ139" s="891">
        <v>357000</v>
      </c>
      <c r="AK139" s="891">
        <v>232372000</v>
      </c>
      <c r="AL139" s="1622">
        <f t="shared" si="104"/>
        <v>232729</v>
      </c>
      <c r="AM139" s="1622">
        <f t="shared" si="105"/>
        <v>0</v>
      </c>
      <c r="AN139" s="1622">
        <f t="shared" si="106"/>
        <v>357</v>
      </c>
      <c r="AO139" s="1622">
        <f t="shared" si="107"/>
        <v>232372</v>
      </c>
      <c r="AW139" s="1625" t="s">
        <v>997</v>
      </c>
      <c r="AX139" s="891">
        <v>16508000</v>
      </c>
      <c r="AY139" s="891">
        <v>0</v>
      </c>
      <c r="AZ139" s="891">
        <v>0</v>
      </c>
      <c r="BA139" s="891">
        <v>16508000</v>
      </c>
      <c r="BB139" s="1622">
        <f t="shared" si="108"/>
        <v>16508</v>
      </c>
      <c r="BC139" s="1622">
        <f t="shared" si="109"/>
        <v>0</v>
      </c>
      <c r="BD139" s="1622">
        <f t="shared" si="110"/>
        <v>0</v>
      </c>
      <c r="BE139" s="1622">
        <f t="shared" si="111"/>
        <v>16508</v>
      </c>
      <c r="BM139" s="1625" t="s">
        <v>638</v>
      </c>
      <c r="BN139" s="1627">
        <v>165389000</v>
      </c>
      <c r="BO139" s="1627">
        <v>189458585</v>
      </c>
      <c r="BP139" s="1627">
        <v>189458585</v>
      </c>
      <c r="BQ139" s="1627">
        <v>-24069585</v>
      </c>
      <c r="BR139" s="1622">
        <f t="shared" si="112"/>
        <v>165389</v>
      </c>
      <c r="BS139" s="1622">
        <f t="shared" si="113"/>
        <v>189458.58499999999</v>
      </c>
      <c r="BT139" s="1622">
        <f t="shared" si="114"/>
        <v>189458.58499999999</v>
      </c>
      <c r="BU139" s="1622">
        <f t="shared" si="115"/>
        <v>-24069.584999999999</v>
      </c>
      <c r="CC139" s="1622" t="s">
        <v>617</v>
      </c>
      <c r="CD139" s="1622">
        <v>75758000</v>
      </c>
      <c r="CE139" s="1622">
        <v>0</v>
      </c>
      <c r="CF139" s="1622">
        <v>0</v>
      </c>
      <c r="CG139" s="1622">
        <v>75758000</v>
      </c>
      <c r="CH139" s="1622">
        <f t="shared" si="116"/>
        <v>75758</v>
      </c>
      <c r="CI139" s="1622">
        <f t="shared" si="117"/>
        <v>0</v>
      </c>
      <c r="CJ139" s="1622">
        <f t="shared" si="118"/>
        <v>0</v>
      </c>
      <c r="CK139" s="1622">
        <f t="shared" si="119"/>
        <v>75758</v>
      </c>
      <c r="CS139" s="1625" t="s">
        <v>615</v>
      </c>
      <c r="CT139" s="891">
        <v>165000000</v>
      </c>
      <c r="CU139" s="891">
        <v>0</v>
      </c>
      <c r="CV139" s="891">
        <v>0</v>
      </c>
      <c r="CW139" s="891">
        <v>165000000</v>
      </c>
      <c r="CX139" s="1622">
        <f t="shared" si="120"/>
        <v>165000</v>
      </c>
      <c r="CY139" s="1622">
        <f t="shared" si="121"/>
        <v>0</v>
      </c>
      <c r="CZ139" s="1622">
        <f t="shared" si="122"/>
        <v>0</v>
      </c>
      <c r="DA139" s="1622">
        <f t="shared" si="123"/>
        <v>165000</v>
      </c>
      <c r="DJ139" s="1624" t="s">
        <v>615</v>
      </c>
      <c r="DK139" s="1622">
        <v>165000000</v>
      </c>
      <c r="DL139" s="1622">
        <v>0</v>
      </c>
      <c r="DM139" s="1622">
        <v>165000000</v>
      </c>
      <c r="DN139" s="1622">
        <v>0</v>
      </c>
      <c r="DO139" s="1622">
        <f t="shared" si="124"/>
        <v>165000</v>
      </c>
      <c r="DP139" s="1622">
        <f t="shared" si="125"/>
        <v>0</v>
      </c>
      <c r="DQ139" s="1622">
        <f t="shared" si="126"/>
        <v>165000</v>
      </c>
      <c r="DR139" s="1622">
        <f t="shared" si="127"/>
        <v>0</v>
      </c>
      <c r="EA139" s="780" t="s">
        <v>615</v>
      </c>
      <c r="EB139" s="779">
        <v>165000000</v>
      </c>
      <c r="EC139" s="779">
        <v>0</v>
      </c>
      <c r="ED139" s="779">
        <v>0</v>
      </c>
      <c r="EE139" s="779">
        <v>165000000</v>
      </c>
      <c r="EF139" s="166">
        <f t="shared" si="128"/>
        <v>165000</v>
      </c>
      <c r="EG139" s="166">
        <f t="shared" si="129"/>
        <v>0</v>
      </c>
      <c r="EH139" s="166">
        <f t="shared" si="130"/>
        <v>0</v>
      </c>
      <c r="EI139" s="166">
        <f t="shared" si="131"/>
        <v>165000</v>
      </c>
    </row>
    <row r="140" spans="1:139" ht="15" customHeight="1" x14ac:dyDescent="0.3">
      <c r="A140" s="1625" t="s">
        <v>416</v>
      </c>
      <c r="B140" s="891">
        <v>17962478000</v>
      </c>
      <c r="C140" s="891">
        <v>1044492824</v>
      </c>
      <c r="D140" s="891">
        <v>16917985176</v>
      </c>
      <c r="E140" s="891">
        <v>1044492824</v>
      </c>
      <c r="F140" s="891">
        <f t="shared" si="96"/>
        <v>17962478</v>
      </c>
      <c r="G140" s="891">
        <f t="shared" si="97"/>
        <v>1044492.824</v>
      </c>
      <c r="H140" s="891">
        <f t="shared" si="98"/>
        <v>16917985.175999999</v>
      </c>
      <c r="I140" s="891">
        <f t="shared" si="99"/>
        <v>1044492.824</v>
      </c>
      <c r="Q140" s="1625" t="s">
        <v>416</v>
      </c>
      <c r="R140" s="891">
        <v>17962478000</v>
      </c>
      <c r="S140" s="891">
        <v>1045641840</v>
      </c>
      <c r="T140" s="891">
        <v>16916836160</v>
      </c>
      <c r="U140" s="891">
        <v>1045641840</v>
      </c>
      <c r="V140" s="1622">
        <f t="shared" si="100"/>
        <v>17962478</v>
      </c>
      <c r="W140" s="1622">
        <f t="shared" si="101"/>
        <v>1045641.84</v>
      </c>
      <c r="X140" s="1622">
        <f t="shared" si="102"/>
        <v>16916836.16</v>
      </c>
      <c r="Y140" s="1622">
        <f t="shared" si="103"/>
        <v>1045641.84</v>
      </c>
      <c r="AG140" s="1625" t="s">
        <v>620</v>
      </c>
      <c r="AH140" s="891">
        <v>232729000</v>
      </c>
      <c r="AI140" s="891">
        <v>0</v>
      </c>
      <c r="AJ140" s="891">
        <v>357000</v>
      </c>
      <c r="AK140" s="891">
        <v>232372000</v>
      </c>
      <c r="AL140" s="1622">
        <f t="shared" si="104"/>
        <v>232729</v>
      </c>
      <c r="AM140" s="1622">
        <f t="shared" si="105"/>
        <v>0</v>
      </c>
      <c r="AN140" s="1622">
        <f t="shared" si="106"/>
        <v>357</v>
      </c>
      <c r="AO140" s="1622">
        <f t="shared" si="107"/>
        <v>232372</v>
      </c>
      <c r="AW140" s="1625" t="s">
        <v>415</v>
      </c>
      <c r="AX140" s="891">
        <v>232729000</v>
      </c>
      <c r="AY140" s="891">
        <v>13497000</v>
      </c>
      <c r="AZ140" s="891">
        <v>4140000</v>
      </c>
      <c r="BA140" s="891">
        <v>219232000</v>
      </c>
      <c r="BB140" s="1622">
        <f t="shared" si="108"/>
        <v>232729</v>
      </c>
      <c r="BC140" s="1622">
        <f t="shared" si="109"/>
        <v>13497</v>
      </c>
      <c r="BD140" s="1622">
        <f t="shared" si="110"/>
        <v>4140</v>
      </c>
      <c r="BE140" s="1622">
        <f t="shared" si="111"/>
        <v>219232</v>
      </c>
      <c r="BM140" s="1625" t="s">
        <v>639</v>
      </c>
      <c r="BN140" s="1627">
        <v>165389000</v>
      </c>
      <c r="BO140" s="1627">
        <v>189458585</v>
      </c>
      <c r="BP140" s="1627">
        <v>189458585</v>
      </c>
      <c r="BQ140" s="1627">
        <v>-24069585</v>
      </c>
      <c r="BR140" s="1622">
        <f t="shared" si="112"/>
        <v>165389</v>
      </c>
      <c r="BS140" s="1622">
        <f t="shared" si="113"/>
        <v>189458.58499999999</v>
      </c>
      <c r="BT140" s="1622">
        <f t="shared" si="114"/>
        <v>189458.58499999999</v>
      </c>
      <c r="BU140" s="1622">
        <f t="shared" si="115"/>
        <v>-24069.584999999999</v>
      </c>
      <c r="CC140" s="1622" t="s">
        <v>638</v>
      </c>
      <c r="CD140" s="1622">
        <v>165389000</v>
      </c>
      <c r="CE140" s="1622">
        <v>218639594</v>
      </c>
      <c r="CF140" s="1622">
        <v>218639594</v>
      </c>
      <c r="CG140" s="1622">
        <v>-53250594</v>
      </c>
      <c r="CH140" s="1622">
        <f t="shared" si="116"/>
        <v>165389</v>
      </c>
      <c r="CI140" s="1622">
        <f t="shared" si="117"/>
        <v>218639.59400000001</v>
      </c>
      <c r="CJ140" s="1622">
        <f t="shared" si="118"/>
        <v>218639.59400000001</v>
      </c>
      <c r="CK140" s="1622">
        <f t="shared" si="119"/>
        <v>-53250.593999999997</v>
      </c>
      <c r="CS140" s="1625" t="s">
        <v>1025</v>
      </c>
      <c r="CT140" s="891">
        <v>51678000</v>
      </c>
      <c r="CU140" s="891">
        <v>0</v>
      </c>
      <c r="CV140" s="891">
        <v>0</v>
      </c>
      <c r="CW140" s="891">
        <v>51678000</v>
      </c>
      <c r="CX140" s="1622">
        <f t="shared" si="120"/>
        <v>51678</v>
      </c>
      <c r="CY140" s="1622">
        <f t="shared" si="121"/>
        <v>0</v>
      </c>
      <c r="CZ140" s="1622">
        <f t="shared" si="122"/>
        <v>0</v>
      </c>
      <c r="DA140" s="1622">
        <f t="shared" si="123"/>
        <v>51678</v>
      </c>
      <c r="DJ140" s="1624" t="s">
        <v>1025</v>
      </c>
      <c r="DK140" s="1622">
        <v>51678000</v>
      </c>
      <c r="DL140" s="1622">
        <v>0</v>
      </c>
      <c r="DM140" s="1622">
        <v>51678000</v>
      </c>
      <c r="DN140" s="1622">
        <v>0</v>
      </c>
      <c r="DO140" s="1622">
        <f t="shared" si="124"/>
        <v>51678</v>
      </c>
      <c r="DP140" s="1622">
        <f t="shared" si="125"/>
        <v>0</v>
      </c>
      <c r="DQ140" s="1622">
        <f t="shared" si="126"/>
        <v>51678</v>
      </c>
      <c r="DR140" s="1622">
        <f t="shared" si="127"/>
        <v>0</v>
      </c>
      <c r="EA140" s="780" t="s">
        <v>1025</v>
      </c>
      <c r="EB140" s="779">
        <v>51678000</v>
      </c>
      <c r="EC140" s="779">
        <v>0</v>
      </c>
      <c r="ED140" s="779">
        <v>0</v>
      </c>
      <c r="EE140" s="779">
        <v>51678000</v>
      </c>
      <c r="EF140" s="166">
        <f t="shared" si="128"/>
        <v>51678</v>
      </c>
      <c r="EG140" s="166">
        <f t="shared" si="129"/>
        <v>0</v>
      </c>
      <c r="EH140" s="166">
        <f t="shared" si="130"/>
        <v>0</v>
      </c>
      <c r="EI140" s="166">
        <f t="shared" si="131"/>
        <v>51678</v>
      </c>
    </row>
    <row r="141" spans="1:139" ht="15" customHeight="1" x14ac:dyDescent="0.3">
      <c r="A141" s="1625" t="s">
        <v>417</v>
      </c>
      <c r="B141" s="891">
        <v>15463357000</v>
      </c>
      <c r="C141" s="891">
        <v>0</v>
      </c>
      <c r="D141" s="891">
        <v>15463357000</v>
      </c>
      <c r="E141" s="891">
        <v>0</v>
      </c>
      <c r="F141" s="891">
        <f t="shared" si="96"/>
        <v>15463357</v>
      </c>
      <c r="G141" s="891">
        <f t="shared" si="97"/>
        <v>0</v>
      </c>
      <c r="H141" s="891">
        <f t="shared" si="98"/>
        <v>15463357</v>
      </c>
      <c r="I141" s="891">
        <f t="shared" si="99"/>
        <v>0</v>
      </c>
      <c r="Q141" s="1625" t="s">
        <v>417</v>
      </c>
      <c r="R141" s="891">
        <v>15463357000</v>
      </c>
      <c r="S141" s="891">
        <v>0</v>
      </c>
      <c r="T141" s="891">
        <v>15463357000</v>
      </c>
      <c r="U141" s="891">
        <v>0</v>
      </c>
      <c r="V141" s="1622">
        <f t="shared" si="100"/>
        <v>15463357</v>
      </c>
      <c r="W141" s="1622">
        <f t="shared" si="101"/>
        <v>0</v>
      </c>
      <c r="X141" s="1622">
        <f t="shared" si="102"/>
        <v>15463357</v>
      </c>
      <c r="Y141" s="1622">
        <f t="shared" si="103"/>
        <v>0</v>
      </c>
      <c r="AG141" s="1625" t="s">
        <v>416</v>
      </c>
      <c r="AH141" s="891">
        <v>18420114000</v>
      </c>
      <c r="AI141" s="891">
        <v>8089147781</v>
      </c>
      <c r="AJ141" s="891">
        <v>8089147781</v>
      </c>
      <c r="AK141" s="891">
        <v>10330966219</v>
      </c>
      <c r="AL141" s="1622">
        <f t="shared" si="104"/>
        <v>18420114</v>
      </c>
      <c r="AM141" s="1622">
        <f t="shared" si="105"/>
        <v>8089147.7810000004</v>
      </c>
      <c r="AN141" s="1622">
        <f t="shared" si="106"/>
        <v>8089147.7810000004</v>
      </c>
      <c r="AO141" s="1622">
        <f t="shared" si="107"/>
        <v>10330966.219000001</v>
      </c>
      <c r="AW141" s="1625" t="s">
        <v>620</v>
      </c>
      <c r="AX141" s="891">
        <v>228589000</v>
      </c>
      <c r="AY141" s="891">
        <v>9357000</v>
      </c>
      <c r="AZ141" s="891">
        <v>0</v>
      </c>
      <c r="BA141" s="891">
        <v>219232000</v>
      </c>
      <c r="BB141" s="1622">
        <f t="shared" si="108"/>
        <v>228589</v>
      </c>
      <c r="BC141" s="1622">
        <f t="shared" si="109"/>
        <v>9357</v>
      </c>
      <c r="BD141" s="1622">
        <f t="shared" si="110"/>
        <v>0</v>
      </c>
      <c r="BE141" s="1622">
        <f t="shared" si="111"/>
        <v>219232</v>
      </c>
      <c r="BM141" s="1625" t="s">
        <v>995</v>
      </c>
      <c r="BN141" s="1627">
        <v>0</v>
      </c>
      <c r="BO141" s="1627">
        <v>0</v>
      </c>
      <c r="BP141" s="1627">
        <v>0</v>
      </c>
      <c r="BQ141" s="1627">
        <v>0</v>
      </c>
      <c r="BR141" s="1622">
        <f t="shared" si="112"/>
        <v>0</v>
      </c>
      <c r="BS141" s="1622">
        <f t="shared" si="113"/>
        <v>0</v>
      </c>
      <c r="BT141" s="1622">
        <f t="shared" si="114"/>
        <v>0</v>
      </c>
      <c r="BU141" s="1622">
        <f t="shared" si="115"/>
        <v>0</v>
      </c>
      <c r="CC141" s="1622" t="s">
        <v>639</v>
      </c>
      <c r="CD141" s="1622">
        <v>165389000</v>
      </c>
      <c r="CE141" s="1622">
        <v>218639594</v>
      </c>
      <c r="CF141" s="1622">
        <v>218639594</v>
      </c>
      <c r="CG141" s="1622">
        <v>-53250594</v>
      </c>
      <c r="CH141" s="1622">
        <f t="shared" si="116"/>
        <v>165389</v>
      </c>
      <c r="CI141" s="1622">
        <f t="shared" si="117"/>
        <v>218639.59400000001</v>
      </c>
      <c r="CJ141" s="1622">
        <f t="shared" si="118"/>
        <v>218639.59400000001</v>
      </c>
      <c r="CK141" s="1622">
        <f t="shared" si="119"/>
        <v>-53250.593999999997</v>
      </c>
      <c r="CS141" s="1625" t="s">
        <v>617</v>
      </c>
      <c r="CT141" s="891">
        <v>75758000</v>
      </c>
      <c r="CU141" s="891">
        <v>0</v>
      </c>
      <c r="CV141" s="891">
        <v>0</v>
      </c>
      <c r="CW141" s="891">
        <v>75758000</v>
      </c>
      <c r="CX141" s="1622">
        <f t="shared" si="120"/>
        <v>75758</v>
      </c>
      <c r="CY141" s="1622">
        <f t="shared" si="121"/>
        <v>0</v>
      </c>
      <c r="CZ141" s="1622">
        <f t="shared" si="122"/>
        <v>0</v>
      </c>
      <c r="DA141" s="1622">
        <f t="shared" si="123"/>
        <v>75758</v>
      </c>
      <c r="DJ141" s="1624" t="s">
        <v>617</v>
      </c>
      <c r="DK141" s="1622">
        <v>75758000</v>
      </c>
      <c r="DL141" s="1622">
        <v>0</v>
      </c>
      <c r="DM141" s="1622">
        <v>75758000</v>
      </c>
      <c r="DN141" s="1622">
        <v>0</v>
      </c>
      <c r="DO141" s="1622">
        <f t="shared" si="124"/>
        <v>75758</v>
      </c>
      <c r="DP141" s="1622">
        <f t="shared" si="125"/>
        <v>0</v>
      </c>
      <c r="DQ141" s="1622">
        <f t="shared" si="126"/>
        <v>75758</v>
      </c>
      <c r="DR141" s="1622">
        <f t="shared" si="127"/>
        <v>0</v>
      </c>
      <c r="EA141" s="780" t="s">
        <v>617</v>
      </c>
      <c r="EB141" s="779">
        <v>75758000</v>
      </c>
      <c r="EC141" s="779">
        <v>0</v>
      </c>
      <c r="ED141" s="779">
        <v>0</v>
      </c>
      <c r="EE141" s="779">
        <v>75758000</v>
      </c>
      <c r="EF141" s="166">
        <f t="shared" si="128"/>
        <v>75758</v>
      </c>
      <c r="EG141" s="166">
        <f t="shared" si="129"/>
        <v>0</v>
      </c>
      <c r="EH141" s="166">
        <f t="shared" si="130"/>
        <v>0</v>
      </c>
      <c r="EI141" s="166">
        <f t="shared" si="131"/>
        <v>75758</v>
      </c>
    </row>
    <row r="142" spans="1:139" ht="15" customHeight="1" x14ac:dyDescent="0.3">
      <c r="A142" s="1625" t="s">
        <v>418</v>
      </c>
      <c r="B142" s="891">
        <v>15463357000</v>
      </c>
      <c r="C142" s="891">
        <v>0</v>
      </c>
      <c r="D142" s="891">
        <v>15463357000</v>
      </c>
      <c r="E142" s="891">
        <v>0</v>
      </c>
      <c r="F142" s="891">
        <f t="shared" si="96"/>
        <v>15463357</v>
      </c>
      <c r="G142" s="891">
        <f t="shared" si="97"/>
        <v>0</v>
      </c>
      <c r="H142" s="891">
        <f t="shared" si="98"/>
        <v>15463357</v>
      </c>
      <c r="I142" s="891">
        <f t="shared" si="99"/>
        <v>0</v>
      </c>
      <c r="Q142" s="1625" t="s">
        <v>418</v>
      </c>
      <c r="R142" s="891">
        <v>15463357000</v>
      </c>
      <c r="S142" s="891">
        <v>0</v>
      </c>
      <c r="T142" s="891">
        <v>15463357000</v>
      </c>
      <c r="U142" s="891">
        <v>0</v>
      </c>
      <c r="V142" s="1622">
        <f t="shared" si="100"/>
        <v>15463357</v>
      </c>
      <c r="W142" s="1622">
        <f t="shared" si="101"/>
        <v>0</v>
      </c>
      <c r="X142" s="1622">
        <f t="shared" si="102"/>
        <v>15463357</v>
      </c>
      <c r="Y142" s="1622">
        <f t="shared" si="103"/>
        <v>0</v>
      </c>
      <c r="AG142" s="1625" t="s">
        <v>417</v>
      </c>
      <c r="AH142" s="891">
        <v>15463357000</v>
      </c>
      <c r="AI142" s="891">
        <v>6079119430</v>
      </c>
      <c r="AJ142" s="891">
        <v>6079119430</v>
      </c>
      <c r="AK142" s="891">
        <v>9384237570</v>
      </c>
      <c r="AL142" s="1622">
        <f t="shared" si="104"/>
        <v>15463357</v>
      </c>
      <c r="AM142" s="1622">
        <f t="shared" si="105"/>
        <v>6079119.4299999997</v>
      </c>
      <c r="AN142" s="1622">
        <f t="shared" si="106"/>
        <v>6079119.4299999997</v>
      </c>
      <c r="AO142" s="1622">
        <f t="shared" si="107"/>
        <v>9384237.5700000003</v>
      </c>
      <c r="AW142" s="1625" t="s">
        <v>914</v>
      </c>
      <c r="AX142" s="891">
        <v>4140000</v>
      </c>
      <c r="AY142" s="891">
        <v>4140000</v>
      </c>
      <c r="AZ142" s="891">
        <v>4140000</v>
      </c>
      <c r="BA142" s="891">
        <v>0</v>
      </c>
      <c r="BB142" s="1622">
        <f t="shared" si="108"/>
        <v>4140</v>
      </c>
      <c r="BC142" s="1622">
        <f t="shared" si="109"/>
        <v>4140</v>
      </c>
      <c r="BD142" s="1622">
        <f t="shared" si="110"/>
        <v>4140</v>
      </c>
      <c r="BE142" s="1622">
        <f t="shared" si="111"/>
        <v>0</v>
      </c>
      <c r="BM142" s="1625" t="s">
        <v>996</v>
      </c>
      <c r="BN142" s="1627">
        <v>0</v>
      </c>
      <c r="BO142" s="1627">
        <v>0</v>
      </c>
      <c r="BP142" s="1627">
        <v>0</v>
      </c>
      <c r="BQ142" s="1627">
        <v>0</v>
      </c>
      <c r="BR142" s="1622">
        <f t="shared" si="112"/>
        <v>0</v>
      </c>
      <c r="BS142" s="1622">
        <f t="shared" si="113"/>
        <v>0</v>
      </c>
      <c r="BT142" s="1622">
        <f t="shared" si="114"/>
        <v>0</v>
      </c>
      <c r="BU142" s="1622">
        <f t="shared" si="115"/>
        <v>0</v>
      </c>
      <c r="CC142" s="1622" t="s">
        <v>1040</v>
      </c>
      <c r="CD142" s="1622">
        <v>0</v>
      </c>
      <c r="CE142" s="1622">
        <v>28927981</v>
      </c>
      <c r="CF142" s="1622">
        <v>28927981</v>
      </c>
      <c r="CG142" s="1622">
        <v>-28927981</v>
      </c>
      <c r="CH142" s="1622">
        <f t="shared" si="116"/>
        <v>0</v>
      </c>
      <c r="CI142" s="1622">
        <f t="shared" si="117"/>
        <v>28927.981</v>
      </c>
      <c r="CJ142" s="1622">
        <f t="shared" si="118"/>
        <v>28927.981</v>
      </c>
      <c r="CK142" s="1622">
        <f t="shared" si="119"/>
        <v>-28927.981</v>
      </c>
      <c r="CS142" s="1625" t="s">
        <v>638</v>
      </c>
      <c r="CT142" s="891">
        <v>165745000</v>
      </c>
      <c r="CU142" s="891">
        <v>297236387</v>
      </c>
      <c r="CV142" s="891">
        <v>297236387</v>
      </c>
      <c r="CW142" s="891">
        <v>-131491387</v>
      </c>
      <c r="CX142" s="1622">
        <f t="shared" si="120"/>
        <v>165745</v>
      </c>
      <c r="CY142" s="1622">
        <f t="shared" si="121"/>
        <v>297236.38699999999</v>
      </c>
      <c r="CZ142" s="1622">
        <f t="shared" si="122"/>
        <v>297236.38699999999</v>
      </c>
      <c r="DA142" s="1622">
        <f t="shared" si="123"/>
        <v>-131491.38699999999</v>
      </c>
      <c r="DJ142" s="1624" t="s">
        <v>638</v>
      </c>
      <c r="DK142" s="1622">
        <v>165745000</v>
      </c>
      <c r="DL142" s="1622">
        <v>318482903</v>
      </c>
      <c r="DM142" s="1622">
        <v>-152737903</v>
      </c>
      <c r="DN142" s="1622">
        <v>318482903</v>
      </c>
      <c r="DO142" s="1622">
        <f t="shared" si="124"/>
        <v>165745</v>
      </c>
      <c r="DP142" s="1622">
        <f t="shared" si="125"/>
        <v>318482.90299999999</v>
      </c>
      <c r="DQ142" s="1622">
        <f t="shared" si="126"/>
        <v>-152737.90299999999</v>
      </c>
      <c r="DR142" s="1622">
        <f t="shared" si="127"/>
        <v>318482.90299999999</v>
      </c>
      <c r="EA142" s="780" t="s">
        <v>638</v>
      </c>
      <c r="EB142" s="779">
        <v>165745000</v>
      </c>
      <c r="EC142" s="779">
        <v>358967674</v>
      </c>
      <c r="ED142" s="779">
        <v>358967674</v>
      </c>
      <c r="EE142" s="779">
        <v>-193222674</v>
      </c>
      <c r="EF142" s="166">
        <f t="shared" si="128"/>
        <v>165745</v>
      </c>
      <c r="EG142" s="166">
        <f t="shared" si="129"/>
        <v>358967.674</v>
      </c>
      <c r="EH142" s="166">
        <f t="shared" si="130"/>
        <v>358967.674</v>
      </c>
      <c r="EI142" s="166">
        <f t="shared" si="131"/>
        <v>-193222.674</v>
      </c>
    </row>
    <row r="143" spans="1:139" ht="15" customHeight="1" x14ac:dyDescent="0.3">
      <c r="A143" s="1625" t="s">
        <v>419</v>
      </c>
      <c r="B143" s="891">
        <v>2499111000</v>
      </c>
      <c r="C143" s="891">
        <v>587996762</v>
      </c>
      <c r="D143" s="891">
        <v>1911114238</v>
      </c>
      <c r="E143" s="891">
        <v>587996762</v>
      </c>
      <c r="F143" s="891">
        <f t="shared" si="96"/>
        <v>2499111</v>
      </c>
      <c r="G143" s="891">
        <f t="shared" si="97"/>
        <v>587996.76199999999</v>
      </c>
      <c r="H143" s="891">
        <f t="shared" si="98"/>
        <v>1911114.2379999999</v>
      </c>
      <c r="I143" s="891">
        <f t="shared" si="99"/>
        <v>587996.76199999999</v>
      </c>
      <c r="Q143" s="1625" t="s">
        <v>419</v>
      </c>
      <c r="R143" s="891">
        <v>2499111000</v>
      </c>
      <c r="S143" s="891">
        <v>587996762</v>
      </c>
      <c r="T143" s="891">
        <v>1911114238</v>
      </c>
      <c r="U143" s="891">
        <v>587996762</v>
      </c>
      <c r="V143" s="1622">
        <f t="shared" si="100"/>
        <v>2499111</v>
      </c>
      <c r="W143" s="1622">
        <f t="shared" si="101"/>
        <v>587996.76199999999</v>
      </c>
      <c r="X143" s="1622">
        <f t="shared" si="102"/>
        <v>1911114.2379999999</v>
      </c>
      <c r="Y143" s="1622">
        <f t="shared" si="103"/>
        <v>587996.76199999999</v>
      </c>
      <c r="AG143" s="1625" t="s">
        <v>418</v>
      </c>
      <c r="AH143" s="891">
        <v>15463357000</v>
      </c>
      <c r="AI143" s="891">
        <v>6079119430</v>
      </c>
      <c r="AJ143" s="891">
        <v>6079119430</v>
      </c>
      <c r="AK143" s="891">
        <v>9384237570</v>
      </c>
      <c r="AL143" s="1622">
        <f t="shared" si="104"/>
        <v>15463357</v>
      </c>
      <c r="AM143" s="1622">
        <f t="shared" si="105"/>
        <v>6079119.4299999997</v>
      </c>
      <c r="AN143" s="1622">
        <f t="shared" si="106"/>
        <v>6079119.4299999997</v>
      </c>
      <c r="AO143" s="1622">
        <f t="shared" si="107"/>
        <v>9384237.5700000003</v>
      </c>
      <c r="AW143" s="1625" t="s">
        <v>416</v>
      </c>
      <c r="AX143" s="891">
        <v>18420114000</v>
      </c>
      <c r="AY143" s="891">
        <v>9420439069</v>
      </c>
      <c r="AZ143" s="891">
        <v>9420439069</v>
      </c>
      <c r="BA143" s="891">
        <v>8999674931</v>
      </c>
      <c r="BB143" s="1622">
        <f t="shared" si="108"/>
        <v>18420114</v>
      </c>
      <c r="BC143" s="1622">
        <f t="shared" si="109"/>
        <v>9420439.0690000001</v>
      </c>
      <c r="BD143" s="1622">
        <f t="shared" si="110"/>
        <v>9420439.0690000001</v>
      </c>
      <c r="BE143" s="1622">
        <f t="shared" si="111"/>
        <v>8999674.9309999999</v>
      </c>
      <c r="BM143" s="1625" t="s">
        <v>618</v>
      </c>
      <c r="BN143" s="1627">
        <v>332151000</v>
      </c>
      <c r="BO143" s="1627">
        <v>8552500</v>
      </c>
      <c r="BP143" s="1627">
        <v>13497000</v>
      </c>
      <c r="BQ143" s="1627">
        <v>318654000</v>
      </c>
      <c r="BR143" s="1622">
        <f t="shared" si="112"/>
        <v>332151</v>
      </c>
      <c r="BS143" s="1622">
        <f t="shared" si="113"/>
        <v>8552.5</v>
      </c>
      <c r="BT143" s="1622">
        <f t="shared" si="114"/>
        <v>13497</v>
      </c>
      <c r="BU143" s="1622">
        <f t="shared" si="115"/>
        <v>318654</v>
      </c>
      <c r="CC143" s="1622" t="s">
        <v>995</v>
      </c>
      <c r="CD143" s="1622">
        <v>0</v>
      </c>
      <c r="CE143" s="1622">
        <v>0</v>
      </c>
      <c r="CF143" s="1622">
        <v>0</v>
      </c>
      <c r="CG143" s="1622">
        <v>0</v>
      </c>
      <c r="CH143" s="1622">
        <f t="shared" si="116"/>
        <v>0</v>
      </c>
      <c r="CI143" s="1622">
        <f t="shared" si="117"/>
        <v>0</v>
      </c>
      <c r="CJ143" s="1622">
        <f t="shared" si="118"/>
        <v>0</v>
      </c>
      <c r="CK143" s="1622">
        <f t="shared" si="119"/>
        <v>0</v>
      </c>
      <c r="CS143" s="1625" t="s">
        <v>639</v>
      </c>
      <c r="CT143" s="891">
        <v>165745000</v>
      </c>
      <c r="CU143" s="891">
        <v>297236387</v>
      </c>
      <c r="CV143" s="891">
        <v>297236387</v>
      </c>
      <c r="CW143" s="891">
        <v>-131491387</v>
      </c>
      <c r="CX143" s="1622">
        <f t="shared" si="120"/>
        <v>165745</v>
      </c>
      <c r="CY143" s="1622">
        <f t="shared" si="121"/>
        <v>297236.38699999999</v>
      </c>
      <c r="CZ143" s="1622">
        <f t="shared" si="122"/>
        <v>297236.38699999999</v>
      </c>
      <c r="DA143" s="1622">
        <f t="shared" si="123"/>
        <v>-131491.38699999999</v>
      </c>
      <c r="DJ143" s="1624" t="s">
        <v>639</v>
      </c>
      <c r="DK143" s="1622">
        <v>165745000</v>
      </c>
      <c r="DL143" s="1622">
        <v>318482903</v>
      </c>
      <c r="DM143" s="1622">
        <v>-152737903</v>
      </c>
      <c r="DN143" s="1622">
        <v>318482903</v>
      </c>
      <c r="DO143" s="1622">
        <f t="shared" si="124"/>
        <v>165745</v>
      </c>
      <c r="DP143" s="1622">
        <f t="shared" si="125"/>
        <v>318482.90299999999</v>
      </c>
      <c r="DQ143" s="1622">
        <f t="shared" si="126"/>
        <v>-152737.90299999999</v>
      </c>
      <c r="DR143" s="1622">
        <f t="shared" si="127"/>
        <v>318482.90299999999</v>
      </c>
      <c r="EA143" s="1769" t="s">
        <v>639</v>
      </c>
      <c r="EB143" s="1770">
        <v>165745000</v>
      </c>
      <c r="EC143" s="1770">
        <v>358967674</v>
      </c>
      <c r="ED143" s="1770">
        <v>358967674</v>
      </c>
      <c r="EE143" s="1770">
        <v>-193222674</v>
      </c>
      <c r="EF143" s="1768">
        <f t="shared" si="128"/>
        <v>165745</v>
      </c>
      <c r="EG143" s="1768">
        <f t="shared" si="129"/>
        <v>358967.674</v>
      </c>
      <c r="EH143" s="1768">
        <f t="shared" si="130"/>
        <v>358967.674</v>
      </c>
      <c r="EI143" s="1768">
        <f t="shared" si="131"/>
        <v>-193222.674</v>
      </c>
    </row>
    <row r="144" spans="1:139" ht="15" customHeight="1" x14ac:dyDescent="0.3">
      <c r="A144" s="1625" t="s">
        <v>420</v>
      </c>
      <c r="B144" s="891">
        <v>2499111000</v>
      </c>
      <c r="C144" s="891">
        <v>587996762</v>
      </c>
      <c r="D144" s="891">
        <v>1911114238</v>
      </c>
      <c r="E144" s="891">
        <v>587996762</v>
      </c>
      <c r="F144" s="891">
        <f t="shared" si="96"/>
        <v>2499111</v>
      </c>
      <c r="G144" s="891">
        <f t="shared" si="97"/>
        <v>587996.76199999999</v>
      </c>
      <c r="H144" s="891">
        <f t="shared" si="98"/>
        <v>1911114.2379999999</v>
      </c>
      <c r="I144" s="891">
        <f t="shared" si="99"/>
        <v>587996.76199999999</v>
      </c>
      <c r="Q144" s="1625" t="s">
        <v>420</v>
      </c>
      <c r="R144" s="891">
        <v>2499111000</v>
      </c>
      <c r="S144" s="891">
        <v>587996762</v>
      </c>
      <c r="T144" s="891">
        <v>1911114238</v>
      </c>
      <c r="U144" s="891">
        <v>587996762</v>
      </c>
      <c r="V144" s="1622">
        <f t="shared" si="100"/>
        <v>2499111</v>
      </c>
      <c r="W144" s="1622">
        <f t="shared" si="101"/>
        <v>587996.76199999999</v>
      </c>
      <c r="X144" s="1622">
        <f t="shared" si="102"/>
        <v>1911114.2379999999</v>
      </c>
      <c r="Y144" s="1622">
        <f t="shared" si="103"/>
        <v>587996.76199999999</v>
      </c>
      <c r="AG144" s="1625" t="s">
        <v>419</v>
      </c>
      <c r="AH144" s="891">
        <v>2499111000</v>
      </c>
      <c r="AI144" s="891">
        <v>1552383273</v>
      </c>
      <c r="AJ144" s="891">
        <v>1552383273</v>
      </c>
      <c r="AK144" s="891">
        <v>946727727</v>
      </c>
      <c r="AL144" s="1622">
        <f t="shared" si="104"/>
        <v>2499111</v>
      </c>
      <c r="AM144" s="1622">
        <f t="shared" si="105"/>
        <v>1552383.273</v>
      </c>
      <c r="AN144" s="1622">
        <f t="shared" si="106"/>
        <v>1552383.273</v>
      </c>
      <c r="AO144" s="1622">
        <f t="shared" si="107"/>
        <v>946727.72699999996</v>
      </c>
      <c r="AW144" s="1625" t="s">
        <v>417</v>
      </c>
      <c r="AX144" s="891">
        <v>15463357000</v>
      </c>
      <c r="AY144" s="891">
        <v>7337591570</v>
      </c>
      <c r="AZ144" s="891">
        <v>7337591570</v>
      </c>
      <c r="BA144" s="891">
        <v>8125765430</v>
      </c>
      <c r="BB144" s="1622">
        <f t="shared" si="108"/>
        <v>15463357</v>
      </c>
      <c r="BC144" s="1622">
        <f t="shared" si="109"/>
        <v>7337591.5700000003</v>
      </c>
      <c r="BD144" s="1622">
        <f t="shared" si="110"/>
        <v>7337591.5700000003</v>
      </c>
      <c r="BE144" s="1622">
        <f t="shared" si="111"/>
        <v>8125765.4299999997</v>
      </c>
      <c r="BM144" s="1625" t="s">
        <v>929</v>
      </c>
      <c r="BN144" s="1627">
        <v>82914000</v>
      </c>
      <c r="BO144" s="1627">
        <v>0</v>
      </c>
      <c r="BP144" s="1627">
        <v>0</v>
      </c>
      <c r="BQ144" s="1627">
        <v>82914000</v>
      </c>
      <c r="BR144" s="1622">
        <f t="shared" si="112"/>
        <v>82914</v>
      </c>
      <c r="BS144" s="1622">
        <f t="shared" si="113"/>
        <v>0</v>
      </c>
      <c r="BT144" s="1622">
        <f t="shared" si="114"/>
        <v>0</v>
      </c>
      <c r="BU144" s="1622">
        <f t="shared" si="115"/>
        <v>82914</v>
      </c>
      <c r="CC144" s="1622" t="s">
        <v>996</v>
      </c>
      <c r="CD144" s="1622">
        <v>0</v>
      </c>
      <c r="CE144" s="1622">
        <v>0</v>
      </c>
      <c r="CF144" s="1622">
        <v>0</v>
      </c>
      <c r="CG144" s="1622">
        <v>0</v>
      </c>
      <c r="CH144" s="1622">
        <f t="shared" si="116"/>
        <v>0</v>
      </c>
      <c r="CI144" s="1622">
        <f t="shared" si="117"/>
        <v>0</v>
      </c>
      <c r="CJ144" s="1622">
        <f t="shared" si="118"/>
        <v>0</v>
      </c>
      <c r="CK144" s="1622">
        <f t="shared" si="119"/>
        <v>0</v>
      </c>
      <c r="CS144" s="1625" t="s">
        <v>1040</v>
      </c>
      <c r="CT144" s="891">
        <v>0</v>
      </c>
      <c r="CU144" s="891">
        <v>107524774</v>
      </c>
      <c r="CV144" s="891">
        <v>107524774</v>
      </c>
      <c r="CW144" s="891">
        <v>-107524774</v>
      </c>
      <c r="CX144" s="1622">
        <f t="shared" si="120"/>
        <v>0</v>
      </c>
      <c r="CY144" s="1622">
        <f t="shared" si="121"/>
        <v>107524.774</v>
      </c>
      <c r="CZ144" s="1622">
        <f t="shared" si="122"/>
        <v>107524.774</v>
      </c>
      <c r="DA144" s="1622">
        <f t="shared" si="123"/>
        <v>-107524.774</v>
      </c>
      <c r="DJ144" s="1624" t="s">
        <v>1040</v>
      </c>
      <c r="DK144" s="1622">
        <v>0</v>
      </c>
      <c r="DL144" s="1622">
        <v>128771290</v>
      </c>
      <c r="DM144" s="1622">
        <v>-128771290</v>
      </c>
      <c r="DN144" s="1622">
        <v>128771290</v>
      </c>
      <c r="DO144" s="1622">
        <f t="shared" si="124"/>
        <v>0</v>
      </c>
      <c r="DP144" s="1622">
        <f t="shared" si="125"/>
        <v>128771.29</v>
      </c>
      <c r="DQ144" s="1622">
        <f t="shared" si="126"/>
        <v>-128771.29</v>
      </c>
      <c r="DR144" s="1622">
        <f t="shared" si="127"/>
        <v>128771.29</v>
      </c>
      <c r="EA144" s="1769" t="s">
        <v>1040</v>
      </c>
      <c r="EB144" s="1770">
        <v>0</v>
      </c>
      <c r="EC144" s="1770">
        <v>169256061</v>
      </c>
      <c r="ED144" s="1770">
        <v>169256061</v>
      </c>
      <c r="EE144" s="1770">
        <v>-169256061</v>
      </c>
      <c r="EF144" s="1768">
        <f t="shared" si="128"/>
        <v>0</v>
      </c>
      <c r="EG144" s="1768">
        <f t="shared" si="129"/>
        <v>169256.06099999999</v>
      </c>
      <c r="EH144" s="1768">
        <f t="shared" si="130"/>
        <v>169256.06099999999</v>
      </c>
      <c r="EI144" s="1768">
        <f t="shared" si="131"/>
        <v>-169256.06099999999</v>
      </c>
    </row>
    <row r="145" spans="1:139" ht="15" customHeight="1" x14ac:dyDescent="0.3">
      <c r="A145" s="1625" t="s">
        <v>621</v>
      </c>
      <c r="B145" s="891">
        <v>2499111000</v>
      </c>
      <c r="C145" s="891">
        <v>587996762</v>
      </c>
      <c r="D145" s="891">
        <v>1911114238</v>
      </c>
      <c r="E145" s="891">
        <v>587996762</v>
      </c>
      <c r="F145" s="891">
        <f t="shared" si="96"/>
        <v>2499111</v>
      </c>
      <c r="G145" s="891">
        <f t="shared" si="97"/>
        <v>587996.76199999999</v>
      </c>
      <c r="H145" s="891">
        <f t="shared" si="98"/>
        <v>1911114.2379999999</v>
      </c>
      <c r="I145" s="891">
        <f t="shared" si="99"/>
        <v>587996.76199999999</v>
      </c>
      <c r="Q145" s="1625" t="s">
        <v>621</v>
      </c>
      <c r="R145" s="891">
        <v>2499111000</v>
      </c>
      <c r="S145" s="891">
        <v>587996762</v>
      </c>
      <c r="T145" s="891">
        <v>1911114238</v>
      </c>
      <c r="U145" s="891">
        <v>587996762</v>
      </c>
      <c r="V145" s="1622">
        <f t="shared" si="100"/>
        <v>2499111</v>
      </c>
      <c r="W145" s="1622">
        <f t="shared" si="101"/>
        <v>587996.76199999999</v>
      </c>
      <c r="X145" s="1622">
        <f t="shared" si="102"/>
        <v>1911114.2379999999</v>
      </c>
      <c r="Y145" s="1622">
        <f t="shared" si="103"/>
        <v>587996.76199999999</v>
      </c>
      <c r="AG145" s="1625" t="s">
        <v>420</v>
      </c>
      <c r="AH145" s="891">
        <v>2499111000</v>
      </c>
      <c r="AI145" s="891">
        <v>1552383273</v>
      </c>
      <c r="AJ145" s="891">
        <v>1552383273</v>
      </c>
      <c r="AK145" s="891">
        <v>946727727</v>
      </c>
      <c r="AL145" s="1622">
        <f t="shared" si="104"/>
        <v>2499111</v>
      </c>
      <c r="AM145" s="1622">
        <f t="shared" si="105"/>
        <v>1552383.273</v>
      </c>
      <c r="AN145" s="1622">
        <f t="shared" si="106"/>
        <v>1552383.273</v>
      </c>
      <c r="AO145" s="1622">
        <f t="shared" si="107"/>
        <v>946727.72699999996</v>
      </c>
      <c r="AW145" s="1625" t="s">
        <v>418</v>
      </c>
      <c r="AX145" s="891">
        <v>15463357000</v>
      </c>
      <c r="AY145" s="891">
        <v>7337591570</v>
      </c>
      <c r="AZ145" s="891">
        <v>7337591570</v>
      </c>
      <c r="BA145" s="891">
        <v>8125765430</v>
      </c>
      <c r="BB145" s="1622">
        <f t="shared" si="108"/>
        <v>15463357</v>
      </c>
      <c r="BC145" s="1622">
        <f t="shared" si="109"/>
        <v>7337591.5700000003</v>
      </c>
      <c r="BD145" s="1622">
        <f t="shared" si="110"/>
        <v>7337591.5700000003</v>
      </c>
      <c r="BE145" s="1622">
        <f t="shared" si="111"/>
        <v>8125765.4299999997</v>
      </c>
      <c r="BM145" s="1625" t="s">
        <v>997</v>
      </c>
      <c r="BN145" s="1627">
        <v>16508000</v>
      </c>
      <c r="BO145" s="1627">
        <v>0</v>
      </c>
      <c r="BP145" s="1627">
        <v>0</v>
      </c>
      <c r="BQ145" s="1627">
        <v>16508000</v>
      </c>
      <c r="BR145" s="1622">
        <f t="shared" si="112"/>
        <v>16508</v>
      </c>
      <c r="BS145" s="1622">
        <f t="shared" si="113"/>
        <v>0</v>
      </c>
      <c r="BT145" s="1622">
        <f t="shared" si="114"/>
        <v>0</v>
      </c>
      <c r="BU145" s="1622">
        <f t="shared" si="115"/>
        <v>16508</v>
      </c>
      <c r="CC145" s="1622" t="s">
        <v>618</v>
      </c>
      <c r="CD145" s="1622">
        <v>332151000</v>
      </c>
      <c r="CE145" s="1622">
        <v>59838701</v>
      </c>
      <c r="CF145" s="1622">
        <v>76788119</v>
      </c>
      <c r="CG145" s="1622">
        <v>255362881</v>
      </c>
      <c r="CH145" s="1622">
        <f t="shared" si="116"/>
        <v>332151</v>
      </c>
      <c r="CI145" s="1622">
        <f t="shared" si="117"/>
        <v>59838.701000000001</v>
      </c>
      <c r="CJ145" s="1622">
        <f t="shared" si="118"/>
        <v>76788.119000000006</v>
      </c>
      <c r="CK145" s="1622">
        <f t="shared" si="119"/>
        <v>255362.88099999999</v>
      </c>
      <c r="CS145" s="1625" t="s">
        <v>1047</v>
      </c>
      <c r="CT145" s="891">
        <v>253028</v>
      </c>
      <c r="CU145" s="891">
        <v>0</v>
      </c>
      <c r="CV145" s="891">
        <v>0</v>
      </c>
      <c r="CW145" s="891">
        <v>253028</v>
      </c>
      <c r="CX145" s="1622">
        <f t="shared" si="120"/>
        <v>253.02799999999999</v>
      </c>
      <c r="CY145" s="1622">
        <f t="shared" si="121"/>
        <v>0</v>
      </c>
      <c r="CZ145" s="1622">
        <f t="shared" si="122"/>
        <v>0</v>
      </c>
      <c r="DA145" s="1622">
        <f t="shared" si="123"/>
        <v>253.02799999999999</v>
      </c>
      <c r="DJ145" s="1624" t="s">
        <v>1047</v>
      </c>
      <c r="DK145" s="1622">
        <v>253028</v>
      </c>
      <c r="DL145" s="1622">
        <v>0</v>
      </c>
      <c r="DM145" s="1622">
        <v>253028</v>
      </c>
      <c r="DN145" s="1622">
        <v>0</v>
      </c>
      <c r="DO145" s="1622">
        <f t="shared" si="124"/>
        <v>253.02799999999999</v>
      </c>
      <c r="DP145" s="1622">
        <f t="shared" si="125"/>
        <v>0</v>
      </c>
      <c r="DQ145" s="1622">
        <f t="shared" si="126"/>
        <v>253.02799999999999</v>
      </c>
      <c r="DR145" s="1622">
        <f t="shared" si="127"/>
        <v>0</v>
      </c>
      <c r="EA145" s="1769" t="s">
        <v>1047</v>
      </c>
      <c r="EB145" s="1770">
        <v>253028</v>
      </c>
      <c r="EC145" s="1770">
        <v>0</v>
      </c>
      <c r="ED145" s="1770">
        <v>0</v>
      </c>
      <c r="EE145" s="1770">
        <v>253028</v>
      </c>
      <c r="EF145" s="1768">
        <f t="shared" si="128"/>
        <v>253.02799999999999</v>
      </c>
      <c r="EG145" s="1768">
        <f t="shared" si="129"/>
        <v>0</v>
      </c>
      <c r="EH145" s="1768">
        <f t="shared" si="130"/>
        <v>0</v>
      </c>
      <c r="EI145" s="1768">
        <f t="shared" si="131"/>
        <v>253.02799999999999</v>
      </c>
    </row>
    <row r="146" spans="1:139" ht="15" customHeight="1" x14ac:dyDescent="0.3">
      <c r="A146" s="1625" t="s">
        <v>422</v>
      </c>
      <c r="B146" s="891">
        <v>10000</v>
      </c>
      <c r="C146" s="891">
        <v>456496062</v>
      </c>
      <c r="D146" s="891">
        <v>-456486062</v>
      </c>
      <c r="E146" s="891">
        <v>456496062</v>
      </c>
      <c r="F146" s="891">
        <f t="shared" si="96"/>
        <v>10</v>
      </c>
      <c r="G146" s="891">
        <f t="shared" si="97"/>
        <v>456496.06199999998</v>
      </c>
      <c r="H146" s="891">
        <f t="shared" si="98"/>
        <v>-456486.06199999998</v>
      </c>
      <c r="I146" s="891">
        <f t="shared" si="99"/>
        <v>456496.06199999998</v>
      </c>
      <c r="Q146" s="1625" t="s">
        <v>422</v>
      </c>
      <c r="R146" s="891">
        <v>10000</v>
      </c>
      <c r="S146" s="891">
        <v>457645078</v>
      </c>
      <c r="T146" s="891">
        <v>-457635078</v>
      </c>
      <c r="U146" s="891">
        <v>457645078</v>
      </c>
      <c r="V146" s="1622">
        <f t="shared" si="100"/>
        <v>10</v>
      </c>
      <c r="W146" s="1622">
        <f t="shared" si="101"/>
        <v>457645.07799999998</v>
      </c>
      <c r="X146" s="1622">
        <f t="shared" si="102"/>
        <v>-457635.07799999998</v>
      </c>
      <c r="Y146" s="1622">
        <f t="shared" si="103"/>
        <v>457645.07799999998</v>
      </c>
      <c r="AG146" s="1625" t="s">
        <v>621</v>
      </c>
      <c r="AH146" s="891">
        <v>2499111000</v>
      </c>
      <c r="AI146" s="891">
        <v>1552383273</v>
      </c>
      <c r="AJ146" s="891">
        <v>1552383273</v>
      </c>
      <c r="AK146" s="891">
        <v>946727727</v>
      </c>
      <c r="AL146" s="1622">
        <f t="shared" si="104"/>
        <v>2499111</v>
      </c>
      <c r="AM146" s="1622">
        <f t="shared" si="105"/>
        <v>1552383.273</v>
      </c>
      <c r="AN146" s="1622">
        <f t="shared" si="106"/>
        <v>1552383.273</v>
      </c>
      <c r="AO146" s="1622">
        <f t="shared" si="107"/>
        <v>946727.72699999996</v>
      </c>
      <c r="AW146" s="1625" t="s">
        <v>419</v>
      </c>
      <c r="AX146" s="891">
        <v>2499111000</v>
      </c>
      <c r="AY146" s="891">
        <v>1625202421</v>
      </c>
      <c r="AZ146" s="891">
        <v>1625202421</v>
      </c>
      <c r="BA146" s="891">
        <v>873908579</v>
      </c>
      <c r="BB146" s="1622">
        <f t="shared" si="108"/>
        <v>2499111</v>
      </c>
      <c r="BC146" s="1622">
        <f t="shared" si="109"/>
        <v>1625202.4210000001</v>
      </c>
      <c r="BD146" s="1622">
        <f t="shared" si="110"/>
        <v>1625202.4210000001</v>
      </c>
      <c r="BE146" s="1622">
        <f t="shared" si="111"/>
        <v>873908.57900000003</v>
      </c>
      <c r="BM146" s="1625" t="s">
        <v>415</v>
      </c>
      <c r="BN146" s="1627">
        <v>232729000</v>
      </c>
      <c r="BO146" s="1627">
        <v>8552500</v>
      </c>
      <c r="BP146" s="1627">
        <v>13497000</v>
      </c>
      <c r="BQ146" s="1627">
        <v>219232000</v>
      </c>
      <c r="BR146" s="1622">
        <f t="shared" si="112"/>
        <v>232729</v>
      </c>
      <c r="BS146" s="1622">
        <f t="shared" si="113"/>
        <v>8552.5</v>
      </c>
      <c r="BT146" s="1622">
        <f t="shared" si="114"/>
        <v>13497</v>
      </c>
      <c r="BU146" s="1622">
        <f t="shared" si="115"/>
        <v>219232</v>
      </c>
      <c r="CC146" s="1623" t="s">
        <v>929</v>
      </c>
      <c r="CD146" s="1623">
        <v>82914000</v>
      </c>
      <c r="CE146" s="1623">
        <v>50929201</v>
      </c>
      <c r="CF146" s="1623">
        <v>50929201</v>
      </c>
      <c r="CG146" s="1623">
        <v>31984799</v>
      </c>
      <c r="CH146" s="1623">
        <f t="shared" si="116"/>
        <v>82914</v>
      </c>
      <c r="CI146" s="1623">
        <f t="shared" si="117"/>
        <v>50929.201000000001</v>
      </c>
      <c r="CJ146" s="1623">
        <f t="shared" si="118"/>
        <v>50929.201000000001</v>
      </c>
      <c r="CK146" s="1623">
        <f t="shared" si="119"/>
        <v>31984.798999999999</v>
      </c>
      <c r="CS146" s="1625" t="s">
        <v>1048</v>
      </c>
      <c r="CT146" s="891">
        <v>102972</v>
      </c>
      <c r="CU146" s="891">
        <v>0</v>
      </c>
      <c r="CV146" s="891">
        <v>0</v>
      </c>
      <c r="CW146" s="891">
        <v>102972</v>
      </c>
      <c r="CX146" s="1622">
        <f t="shared" si="120"/>
        <v>102.97199999999999</v>
      </c>
      <c r="CY146" s="1622">
        <f t="shared" si="121"/>
        <v>0</v>
      </c>
      <c r="CZ146" s="1622">
        <f t="shared" si="122"/>
        <v>0</v>
      </c>
      <c r="DA146" s="1622">
        <f t="shared" si="123"/>
        <v>102.97199999999999</v>
      </c>
      <c r="DJ146" s="1624" t="s">
        <v>1048</v>
      </c>
      <c r="DK146" s="1622">
        <v>102972</v>
      </c>
      <c r="DL146" s="1622">
        <v>0</v>
      </c>
      <c r="DM146" s="1622">
        <v>102972</v>
      </c>
      <c r="DN146" s="1622">
        <v>0</v>
      </c>
      <c r="DO146" s="1622">
        <f t="shared" si="124"/>
        <v>102.97199999999999</v>
      </c>
      <c r="DP146" s="1622">
        <f t="shared" si="125"/>
        <v>0</v>
      </c>
      <c r="DQ146" s="1622">
        <f t="shared" si="126"/>
        <v>102.97199999999999</v>
      </c>
      <c r="DR146" s="1622">
        <f t="shared" si="127"/>
        <v>0</v>
      </c>
      <c r="EA146" s="1769" t="s">
        <v>1048</v>
      </c>
      <c r="EB146" s="1770">
        <v>102972</v>
      </c>
      <c r="EC146" s="1770">
        <v>0</v>
      </c>
      <c r="ED146" s="1770">
        <v>0</v>
      </c>
      <c r="EE146" s="1770">
        <v>102972</v>
      </c>
      <c r="EF146" s="1768">
        <f t="shared" si="128"/>
        <v>102.97199999999999</v>
      </c>
      <c r="EG146" s="1768">
        <f t="shared" si="129"/>
        <v>0</v>
      </c>
      <c r="EH146" s="1768">
        <f t="shared" si="130"/>
        <v>0</v>
      </c>
      <c r="EI146" s="1768">
        <f t="shared" si="131"/>
        <v>102.97199999999999</v>
      </c>
    </row>
    <row r="147" spans="1:139" ht="15" customHeight="1" x14ac:dyDescent="0.3">
      <c r="F147" s="891">
        <f t="shared" si="96"/>
        <v>0</v>
      </c>
      <c r="G147" s="891">
        <f t="shared" si="97"/>
        <v>0</v>
      </c>
      <c r="H147" s="891">
        <f t="shared" si="98"/>
        <v>0</v>
      </c>
      <c r="I147" s="891">
        <f t="shared" si="99"/>
        <v>0</v>
      </c>
      <c r="AG147" s="1625" t="s">
        <v>422</v>
      </c>
      <c r="AH147" s="891">
        <v>457646000</v>
      </c>
      <c r="AI147" s="891">
        <v>457645078</v>
      </c>
      <c r="AJ147" s="891">
        <v>457645078</v>
      </c>
      <c r="AK147" s="891">
        <v>922</v>
      </c>
      <c r="AL147" s="1622">
        <f t="shared" si="104"/>
        <v>457646</v>
      </c>
      <c r="AM147" s="1622">
        <f t="shared" si="105"/>
        <v>457645.07799999998</v>
      </c>
      <c r="AN147" s="1622">
        <f t="shared" si="106"/>
        <v>457645.07799999998</v>
      </c>
      <c r="AO147" s="1622">
        <f t="shared" si="107"/>
        <v>0.92200000000000004</v>
      </c>
      <c r="AW147" s="1625" t="s">
        <v>420</v>
      </c>
      <c r="AX147" s="891">
        <v>2499111000</v>
      </c>
      <c r="AY147" s="891">
        <v>1625202421</v>
      </c>
      <c r="AZ147" s="891">
        <v>1625202421</v>
      </c>
      <c r="BA147" s="891">
        <v>873908579</v>
      </c>
      <c r="BB147" s="1622">
        <f t="shared" si="108"/>
        <v>2499111</v>
      </c>
      <c r="BC147" s="1622">
        <f t="shared" si="109"/>
        <v>1625202.4210000001</v>
      </c>
      <c r="BD147" s="1622">
        <f t="shared" si="110"/>
        <v>1625202.4210000001</v>
      </c>
      <c r="BE147" s="1622">
        <f t="shared" si="111"/>
        <v>873908.57900000003</v>
      </c>
      <c r="BM147" s="1625" t="s">
        <v>620</v>
      </c>
      <c r="BN147" s="1627">
        <v>228589000</v>
      </c>
      <c r="BO147" s="1627">
        <v>4412500</v>
      </c>
      <c r="BP147" s="1627">
        <v>9357000</v>
      </c>
      <c r="BQ147" s="1627">
        <v>219232000</v>
      </c>
      <c r="BR147" s="1622">
        <f t="shared" si="112"/>
        <v>228589</v>
      </c>
      <c r="BS147" s="1622">
        <f t="shared" si="113"/>
        <v>4412.5</v>
      </c>
      <c r="BT147" s="1622">
        <f t="shared" si="114"/>
        <v>9357</v>
      </c>
      <c r="BU147" s="1622">
        <f t="shared" si="115"/>
        <v>219232</v>
      </c>
      <c r="CC147" s="1623" t="s">
        <v>997</v>
      </c>
      <c r="CD147" s="1623">
        <v>16508000</v>
      </c>
      <c r="CE147" s="1623">
        <v>0</v>
      </c>
      <c r="CF147" s="1623">
        <v>0</v>
      </c>
      <c r="CG147" s="1623">
        <v>16508000</v>
      </c>
      <c r="CH147" s="1623">
        <f t="shared" si="116"/>
        <v>16508</v>
      </c>
      <c r="CI147" s="1623">
        <f t="shared" si="117"/>
        <v>0</v>
      </c>
      <c r="CJ147" s="1623">
        <f t="shared" si="118"/>
        <v>0</v>
      </c>
      <c r="CK147" s="1623">
        <f t="shared" si="119"/>
        <v>16508</v>
      </c>
      <c r="CS147" s="1625" t="s">
        <v>1049</v>
      </c>
      <c r="CT147" s="891">
        <v>165389000</v>
      </c>
      <c r="CU147" s="891">
        <v>189711613</v>
      </c>
      <c r="CV147" s="891">
        <v>189711613</v>
      </c>
      <c r="CW147" s="891">
        <v>-24322613</v>
      </c>
      <c r="CX147" s="1622">
        <f t="shared" si="120"/>
        <v>165389</v>
      </c>
      <c r="CY147" s="1622">
        <f t="shared" si="121"/>
        <v>189711.61300000001</v>
      </c>
      <c r="CZ147" s="1622">
        <f t="shared" si="122"/>
        <v>189711.61300000001</v>
      </c>
      <c r="DA147" s="1622">
        <f t="shared" si="123"/>
        <v>-24322.613000000001</v>
      </c>
      <c r="DJ147" s="1624" t="s">
        <v>1049</v>
      </c>
      <c r="DK147" s="1622">
        <v>165389000</v>
      </c>
      <c r="DL147" s="1622">
        <v>189711613</v>
      </c>
      <c r="DM147" s="1622">
        <v>-24322613</v>
      </c>
      <c r="DN147" s="1622">
        <v>189711613</v>
      </c>
      <c r="DO147" s="1622">
        <f t="shared" si="124"/>
        <v>165389</v>
      </c>
      <c r="DP147" s="1622">
        <f t="shared" si="125"/>
        <v>189711.61300000001</v>
      </c>
      <c r="DQ147" s="1622">
        <f t="shared" si="126"/>
        <v>-24322.613000000001</v>
      </c>
      <c r="DR147" s="1622">
        <f t="shared" si="127"/>
        <v>189711.61300000001</v>
      </c>
      <c r="EA147" s="1769" t="s">
        <v>1049</v>
      </c>
      <c r="EB147" s="1770">
        <v>165389000</v>
      </c>
      <c r="EC147" s="1770">
        <v>189711613</v>
      </c>
      <c r="ED147" s="1770">
        <v>189711613</v>
      </c>
      <c r="EE147" s="1770">
        <v>-24322613</v>
      </c>
      <c r="EF147" s="1768">
        <f t="shared" si="128"/>
        <v>165389</v>
      </c>
      <c r="EG147" s="1768">
        <f t="shared" si="129"/>
        <v>189711.61300000001</v>
      </c>
      <c r="EH147" s="1768">
        <f t="shared" si="130"/>
        <v>189711.61300000001</v>
      </c>
      <c r="EI147" s="1768">
        <f t="shared" si="131"/>
        <v>-24322.613000000001</v>
      </c>
    </row>
    <row r="148" spans="1:139" ht="15" customHeight="1" x14ac:dyDescent="0.3">
      <c r="AW148" s="1625" t="s">
        <v>621</v>
      </c>
      <c r="AX148" s="891">
        <v>2499111000</v>
      </c>
      <c r="AY148" s="891">
        <v>1625202421</v>
      </c>
      <c r="AZ148" s="891">
        <v>1625202421</v>
      </c>
      <c r="BA148" s="891">
        <v>873908579</v>
      </c>
      <c r="BB148" s="1622">
        <f t="shared" si="108"/>
        <v>2499111</v>
      </c>
      <c r="BC148" s="1622">
        <f t="shared" si="109"/>
        <v>1625202.4210000001</v>
      </c>
      <c r="BD148" s="1622">
        <f t="shared" si="110"/>
        <v>1625202.4210000001</v>
      </c>
      <c r="BE148" s="1622">
        <f t="shared" si="111"/>
        <v>873908.57900000003</v>
      </c>
      <c r="BM148" s="1625" t="s">
        <v>914</v>
      </c>
      <c r="BN148" s="1627">
        <v>4140000</v>
      </c>
      <c r="BO148" s="1627">
        <v>4140000</v>
      </c>
      <c r="BP148" s="1627">
        <v>4140000</v>
      </c>
      <c r="BQ148" s="1627">
        <v>0</v>
      </c>
      <c r="BR148" s="1622">
        <f t="shared" si="112"/>
        <v>4140</v>
      </c>
      <c r="BS148" s="1622">
        <f t="shared" si="113"/>
        <v>4140</v>
      </c>
      <c r="BT148" s="1622">
        <f t="shared" si="114"/>
        <v>4140</v>
      </c>
      <c r="BU148" s="1622">
        <f t="shared" si="115"/>
        <v>0</v>
      </c>
      <c r="CC148" s="1623" t="s">
        <v>415</v>
      </c>
      <c r="CD148" s="1623">
        <v>232729000</v>
      </c>
      <c r="CE148" s="1623">
        <v>8909500</v>
      </c>
      <c r="CF148" s="1623">
        <v>25858918</v>
      </c>
      <c r="CG148" s="1623">
        <v>206870082</v>
      </c>
      <c r="CH148" s="1623">
        <f t="shared" si="116"/>
        <v>232729</v>
      </c>
      <c r="CI148" s="1623">
        <f t="shared" si="117"/>
        <v>8909.5</v>
      </c>
      <c r="CJ148" s="1623">
        <f t="shared" si="118"/>
        <v>25858.918000000001</v>
      </c>
      <c r="CK148" s="1623">
        <f t="shared" si="119"/>
        <v>206870.08199999999</v>
      </c>
      <c r="CS148" s="1625" t="s">
        <v>995</v>
      </c>
      <c r="CT148" s="891">
        <v>0</v>
      </c>
      <c r="CU148" s="891">
        <v>0</v>
      </c>
      <c r="CV148" s="891">
        <v>0</v>
      </c>
      <c r="CW148" s="891">
        <v>0</v>
      </c>
      <c r="CX148" s="1622">
        <f t="shared" si="120"/>
        <v>0</v>
      </c>
      <c r="CY148" s="1622">
        <f t="shared" si="121"/>
        <v>0</v>
      </c>
      <c r="CZ148" s="1622">
        <f t="shared" si="122"/>
        <v>0</v>
      </c>
      <c r="DA148" s="1622">
        <f t="shared" si="123"/>
        <v>0</v>
      </c>
      <c r="DJ148" s="1624" t="s">
        <v>995</v>
      </c>
      <c r="DK148" s="1622">
        <v>0</v>
      </c>
      <c r="DL148" s="1622">
        <v>0</v>
      </c>
      <c r="DM148" s="1622">
        <v>0</v>
      </c>
      <c r="DN148" s="1622">
        <v>0</v>
      </c>
      <c r="DO148" s="1622">
        <f t="shared" si="124"/>
        <v>0</v>
      </c>
      <c r="DP148" s="1622">
        <f t="shared" si="125"/>
        <v>0</v>
      </c>
      <c r="DQ148" s="1622">
        <f t="shared" si="126"/>
        <v>0</v>
      </c>
      <c r="DR148" s="1622">
        <f t="shared" si="127"/>
        <v>0</v>
      </c>
      <c r="EA148" s="780" t="s">
        <v>995</v>
      </c>
      <c r="EB148" s="779">
        <v>0</v>
      </c>
      <c r="EC148" s="779">
        <v>0</v>
      </c>
      <c r="ED148" s="779">
        <v>0</v>
      </c>
      <c r="EE148" s="779">
        <v>0</v>
      </c>
      <c r="EF148" s="166">
        <f t="shared" si="128"/>
        <v>0</v>
      </c>
      <c r="EG148" s="166">
        <f t="shared" si="129"/>
        <v>0</v>
      </c>
      <c r="EH148" s="166">
        <f t="shared" si="130"/>
        <v>0</v>
      </c>
      <c r="EI148" s="166">
        <f t="shared" si="131"/>
        <v>0</v>
      </c>
    </row>
    <row r="149" spans="1:139" ht="15" customHeight="1" x14ac:dyDescent="0.3">
      <c r="AW149" s="1625" t="s">
        <v>422</v>
      </c>
      <c r="AX149" s="891">
        <v>457646000</v>
      </c>
      <c r="AY149" s="891">
        <v>457645078</v>
      </c>
      <c r="AZ149" s="891">
        <v>457645078</v>
      </c>
      <c r="BA149" s="891">
        <v>922</v>
      </c>
      <c r="BB149" s="1622">
        <f t="shared" si="108"/>
        <v>457646</v>
      </c>
      <c r="BC149" s="1622">
        <f t="shared" si="109"/>
        <v>457645.07799999998</v>
      </c>
      <c r="BD149" s="1622">
        <f t="shared" si="110"/>
        <v>457645.07799999998</v>
      </c>
      <c r="BE149" s="1622">
        <f t="shared" si="111"/>
        <v>0.92200000000000004</v>
      </c>
      <c r="BM149" s="1625" t="s">
        <v>416</v>
      </c>
      <c r="BN149" s="1627">
        <v>18420114000</v>
      </c>
      <c r="BO149" s="1627">
        <v>9420439069</v>
      </c>
      <c r="BP149" s="1627">
        <v>9420439069</v>
      </c>
      <c r="BQ149" s="1627">
        <v>8999674931</v>
      </c>
      <c r="BR149" s="1622">
        <f t="shared" si="112"/>
        <v>18420114</v>
      </c>
      <c r="BS149" s="1622">
        <f t="shared" si="113"/>
        <v>9420439.0690000001</v>
      </c>
      <c r="BT149" s="1622">
        <f t="shared" si="114"/>
        <v>9420439.0690000001</v>
      </c>
      <c r="BU149" s="1622">
        <f t="shared" si="115"/>
        <v>8999674.9309999999</v>
      </c>
      <c r="CC149" s="1623" t="s">
        <v>620</v>
      </c>
      <c r="CD149" s="1623">
        <v>228589000</v>
      </c>
      <c r="CE149" s="1623">
        <v>4769500</v>
      </c>
      <c r="CF149" s="1623">
        <v>21718918</v>
      </c>
      <c r="CG149" s="1623">
        <v>206870082</v>
      </c>
      <c r="CH149" s="1623">
        <f t="shared" si="116"/>
        <v>228589</v>
      </c>
      <c r="CI149" s="1623">
        <f t="shared" si="117"/>
        <v>4769.5</v>
      </c>
      <c r="CJ149" s="1623">
        <f t="shared" si="118"/>
        <v>21718.918000000001</v>
      </c>
      <c r="CK149" s="1623">
        <f t="shared" si="119"/>
        <v>206870.08199999999</v>
      </c>
      <c r="CS149" s="1625" t="s">
        <v>996</v>
      </c>
      <c r="CT149" s="891">
        <v>0</v>
      </c>
      <c r="CU149" s="891">
        <v>0</v>
      </c>
      <c r="CV149" s="891">
        <v>0</v>
      </c>
      <c r="CW149" s="891">
        <v>0</v>
      </c>
      <c r="CX149" s="1622">
        <f t="shared" si="120"/>
        <v>0</v>
      </c>
      <c r="CY149" s="1622">
        <f t="shared" si="121"/>
        <v>0</v>
      </c>
      <c r="CZ149" s="1622">
        <f t="shared" si="122"/>
        <v>0</v>
      </c>
      <c r="DA149" s="1622">
        <f t="shared" si="123"/>
        <v>0</v>
      </c>
      <c r="DJ149" s="1624" t="s">
        <v>996</v>
      </c>
      <c r="DK149" s="1622">
        <v>0</v>
      </c>
      <c r="DL149" s="1622">
        <v>0</v>
      </c>
      <c r="DM149" s="1622">
        <v>0</v>
      </c>
      <c r="DN149" s="1622">
        <v>0</v>
      </c>
      <c r="DO149" s="1622">
        <f t="shared" si="124"/>
        <v>0</v>
      </c>
      <c r="DP149" s="1622">
        <f t="shared" si="125"/>
        <v>0</v>
      </c>
      <c r="DQ149" s="1622">
        <f t="shared" si="126"/>
        <v>0</v>
      </c>
      <c r="DR149" s="1622">
        <f t="shared" si="127"/>
        <v>0</v>
      </c>
      <c r="EA149" s="780" t="s">
        <v>996</v>
      </c>
      <c r="EB149" s="779">
        <v>0</v>
      </c>
      <c r="EC149" s="779">
        <v>0</v>
      </c>
      <c r="ED149" s="779">
        <v>0</v>
      </c>
      <c r="EE149" s="779">
        <v>0</v>
      </c>
      <c r="EF149" s="166">
        <f t="shared" si="128"/>
        <v>0</v>
      </c>
      <c r="EG149" s="166">
        <f t="shared" si="129"/>
        <v>0</v>
      </c>
      <c r="EH149" s="166">
        <f t="shared" si="130"/>
        <v>0</v>
      </c>
      <c r="EI149" s="166">
        <f t="shared" si="131"/>
        <v>0</v>
      </c>
    </row>
    <row r="150" spans="1:139" ht="15" customHeight="1" x14ac:dyDescent="0.3">
      <c r="BM150" s="1625" t="s">
        <v>417</v>
      </c>
      <c r="BN150" s="1627">
        <v>15463357000</v>
      </c>
      <c r="BO150" s="1627">
        <v>7337591570</v>
      </c>
      <c r="BP150" s="1627">
        <v>7337591570</v>
      </c>
      <c r="BQ150" s="1627">
        <v>8125765430</v>
      </c>
      <c r="BR150" s="1622">
        <f t="shared" si="112"/>
        <v>15463357</v>
      </c>
      <c r="BS150" s="1622">
        <f t="shared" si="113"/>
        <v>7337591.5700000003</v>
      </c>
      <c r="BT150" s="1622">
        <f t="shared" si="114"/>
        <v>7337591.5700000003</v>
      </c>
      <c r="BU150" s="1622">
        <f t="shared" si="115"/>
        <v>8125765.4299999997</v>
      </c>
      <c r="CC150" s="1623" t="s">
        <v>914</v>
      </c>
      <c r="CD150" s="1623">
        <v>4140000</v>
      </c>
      <c r="CE150" s="1623">
        <v>4140000</v>
      </c>
      <c r="CF150" s="1623">
        <v>4140000</v>
      </c>
      <c r="CG150" s="1623">
        <v>0</v>
      </c>
      <c r="CH150" s="1623">
        <f t="shared" si="116"/>
        <v>4140</v>
      </c>
      <c r="CI150" s="1623">
        <f t="shared" si="117"/>
        <v>4140</v>
      </c>
      <c r="CJ150" s="1623">
        <f t="shared" si="118"/>
        <v>4140</v>
      </c>
      <c r="CK150" s="1623">
        <f t="shared" si="119"/>
        <v>0</v>
      </c>
      <c r="CS150" s="1625" t="s">
        <v>618</v>
      </c>
      <c r="CT150" s="891">
        <v>332151000</v>
      </c>
      <c r="CU150" s="891">
        <v>72200619</v>
      </c>
      <c r="CV150" s="891">
        <v>76788119</v>
      </c>
      <c r="CW150" s="891">
        <v>255362881</v>
      </c>
      <c r="CX150" s="1622">
        <f t="shared" si="120"/>
        <v>332151</v>
      </c>
      <c r="CY150" s="1622">
        <f t="shared" si="121"/>
        <v>72200.619000000006</v>
      </c>
      <c r="CZ150" s="1622">
        <f t="shared" si="122"/>
        <v>76788.119000000006</v>
      </c>
      <c r="DA150" s="1622">
        <f t="shared" si="123"/>
        <v>255362.88099999999</v>
      </c>
      <c r="DJ150" s="1624" t="s">
        <v>618</v>
      </c>
      <c r="DK150" s="1622">
        <v>332151000</v>
      </c>
      <c r="DL150" s="1622">
        <v>167903428</v>
      </c>
      <c r="DM150" s="1622">
        <v>164247572</v>
      </c>
      <c r="DN150" s="1622">
        <v>97665220</v>
      </c>
      <c r="DO150" s="1622">
        <f t="shared" si="124"/>
        <v>332151</v>
      </c>
      <c r="DP150" s="1622">
        <f t="shared" si="125"/>
        <v>167903.42800000001</v>
      </c>
      <c r="DQ150" s="1622">
        <f t="shared" si="126"/>
        <v>164247.57199999999</v>
      </c>
      <c r="DR150" s="1622">
        <f t="shared" si="127"/>
        <v>97665.22</v>
      </c>
      <c r="EA150" s="780" t="s">
        <v>618</v>
      </c>
      <c r="EB150" s="779">
        <v>332151000</v>
      </c>
      <c r="EC150" s="779">
        <v>166156314</v>
      </c>
      <c r="ED150" s="779">
        <v>170743814</v>
      </c>
      <c r="EE150" s="779">
        <v>161407186</v>
      </c>
      <c r="EF150" s="166">
        <f t="shared" si="128"/>
        <v>332151</v>
      </c>
      <c r="EG150" s="166">
        <f t="shared" si="129"/>
        <v>166156.31400000001</v>
      </c>
      <c r="EH150" s="166">
        <f t="shared" si="130"/>
        <v>170743.81400000001</v>
      </c>
      <c r="EI150" s="166">
        <f t="shared" si="131"/>
        <v>161407.18599999999</v>
      </c>
    </row>
    <row r="151" spans="1:139" ht="15" customHeight="1" x14ac:dyDescent="0.3">
      <c r="BM151" s="1625" t="s">
        <v>418</v>
      </c>
      <c r="BN151" s="1627">
        <v>15463357000</v>
      </c>
      <c r="BO151" s="1627">
        <v>7337591570</v>
      </c>
      <c r="BP151" s="1627">
        <v>7337591570</v>
      </c>
      <c r="BQ151" s="1627">
        <v>8125765430</v>
      </c>
      <c r="BR151" s="1622">
        <f t="shared" si="112"/>
        <v>15463357</v>
      </c>
      <c r="BS151" s="1622">
        <f t="shared" si="113"/>
        <v>7337591.5700000003</v>
      </c>
      <c r="BT151" s="1622">
        <f t="shared" si="114"/>
        <v>7337591.5700000003</v>
      </c>
      <c r="BU151" s="1622">
        <f t="shared" si="115"/>
        <v>8125765.4299999997</v>
      </c>
      <c r="CC151" s="1623" t="s">
        <v>416</v>
      </c>
      <c r="CD151" s="1623">
        <v>18420114000</v>
      </c>
      <c r="CE151" s="1623">
        <v>9546449397</v>
      </c>
      <c r="CF151" s="1623">
        <v>9546449397</v>
      </c>
      <c r="CG151" s="1623">
        <v>8873664603</v>
      </c>
      <c r="CH151" s="1623">
        <f t="shared" si="116"/>
        <v>18420114</v>
      </c>
      <c r="CI151" s="1623">
        <f t="shared" si="117"/>
        <v>9546449.3969999999</v>
      </c>
      <c r="CJ151" s="1623">
        <f t="shared" si="118"/>
        <v>9546449.3969999999</v>
      </c>
      <c r="CK151" s="1623">
        <f t="shared" si="119"/>
        <v>8873664.6030000001</v>
      </c>
      <c r="CS151" s="1625" t="s">
        <v>929</v>
      </c>
      <c r="CT151" s="891">
        <v>82914000</v>
      </c>
      <c r="CU151" s="891">
        <v>50929201</v>
      </c>
      <c r="CV151" s="891">
        <v>50929201</v>
      </c>
      <c r="CW151" s="891">
        <v>31984799</v>
      </c>
      <c r="CX151" s="1622">
        <f t="shared" si="120"/>
        <v>82914</v>
      </c>
      <c r="CY151" s="1622">
        <f t="shared" si="121"/>
        <v>50929.201000000001</v>
      </c>
      <c r="CZ151" s="1622">
        <f t="shared" si="122"/>
        <v>50929.201000000001</v>
      </c>
      <c r="DA151" s="1622">
        <f t="shared" si="123"/>
        <v>31984.798999999999</v>
      </c>
      <c r="DJ151" s="1624" t="s">
        <v>929</v>
      </c>
      <c r="DK151" s="1622">
        <v>82914000</v>
      </c>
      <c r="DL151" s="1622">
        <v>76393802</v>
      </c>
      <c r="DM151" s="1622">
        <v>6520198</v>
      </c>
      <c r="DN151" s="1622">
        <v>76393802</v>
      </c>
      <c r="DO151" s="1622">
        <f t="shared" si="124"/>
        <v>82914</v>
      </c>
      <c r="DP151" s="1622">
        <f t="shared" si="125"/>
        <v>76393.801999999996</v>
      </c>
      <c r="DQ151" s="1622">
        <f t="shared" si="126"/>
        <v>6520.1980000000003</v>
      </c>
      <c r="DR151" s="1622">
        <f t="shared" si="127"/>
        <v>76393.801999999996</v>
      </c>
      <c r="EA151" s="780" t="s">
        <v>929</v>
      </c>
      <c r="EB151" s="779">
        <v>82914000</v>
      </c>
      <c r="EC151" s="779">
        <v>76393802</v>
      </c>
      <c r="ED151" s="779">
        <v>76393802</v>
      </c>
      <c r="EE151" s="779">
        <v>6520198</v>
      </c>
      <c r="EF151" s="166">
        <f t="shared" si="128"/>
        <v>82914</v>
      </c>
      <c r="EG151" s="166">
        <f t="shared" si="129"/>
        <v>76393.801999999996</v>
      </c>
      <c r="EH151" s="166">
        <f t="shared" si="130"/>
        <v>76393.801999999996</v>
      </c>
      <c r="EI151" s="166">
        <f t="shared" si="131"/>
        <v>6520.1980000000003</v>
      </c>
    </row>
    <row r="152" spans="1:139" ht="15" customHeight="1" x14ac:dyDescent="0.3">
      <c r="BM152" s="1625" t="s">
        <v>419</v>
      </c>
      <c r="BN152" s="1627">
        <v>2499111000</v>
      </c>
      <c r="BO152" s="1627">
        <v>1625202421</v>
      </c>
      <c r="BP152" s="1627">
        <v>1625202421</v>
      </c>
      <c r="BQ152" s="1627">
        <v>873908579</v>
      </c>
      <c r="BR152" s="1622">
        <f t="shared" si="112"/>
        <v>2499111</v>
      </c>
      <c r="BS152" s="1622">
        <f t="shared" si="113"/>
        <v>1625202.4210000001</v>
      </c>
      <c r="BT152" s="1622">
        <f t="shared" si="114"/>
        <v>1625202.4210000001</v>
      </c>
      <c r="BU152" s="1622">
        <f t="shared" si="115"/>
        <v>873908.57900000003</v>
      </c>
      <c r="CC152" s="1623" t="s">
        <v>417</v>
      </c>
      <c r="CD152" s="1623">
        <v>15463357000</v>
      </c>
      <c r="CE152" s="1623">
        <v>7443941702</v>
      </c>
      <c r="CF152" s="1623">
        <v>7443941702</v>
      </c>
      <c r="CG152" s="1623">
        <v>8019415298</v>
      </c>
      <c r="CH152" s="1623">
        <f t="shared" si="116"/>
        <v>15463357</v>
      </c>
      <c r="CI152" s="1623">
        <f t="shared" si="117"/>
        <v>7443941.7019999996</v>
      </c>
      <c r="CJ152" s="1623">
        <f t="shared" si="118"/>
        <v>7443941.7019999996</v>
      </c>
      <c r="CK152" s="1623">
        <f t="shared" si="119"/>
        <v>8019415.2980000004</v>
      </c>
      <c r="CS152" s="1625" t="s">
        <v>997</v>
      </c>
      <c r="CT152" s="891">
        <v>16508000</v>
      </c>
      <c r="CU152" s="891">
        <v>0</v>
      </c>
      <c r="CV152" s="891">
        <v>0</v>
      </c>
      <c r="CW152" s="891">
        <v>16508000</v>
      </c>
      <c r="CX152" s="1622">
        <f t="shared" si="120"/>
        <v>16508</v>
      </c>
      <c r="CY152" s="1622">
        <f t="shared" si="121"/>
        <v>0</v>
      </c>
      <c r="CZ152" s="1622">
        <f t="shared" si="122"/>
        <v>0</v>
      </c>
      <c r="DA152" s="1622">
        <f t="shared" si="123"/>
        <v>16508</v>
      </c>
      <c r="DJ152" s="1624" t="s">
        <v>997</v>
      </c>
      <c r="DK152" s="1622">
        <v>16508000</v>
      </c>
      <c r="DL152" s="1622">
        <v>0</v>
      </c>
      <c r="DM152" s="1622">
        <v>16508000</v>
      </c>
      <c r="DN152" s="1622">
        <v>0</v>
      </c>
      <c r="DO152" s="1622">
        <f t="shared" si="124"/>
        <v>16508</v>
      </c>
      <c r="DP152" s="1622">
        <f t="shared" si="125"/>
        <v>0</v>
      </c>
      <c r="DQ152" s="1622">
        <f t="shared" si="126"/>
        <v>16508</v>
      </c>
      <c r="DR152" s="1622">
        <f t="shared" si="127"/>
        <v>0</v>
      </c>
      <c r="EA152" s="780" t="s">
        <v>997</v>
      </c>
      <c r="EB152" s="779">
        <v>16508000</v>
      </c>
      <c r="EC152" s="779">
        <v>0</v>
      </c>
      <c r="ED152" s="779">
        <v>0</v>
      </c>
      <c r="EE152" s="779">
        <v>16508000</v>
      </c>
      <c r="EF152" s="166">
        <f t="shared" si="128"/>
        <v>16508</v>
      </c>
      <c r="EG152" s="166">
        <f t="shared" si="129"/>
        <v>0</v>
      </c>
      <c r="EH152" s="166">
        <f t="shared" si="130"/>
        <v>0</v>
      </c>
      <c r="EI152" s="166">
        <f t="shared" si="131"/>
        <v>16508</v>
      </c>
    </row>
    <row r="153" spans="1:139" ht="15" customHeight="1" x14ac:dyDescent="0.3">
      <c r="BM153" s="1625" t="s">
        <v>420</v>
      </c>
      <c r="BN153" s="1627">
        <v>2499111000</v>
      </c>
      <c r="BO153" s="1627">
        <v>1625202421</v>
      </c>
      <c r="BP153" s="1627">
        <v>1625202421</v>
      </c>
      <c r="BQ153" s="1627">
        <v>873908579</v>
      </c>
      <c r="BR153" s="1622">
        <f t="shared" si="112"/>
        <v>2499111</v>
      </c>
      <c r="BS153" s="1622">
        <f t="shared" si="113"/>
        <v>1625202.4210000001</v>
      </c>
      <c r="BT153" s="1622">
        <f t="shared" si="114"/>
        <v>1625202.4210000001</v>
      </c>
      <c r="BU153" s="1622">
        <f t="shared" si="115"/>
        <v>873908.57900000003</v>
      </c>
      <c r="CC153" s="1623" t="s">
        <v>418</v>
      </c>
      <c r="CD153" s="1623">
        <v>15463357000</v>
      </c>
      <c r="CE153" s="1623">
        <v>7443941702</v>
      </c>
      <c r="CF153" s="1623">
        <v>7443941702</v>
      </c>
      <c r="CG153" s="1623">
        <v>8019415298</v>
      </c>
      <c r="CH153" s="1623">
        <f t="shared" si="116"/>
        <v>15463357</v>
      </c>
      <c r="CI153" s="1623">
        <f t="shared" si="117"/>
        <v>7443941.7019999996</v>
      </c>
      <c r="CJ153" s="1623">
        <f t="shared" si="118"/>
        <v>7443941.7019999996</v>
      </c>
      <c r="CK153" s="1623">
        <f t="shared" si="119"/>
        <v>8019415.2980000004</v>
      </c>
      <c r="CS153" s="1625" t="s">
        <v>415</v>
      </c>
      <c r="CT153" s="891">
        <v>232729000</v>
      </c>
      <c r="CU153" s="891">
        <v>21271418</v>
      </c>
      <c r="CV153" s="891">
        <v>25858918</v>
      </c>
      <c r="CW153" s="891">
        <v>206870082</v>
      </c>
      <c r="CX153" s="1622">
        <f t="shared" si="120"/>
        <v>232729</v>
      </c>
      <c r="CY153" s="1622">
        <f t="shared" si="121"/>
        <v>21271.418000000001</v>
      </c>
      <c r="CZ153" s="1622">
        <f t="shared" si="122"/>
        <v>25858.918000000001</v>
      </c>
      <c r="DA153" s="1622">
        <f t="shared" si="123"/>
        <v>206870.08199999999</v>
      </c>
      <c r="DJ153" s="1624" t="s">
        <v>415</v>
      </c>
      <c r="DK153" s="1622">
        <v>232729000</v>
      </c>
      <c r="DL153" s="1622">
        <v>91509626</v>
      </c>
      <c r="DM153" s="1622">
        <v>141219374</v>
      </c>
      <c r="DN153" s="1622">
        <v>21271418</v>
      </c>
      <c r="DO153" s="1622">
        <f t="shared" si="124"/>
        <v>232729</v>
      </c>
      <c r="DP153" s="1622">
        <f t="shared" si="125"/>
        <v>91509.626000000004</v>
      </c>
      <c r="DQ153" s="1622">
        <f t="shared" si="126"/>
        <v>141219.37400000001</v>
      </c>
      <c r="DR153" s="1622">
        <f t="shared" si="127"/>
        <v>21271.418000000001</v>
      </c>
      <c r="EA153" s="780" t="s">
        <v>415</v>
      </c>
      <c r="EB153" s="779">
        <v>232729000</v>
      </c>
      <c r="EC153" s="779">
        <v>89762512</v>
      </c>
      <c r="ED153" s="779">
        <v>94350012</v>
      </c>
      <c r="EE153" s="779">
        <v>138378988</v>
      </c>
      <c r="EF153" s="166">
        <f t="shared" si="128"/>
        <v>232729</v>
      </c>
      <c r="EG153" s="166">
        <f t="shared" si="129"/>
        <v>89762.512000000002</v>
      </c>
      <c r="EH153" s="166">
        <f t="shared" si="130"/>
        <v>94350.012000000002</v>
      </c>
      <c r="EI153" s="166">
        <f t="shared" si="131"/>
        <v>138378.98800000001</v>
      </c>
    </row>
    <row r="154" spans="1:139" ht="15" customHeight="1" x14ac:dyDescent="0.3">
      <c r="BM154" s="1625" t="s">
        <v>621</v>
      </c>
      <c r="BN154" s="1627">
        <v>2499111000</v>
      </c>
      <c r="BO154" s="1627">
        <v>1625202421</v>
      </c>
      <c r="BP154" s="1627">
        <v>1625202421</v>
      </c>
      <c r="BQ154" s="1627">
        <v>873908579</v>
      </c>
      <c r="BR154" s="1622">
        <f t="shared" si="112"/>
        <v>2499111</v>
      </c>
      <c r="BS154" s="1622">
        <f t="shared" si="113"/>
        <v>1625202.4210000001</v>
      </c>
      <c r="BT154" s="1622">
        <f t="shared" si="114"/>
        <v>1625202.4210000001</v>
      </c>
      <c r="BU154" s="1622">
        <f t="shared" si="115"/>
        <v>873908.57900000003</v>
      </c>
      <c r="CC154" s="1623" t="s">
        <v>419</v>
      </c>
      <c r="CD154" s="1623">
        <v>2499111000</v>
      </c>
      <c r="CE154" s="1623">
        <v>1644862617</v>
      </c>
      <c r="CF154" s="1623">
        <v>1644862617</v>
      </c>
      <c r="CG154" s="1623">
        <v>854248383</v>
      </c>
      <c r="CH154" s="1623">
        <f t="shared" si="116"/>
        <v>2499111</v>
      </c>
      <c r="CI154" s="1623">
        <f t="shared" si="117"/>
        <v>1644862.6170000001</v>
      </c>
      <c r="CJ154" s="1623">
        <f t="shared" si="118"/>
        <v>1644862.6170000001</v>
      </c>
      <c r="CK154" s="1623">
        <f t="shared" si="119"/>
        <v>854248.38300000003</v>
      </c>
      <c r="CS154" s="1625" t="s">
        <v>620</v>
      </c>
      <c r="CT154" s="891">
        <v>228589000</v>
      </c>
      <c r="CU154" s="891">
        <v>17131418</v>
      </c>
      <c r="CV154" s="891">
        <v>21718918</v>
      </c>
      <c r="CW154" s="891">
        <v>206870082</v>
      </c>
      <c r="CX154" s="1622">
        <f t="shared" si="120"/>
        <v>228589</v>
      </c>
      <c r="CY154" s="1622">
        <f t="shared" si="121"/>
        <v>17131.418000000001</v>
      </c>
      <c r="CZ154" s="1622">
        <f t="shared" si="122"/>
        <v>21718.918000000001</v>
      </c>
      <c r="DA154" s="1622">
        <f t="shared" si="123"/>
        <v>206870.08199999999</v>
      </c>
      <c r="DJ154" s="1624" t="s">
        <v>620</v>
      </c>
      <c r="DK154" s="1622">
        <v>228589000</v>
      </c>
      <c r="DL154" s="1622">
        <v>87369626</v>
      </c>
      <c r="DM154" s="1622">
        <v>141219374</v>
      </c>
      <c r="DN154" s="1622">
        <v>17131418</v>
      </c>
      <c r="DO154" s="1622">
        <f t="shared" si="124"/>
        <v>228589</v>
      </c>
      <c r="DP154" s="1622">
        <f t="shared" si="125"/>
        <v>87369.626000000004</v>
      </c>
      <c r="DQ154" s="1622">
        <f t="shared" si="126"/>
        <v>141219.37400000001</v>
      </c>
      <c r="DR154" s="1622">
        <f t="shared" si="127"/>
        <v>17131.418000000001</v>
      </c>
      <c r="EA154" s="780" t="s">
        <v>620</v>
      </c>
      <c r="EB154" s="779">
        <v>228589000</v>
      </c>
      <c r="EC154" s="779">
        <v>85622512</v>
      </c>
      <c r="ED154" s="779">
        <v>90210012</v>
      </c>
      <c r="EE154" s="779">
        <v>138378988</v>
      </c>
      <c r="EF154" s="166">
        <f t="shared" si="128"/>
        <v>228589</v>
      </c>
      <c r="EG154" s="166">
        <f t="shared" si="129"/>
        <v>85622.512000000002</v>
      </c>
      <c r="EH154" s="166">
        <f t="shared" si="130"/>
        <v>90210.012000000002</v>
      </c>
      <c r="EI154" s="166">
        <f t="shared" si="131"/>
        <v>138378.98800000001</v>
      </c>
    </row>
    <row r="155" spans="1:139" ht="15" customHeight="1" x14ac:dyDescent="0.3">
      <c r="BM155" s="1625" t="s">
        <v>422</v>
      </c>
      <c r="BN155" s="1627">
        <v>457646000</v>
      </c>
      <c r="BO155" s="1627">
        <v>457645078</v>
      </c>
      <c r="BP155" s="1627">
        <v>457645078</v>
      </c>
      <c r="BQ155" s="1627">
        <v>922</v>
      </c>
      <c r="BR155" s="1622">
        <f t="shared" si="112"/>
        <v>457646</v>
      </c>
      <c r="BS155" s="1622">
        <f t="shared" si="113"/>
        <v>457645.07799999998</v>
      </c>
      <c r="BT155" s="1622">
        <f t="shared" si="114"/>
        <v>457645.07799999998</v>
      </c>
      <c r="BU155" s="1622">
        <f t="shared" si="115"/>
        <v>0.92200000000000004</v>
      </c>
      <c r="CC155" s="1623" t="s">
        <v>420</v>
      </c>
      <c r="CD155" s="1623">
        <v>2499111000</v>
      </c>
      <c r="CE155" s="1623">
        <v>1644862617</v>
      </c>
      <c r="CF155" s="1623">
        <v>1644862617</v>
      </c>
      <c r="CG155" s="1623">
        <v>854248383</v>
      </c>
      <c r="CH155" s="1623">
        <f t="shared" si="116"/>
        <v>2499111</v>
      </c>
      <c r="CI155" s="1623">
        <f t="shared" si="117"/>
        <v>1644862.6170000001</v>
      </c>
      <c r="CJ155" s="1623">
        <f t="shared" si="118"/>
        <v>1644862.6170000001</v>
      </c>
      <c r="CK155" s="1623">
        <f t="shared" si="119"/>
        <v>854248.38300000003</v>
      </c>
      <c r="CS155" s="1625" t="s">
        <v>914</v>
      </c>
      <c r="CT155" s="891">
        <v>4140000</v>
      </c>
      <c r="CU155" s="891">
        <v>4140000</v>
      </c>
      <c r="CV155" s="891">
        <v>4140000</v>
      </c>
      <c r="CW155" s="891">
        <v>0</v>
      </c>
      <c r="CX155" s="1622">
        <f t="shared" si="120"/>
        <v>4140</v>
      </c>
      <c r="CY155" s="1622">
        <f t="shared" si="121"/>
        <v>4140</v>
      </c>
      <c r="CZ155" s="1622">
        <f t="shared" si="122"/>
        <v>4140</v>
      </c>
      <c r="DA155" s="1622">
        <f t="shared" si="123"/>
        <v>0</v>
      </c>
      <c r="DJ155" s="1624" t="s">
        <v>914</v>
      </c>
      <c r="DK155" s="1622">
        <v>4140000</v>
      </c>
      <c r="DL155" s="1622">
        <v>4140000</v>
      </c>
      <c r="DM155" s="1622">
        <v>0</v>
      </c>
      <c r="DN155" s="1622">
        <v>4140000</v>
      </c>
      <c r="DO155" s="1622">
        <f t="shared" si="124"/>
        <v>4140</v>
      </c>
      <c r="DP155" s="1622">
        <f t="shared" si="125"/>
        <v>4140</v>
      </c>
      <c r="DQ155" s="1622">
        <f t="shared" si="126"/>
        <v>0</v>
      </c>
      <c r="DR155" s="1622">
        <f t="shared" si="127"/>
        <v>4140</v>
      </c>
      <c r="EA155" s="780" t="s">
        <v>914</v>
      </c>
      <c r="EB155" s="779">
        <v>4140000</v>
      </c>
      <c r="EC155" s="779">
        <v>4140000</v>
      </c>
      <c r="ED155" s="779">
        <v>4140000</v>
      </c>
      <c r="EE155" s="779">
        <v>0</v>
      </c>
      <c r="EF155" s="166">
        <f t="shared" si="128"/>
        <v>4140</v>
      </c>
      <c r="EG155" s="166">
        <f t="shared" si="129"/>
        <v>4140</v>
      </c>
      <c r="EH155" s="166">
        <f t="shared" si="130"/>
        <v>4140</v>
      </c>
      <c r="EI155" s="166">
        <f t="shared" si="131"/>
        <v>0</v>
      </c>
    </row>
    <row r="156" spans="1:139" x14ac:dyDescent="0.3">
      <c r="CC156" s="1623" t="s">
        <v>621</v>
      </c>
      <c r="CD156" s="1623">
        <v>2499111000</v>
      </c>
      <c r="CE156" s="1623">
        <v>1644862617</v>
      </c>
      <c r="CF156" s="1623">
        <v>1644862617</v>
      </c>
      <c r="CG156" s="1623">
        <v>854248383</v>
      </c>
      <c r="CH156" s="1623">
        <f t="shared" si="116"/>
        <v>2499111</v>
      </c>
      <c r="CI156" s="1623">
        <f t="shared" si="117"/>
        <v>1644862.6170000001</v>
      </c>
      <c r="CJ156" s="1623">
        <f t="shared" si="118"/>
        <v>1644862.6170000001</v>
      </c>
      <c r="CK156" s="1623">
        <f t="shared" si="119"/>
        <v>854248.38300000003</v>
      </c>
      <c r="CS156" s="1625" t="s">
        <v>416</v>
      </c>
      <c r="CT156" s="891">
        <v>18420114000</v>
      </c>
      <c r="CU156" s="891">
        <v>10346112193</v>
      </c>
      <c r="CV156" s="891">
        <v>10346112193</v>
      </c>
      <c r="CW156" s="891">
        <v>8074001807</v>
      </c>
      <c r="CX156" s="1622">
        <f t="shared" si="120"/>
        <v>18420114</v>
      </c>
      <c r="CY156" s="1622">
        <f t="shared" si="121"/>
        <v>10346112.193</v>
      </c>
      <c r="CZ156" s="1622">
        <f t="shared" si="122"/>
        <v>10346112.193</v>
      </c>
      <c r="DA156" s="1622">
        <f t="shared" si="123"/>
        <v>8074001.807</v>
      </c>
      <c r="DJ156" s="1624" t="s">
        <v>416</v>
      </c>
      <c r="DK156" s="1622">
        <v>18420114000</v>
      </c>
      <c r="DL156" s="1622">
        <v>10346112193</v>
      </c>
      <c r="DM156" s="1622">
        <v>8074001807</v>
      </c>
      <c r="DN156" s="1622">
        <v>10346112193</v>
      </c>
      <c r="DO156" s="1622">
        <f t="shared" si="124"/>
        <v>18420114</v>
      </c>
      <c r="DP156" s="1622">
        <f t="shared" si="125"/>
        <v>10346112.193</v>
      </c>
      <c r="DQ156" s="1622">
        <f t="shared" si="126"/>
        <v>8074001.807</v>
      </c>
      <c r="DR156" s="1622">
        <f t="shared" si="127"/>
        <v>10346112.193</v>
      </c>
      <c r="EA156" s="1767" t="s">
        <v>416</v>
      </c>
      <c r="EB156" s="764">
        <v>18420114000</v>
      </c>
      <c r="EC156" s="764">
        <v>17122041865</v>
      </c>
      <c r="ED156" s="764">
        <v>17122041865</v>
      </c>
      <c r="EE156" s="764">
        <v>1298072135</v>
      </c>
      <c r="EF156" s="723">
        <f t="shared" si="128"/>
        <v>18420114</v>
      </c>
      <c r="EG156" s="723">
        <f t="shared" si="129"/>
        <v>17122041.864999998</v>
      </c>
      <c r="EH156" s="723">
        <f t="shared" si="130"/>
        <v>17122041.864999998</v>
      </c>
      <c r="EI156" s="723">
        <f t="shared" si="131"/>
        <v>1298072.135</v>
      </c>
    </row>
    <row r="157" spans="1:139" x14ac:dyDescent="0.3">
      <c r="CC157" s="1623" t="s">
        <v>422</v>
      </c>
      <c r="CD157" s="1623">
        <v>457646000</v>
      </c>
      <c r="CE157" s="1623">
        <v>457645078</v>
      </c>
      <c r="CF157" s="1623">
        <v>457645078</v>
      </c>
      <c r="CG157" s="1623">
        <v>922</v>
      </c>
      <c r="CH157" s="1623">
        <f t="shared" si="116"/>
        <v>457646</v>
      </c>
      <c r="CI157" s="1623">
        <f t="shared" si="117"/>
        <v>457645.07799999998</v>
      </c>
      <c r="CJ157" s="1623">
        <f t="shared" si="118"/>
        <v>457645.07799999998</v>
      </c>
      <c r="CK157" s="1623">
        <f t="shared" si="119"/>
        <v>0.92200000000000004</v>
      </c>
      <c r="CS157" s="1625" t="s">
        <v>417</v>
      </c>
      <c r="CT157" s="891">
        <v>15463357000</v>
      </c>
      <c r="CU157" s="891">
        <v>7443941702</v>
      </c>
      <c r="CV157" s="891">
        <v>7443941702</v>
      </c>
      <c r="CW157" s="891">
        <v>8019415298</v>
      </c>
      <c r="CX157" s="1622">
        <f t="shared" si="120"/>
        <v>15463357</v>
      </c>
      <c r="CY157" s="1622">
        <f t="shared" si="121"/>
        <v>7443941.7019999996</v>
      </c>
      <c r="CZ157" s="1622">
        <f t="shared" si="122"/>
        <v>7443941.7019999996</v>
      </c>
      <c r="DA157" s="1622">
        <f t="shared" si="123"/>
        <v>8019415.2980000004</v>
      </c>
      <c r="DJ157" s="1624" t="s">
        <v>417</v>
      </c>
      <c r="DK157" s="1622">
        <v>15463357000</v>
      </c>
      <c r="DL157" s="1622">
        <v>7443941702</v>
      </c>
      <c r="DM157" s="1622">
        <v>8019415298</v>
      </c>
      <c r="DN157" s="1622">
        <v>7443941702</v>
      </c>
      <c r="DO157" s="1622">
        <f t="shared" si="124"/>
        <v>15463357</v>
      </c>
      <c r="DP157" s="1622">
        <f t="shared" si="125"/>
        <v>7443941.7019999996</v>
      </c>
      <c r="DQ157" s="1622">
        <f t="shared" si="126"/>
        <v>8019415.2980000004</v>
      </c>
      <c r="DR157" s="1622">
        <f t="shared" si="127"/>
        <v>7443941.7019999996</v>
      </c>
      <c r="EA157" s="1767" t="s">
        <v>417</v>
      </c>
      <c r="EB157" s="764">
        <v>15463357000</v>
      </c>
      <c r="EC157" s="764">
        <v>14165285787</v>
      </c>
      <c r="ED157" s="764">
        <v>14165285787</v>
      </c>
      <c r="EE157" s="764">
        <v>1298071213</v>
      </c>
      <c r="EF157" s="723">
        <f t="shared" si="128"/>
        <v>15463357</v>
      </c>
      <c r="EG157" s="723">
        <f t="shared" si="129"/>
        <v>14165285.787</v>
      </c>
      <c r="EH157" s="723">
        <f t="shared" si="130"/>
        <v>14165285.787</v>
      </c>
      <c r="EI157" s="723">
        <f t="shared" si="131"/>
        <v>1298071.213</v>
      </c>
    </row>
    <row r="158" spans="1:139" x14ac:dyDescent="0.3">
      <c r="CS158" s="1625" t="s">
        <v>418</v>
      </c>
      <c r="CT158" s="891">
        <v>15463357000</v>
      </c>
      <c r="CU158" s="891">
        <v>7443941702</v>
      </c>
      <c r="CV158" s="891">
        <v>7443941702</v>
      </c>
      <c r="CW158" s="891">
        <v>8019415298</v>
      </c>
      <c r="CX158" s="1622">
        <f t="shared" si="120"/>
        <v>15463357</v>
      </c>
      <c r="CY158" s="1622">
        <f t="shared" si="121"/>
        <v>7443941.7019999996</v>
      </c>
      <c r="CZ158" s="1622">
        <f t="shared" si="122"/>
        <v>7443941.7019999996</v>
      </c>
      <c r="DA158" s="1622">
        <f t="shared" si="123"/>
        <v>8019415.2980000004</v>
      </c>
      <c r="DJ158" s="1624" t="s">
        <v>418</v>
      </c>
      <c r="DK158" s="1622">
        <v>15463357000</v>
      </c>
      <c r="DL158" s="1622">
        <v>7443941702</v>
      </c>
      <c r="DM158" s="1622">
        <v>8019415298</v>
      </c>
      <c r="DN158" s="1622">
        <v>7443941702</v>
      </c>
      <c r="DO158" s="1622">
        <v>0</v>
      </c>
      <c r="DP158" s="1622">
        <v>0</v>
      </c>
      <c r="DQ158" s="1622">
        <v>0</v>
      </c>
      <c r="DR158" s="1622">
        <v>0</v>
      </c>
      <c r="EA158" s="1767" t="s">
        <v>418</v>
      </c>
      <c r="EB158" s="764">
        <v>15463357000</v>
      </c>
      <c r="EC158" s="764">
        <v>14165285787</v>
      </c>
      <c r="ED158" s="764">
        <v>14165285787</v>
      </c>
      <c r="EE158" s="764">
        <v>1298071213</v>
      </c>
      <c r="EF158" s="723">
        <f t="shared" si="128"/>
        <v>15463357</v>
      </c>
      <c r="EG158" s="723">
        <f t="shared" si="129"/>
        <v>14165285.787</v>
      </c>
      <c r="EH158" s="723">
        <f t="shared" si="130"/>
        <v>14165285.787</v>
      </c>
      <c r="EI158" s="723">
        <f t="shared" si="131"/>
        <v>1298071.213</v>
      </c>
    </row>
    <row r="159" spans="1:139" x14ac:dyDescent="0.3">
      <c r="CS159" s="1625" t="s">
        <v>419</v>
      </c>
      <c r="CT159" s="891">
        <v>2499111000</v>
      </c>
      <c r="CU159" s="891">
        <v>2444525413</v>
      </c>
      <c r="CV159" s="891">
        <v>2444525413</v>
      </c>
      <c r="CW159" s="891">
        <v>54585587</v>
      </c>
      <c r="CX159" s="1622">
        <f t="shared" si="120"/>
        <v>2499111</v>
      </c>
      <c r="CY159" s="1622">
        <f t="shared" si="121"/>
        <v>2444525.4130000002</v>
      </c>
      <c r="CZ159" s="1622">
        <f t="shared" si="122"/>
        <v>2444525.4130000002</v>
      </c>
      <c r="DA159" s="1622">
        <f t="shared" si="123"/>
        <v>54585.587</v>
      </c>
      <c r="DJ159" s="1624" t="s">
        <v>419</v>
      </c>
      <c r="DK159" s="1622">
        <v>2499111000</v>
      </c>
      <c r="DL159" s="1622">
        <v>2444525413</v>
      </c>
      <c r="DM159" s="1622">
        <v>54585587</v>
      </c>
      <c r="DN159" s="1622">
        <v>2444525413</v>
      </c>
      <c r="DO159" s="1622">
        <f t="shared" si="124"/>
        <v>2499111</v>
      </c>
      <c r="DP159" s="1622">
        <f t="shared" si="125"/>
        <v>2444525.4130000002</v>
      </c>
      <c r="DQ159" s="1622">
        <f t="shared" si="126"/>
        <v>54585.587</v>
      </c>
      <c r="DR159" s="1622">
        <f t="shared" si="127"/>
        <v>2444525.4130000002</v>
      </c>
      <c r="EA159" s="1767" t="s">
        <v>419</v>
      </c>
      <c r="EB159" s="764">
        <v>2499111000</v>
      </c>
      <c r="EC159" s="764">
        <v>2499111000</v>
      </c>
      <c r="ED159" s="764">
        <v>2499111000</v>
      </c>
      <c r="EE159" s="764">
        <v>0</v>
      </c>
      <c r="EF159" s="723">
        <f t="shared" si="128"/>
        <v>2499111</v>
      </c>
      <c r="EG159" s="723">
        <f t="shared" si="129"/>
        <v>2499111</v>
      </c>
      <c r="EH159" s="723">
        <f t="shared" si="130"/>
        <v>2499111</v>
      </c>
      <c r="EI159" s="723">
        <f t="shared" si="131"/>
        <v>0</v>
      </c>
    </row>
    <row r="160" spans="1:139" x14ac:dyDescent="0.3">
      <c r="CS160" s="1625" t="s">
        <v>420</v>
      </c>
      <c r="CT160" s="891">
        <v>2499111000</v>
      </c>
      <c r="CU160" s="891">
        <v>2444525413</v>
      </c>
      <c r="CV160" s="891">
        <v>2444525413</v>
      </c>
      <c r="CW160" s="891">
        <v>54585587</v>
      </c>
      <c r="CX160" s="1622">
        <f t="shared" si="120"/>
        <v>2499111</v>
      </c>
      <c r="CY160" s="1622">
        <f t="shared" si="121"/>
        <v>2444525.4130000002</v>
      </c>
      <c r="CZ160" s="1622">
        <f t="shared" si="122"/>
        <v>2444525.4130000002</v>
      </c>
      <c r="DA160" s="1622">
        <f t="shared" si="123"/>
        <v>54585.587</v>
      </c>
      <c r="DJ160" s="1624" t="s">
        <v>420</v>
      </c>
      <c r="DK160" s="1622">
        <v>2499111000</v>
      </c>
      <c r="DL160" s="1622">
        <v>2444525413</v>
      </c>
      <c r="DM160" s="1622">
        <v>54585587</v>
      </c>
      <c r="DN160" s="1622">
        <v>2444525413</v>
      </c>
      <c r="DO160" s="1622">
        <v>0</v>
      </c>
      <c r="DP160" s="1622">
        <v>0</v>
      </c>
      <c r="DQ160" s="1622">
        <v>0</v>
      </c>
      <c r="DR160" s="1622">
        <v>0</v>
      </c>
      <c r="EA160" s="1767" t="s">
        <v>420</v>
      </c>
      <c r="EB160" s="764">
        <v>2499111000</v>
      </c>
      <c r="EC160" s="764">
        <v>2499111000</v>
      </c>
      <c r="ED160" s="764">
        <v>2499111000</v>
      </c>
      <c r="EE160" s="764">
        <v>0</v>
      </c>
      <c r="EF160" s="723">
        <f t="shared" si="128"/>
        <v>2499111</v>
      </c>
      <c r="EG160" s="723">
        <f t="shared" si="129"/>
        <v>2499111</v>
      </c>
      <c r="EH160" s="723">
        <f t="shared" si="130"/>
        <v>2499111</v>
      </c>
      <c r="EI160" s="723">
        <f t="shared" si="131"/>
        <v>0</v>
      </c>
    </row>
    <row r="161" spans="97:139" x14ac:dyDescent="0.3">
      <c r="CS161" s="1625" t="s">
        <v>621</v>
      </c>
      <c r="CT161" s="891">
        <v>2499111000</v>
      </c>
      <c r="CU161" s="891">
        <v>2444525413</v>
      </c>
      <c r="CV161" s="891">
        <v>2444525413</v>
      </c>
      <c r="CW161" s="891">
        <v>54585587</v>
      </c>
      <c r="CX161" s="1622">
        <f t="shared" si="120"/>
        <v>2499111</v>
      </c>
      <c r="CY161" s="1622">
        <f t="shared" si="121"/>
        <v>2444525.4130000002</v>
      </c>
      <c r="CZ161" s="1622">
        <f t="shared" si="122"/>
        <v>2444525.4130000002</v>
      </c>
      <c r="DA161" s="1622">
        <f t="shared" si="123"/>
        <v>54585.587</v>
      </c>
      <c r="DJ161" s="1624" t="s">
        <v>621</v>
      </c>
      <c r="DK161" s="1622">
        <v>2499111000</v>
      </c>
      <c r="DL161" s="1622">
        <v>2444525413</v>
      </c>
      <c r="DM161" s="1622">
        <v>54585587</v>
      </c>
      <c r="DN161" s="1622">
        <v>2444525413</v>
      </c>
      <c r="DO161" s="1622">
        <v>0</v>
      </c>
      <c r="DP161" s="1622">
        <v>0</v>
      </c>
      <c r="DQ161" s="1622">
        <v>0</v>
      </c>
      <c r="DR161" s="1622">
        <v>0</v>
      </c>
      <c r="EA161" s="1767" t="s">
        <v>621</v>
      </c>
      <c r="EB161" s="764">
        <v>2499111000</v>
      </c>
      <c r="EC161" s="764">
        <v>2499111000</v>
      </c>
      <c r="ED161" s="764">
        <v>2499111000</v>
      </c>
      <c r="EE161" s="764">
        <v>0</v>
      </c>
      <c r="EF161" s="723">
        <f t="shared" si="128"/>
        <v>2499111</v>
      </c>
      <c r="EG161" s="723">
        <f t="shared" si="129"/>
        <v>2499111</v>
      </c>
      <c r="EH161" s="723">
        <f t="shared" si="130"/>
        <v>2499111</v>
      </c>
      <c r="EI161" s="723">
        <f t="shared" si="131"/>
        <v>0</v>
      </c>
    </row>
    <row r="162" spans="97:139" x14ac:dyDescent="0.3">
      <c r="CS162" s="1625" t="s">
        <v>422</v>
      </c>
      <c r="CT162" s="891">
        <v>457646000</v>
      </c>
      <c r="CU162" s="891">
        <v>457645078</v>
      </c>
      <c r="CV162" s="891">
        <v>457645078</v>
      </c>
      <c r="CW162" s="891">
        <v>922</v>
      </c>
      <c r="CX162" s="1622">
        <f t="shared" si="120"/>
        <v>457646</v>
      </c>
      <c r="CY162" s="1622">
        <f t="shared" si="121"/>
        <v>457645.07799999998</v>
      </c>
      <c r="CZ162" s="1622">
        <f t="shared" si="122"/>
        <v>457645.07799999998</v>
      </c>
      <c r="DA162" s="1622">
        <f t="shared" si="123"/>
        <v>0.92200000000000004</v>
      </c>
      <c r="DJ162" s="1624" t="s">
        <v>422</v>
      </c>
      <c r="DK162" s="1622">
        <v>457646000</v>
      </c>
      <c r="DL162" s="1622">
        <v>457645078</v>
      </c>
      <c r="DM162" s="1622">
        <v>922</v>
      </c>
      <c r="DN162" s="1622">
        <v>457645078</v>
      </c>
      <c r="DO162" s="1622">
        <f t="shared" si="124"/>
        <v>457646</v>
      </c>
      <c r="DP162" s="1622">
        <f t="shared" si="125"/>
        <v>457645.07799999998</v>
      </c>
      <c r="DQ162" s="1622">
        <f t="shared" si="126"/>
        <v>0.92200000000000004</v>
      </c>
      <c r="DR162" s="1622">
        <f t="shared" si="127"/>
        <v>457645.07799999998</v>
      </c>
      <c r="EA162" s="1767" t="s">
        <v>422</v>
      </c>
      <c r="EB162" s="764">
        <v>457646000</v>
      </c>
      <c r="EC162" s="764">
        <v>457645078</v>
      </c>
      <c r="ED162" s="764">
        <v>457645078</v>
      </c>
      <c r="EE162" s="764">
        <v>922</v>
      </c>
      <c r="EF162" s="723">
        <f t="shared" si="128"/>
        <v>457646</v>
      </c>
      <c r="EG162" s="723">
        <f t="shared" si="129"/>
        <v>457645.07799999998</v>
      </c>
      <c r="EH162" s="723">
        <f t="shared" si="130"/>
        <v>457645.07799999998</v>
      </c>
      <c r="EI162" s="723">
        <f t="shared" si="131"/>
        <v>0.92200000000000004</v>
      </c>
    </row>
    <row r="163" spans="97:139" x14ac:dyDescent="0.3">
      <c r="DO163" s="1622">
        <f>SUM(DO3:DO162)</f>
        <v>123715923.65700004</v>
      </c>
      <c r="DP163" s="1622">
        <f t="shared" ref="DP163:DQ163" si="132">SUM(DP3:DP162)</f>
        <v>78495549.372000009</v>
      </c>
      <c r="DQ163" s="1622">
        <f t="shared" si="132"/>
        <v>45220374.284999996</v>
      </c>
      <c r="DR163" s="1622">
        <f>SUM(DR3:DR162)</f>
        <v>74804199.083999962</v>
      </c>
      <c r="EA163" s="80"/>
      <c r="EB163" s="80"/>
      <c r="EC163" s="80"/>
      <c r="ED163" s="80"/>
      <c r="EE163" s="80"/>
    </row>
  </sheetData>
  <autoFilter ref="A2:DT147"/>
  <mergeCells count="11">
    <mergeCell ref="CC1:CI1"/>
    <mergeCell ref="L1:M1"/>
    <mergeCell ref="Q1:W1"/>
    <mergeCell ref="AB1:AC1"/>
    <mergeCell ref="AG1:AM1"/>
    <mergeCell ref="BX1:BY1"/>
    <mergeCell ref="DV1:DW1"/>
    <mergeCell ref="EA1:EG1"/>
    <mergeCell ref="DD1:DF1"/>
    <mergeCell ref="DJ1:DR1"/>
    <mergeCell ref="CS1:CY1"/>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9A46"/>
    <pageSetUpPr fitToPage="1"/>
  </sheetPr>
  <dimension ref="A1:AW70"/>
  <sheetViews>
    <sheetView zoomScale="80" zoomScaleNormal="80" workbookViewId="0">
      <pane ySplit="8" topLeftCell="A9" activePane="bottomLeft" state="frozen"/>
      <selection activeCell="H72" sqref="H72"/>
      <selection pane="bottomLeft" activeCell="K9" sqref="K9"/>
    </sheetView>
  </sheetViews>
  <sheetFormatPr baseColWidth="10" defaultColWidth="11.42578125" defaultRowHeight="12.75" customHeight="1" x14ac:dyDescent="0.2"/>
  <cols>
    <col min="1" max="1" width="9.5703125" style="36" customWidth="1"/>
    <col min="2" max="2" width="5.5703125" style="43" customWidth="1"/>
    <col min="3" max="3" width="5.5703125" style="44" customWidth="1"/>
    <col min="4" max="4" width="5.7109375" style="45" customWidth="1"/>
    <col min="5" max="5" width="5.7109375" style="46" customWidth="1"/>
    <col min="6" max="6" width="15.140625" style="46" hidden="1" customWidth="1"/>
    <col min="7" max="7" width="56.7109375" style="37" customWidth="1"/>
    <col min="8" max="10" width="19.7109375" style="1373" customWidth="1"/>
    <col min="11" max="11" width="19.7109375" style="232" customWidth="1"/>
    <col min="12" max="12" width="19.7109375" style="1373" hidden="1" customWidth="1"/>
    <col min="13" max="13" width="19.7109375" style="232" hidden="1" customWidth="1"/>
    <col min="14" max="14" width="19.7109375" style="1373" hidden="1" customWidth="1"/>
    <col min="15" max="15" width="19.7109375" style="232" hidden="1" customWidth="1"/>
    <col min="16" max="17" width="19.7109375" style="35" customWidth="1"/>
    <col min="18" max="18" width="19.7109375" style="966" customWidth="1"/>
    <col min="19" max="19" width="19.7109375" style="897" hidden="1" customWidth="1"/>
    <col min="20" max="25" width="19.7109375" style="35" hidden="1" customWidth="1"/>
    <col min="26" max="27" width="19.7109375" style="65" hidden="1" customWidth="1"/>
    <col min="28" max="39" width="19.7109375" style="35" hidden="1" customWidth="1"/>
    <col min="40" max="40" width="4.28515625" style="1231" customWidth="1"/>
    <col min="41" max="41" width="11.140625" style="76" customWidth="1"/>
    <col min="42" max="42" width="44.7109375" style="76" customWidth="1"/>
    <col min="43" max="43" width="9.85546875" style="76" hidden="1" customWidth="1"/>
    <col min="44" max="44" width="11.28515625" style="76" hidden="1" customWidth="1"/>
    <col min="45" max="45" width="13.5703125" style="233" customWidth="1"/>
    <col min="46" max="48" width="11.42578125" style="233"/>
    <col min="49" max="16384" width="11.42578125" style="36"/>
  </cols>
  <sheetData>
    <row r="1" spans="2:48" s="74" customFormat="1" ht="15" customHeight="1" thickBot="1" x14ac:dyDescent="0.3"/>
    <row r="2" spans="2:48" ht="24.75" customHeight="1" thickBot="1" x14ac:dyDescent="0.35">
      <c r="B2" s="1794" t="s">
        <v>284</v>
      </c>
      <c r="C2" s="1795"/>
      <c r="D2" s="1795"/>
      <c r="E2" s="1795"/>
      <c r="F2" s="1795"/>
      <c r="G2" s="1795"/>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row>
    <row r="3" spans="2:48" ht="12.75" hidden="1" customHeight="1" x14ac:dyDescent="0.2">
      <c r="B3" s="581"/>
      <c r="C3" s="582"/>
      <c r="D3" s="583"/>
      <c r="E3" s="584"/>
      <c r="F3" s="584"/>
      <c r="G3" s="585"/>
      <c r="H3" s="1355"/>
      <c r="I3" s="1355"/>
      <c r="J3" s="1355"/>
      <c r="K3" s="1427"/>
      <c r="L3" s="1355"/>
      <c r="M3" s="1427"/>
      <c r="N3" s="1355"/>
      <c r="O3" s="1427"/>
      <c r="P3" s="586"/>
      <c r="Q3" s="586"/>
      <c r="R3" s="962"/>
      <c r="S3" s="970" t="s">
        <v>273</v>
      </c>
      <c r="T3" s="302" t="s">
        <v>127</v>
      </c>
      <c r="U3" s="970" t="s">
        <v>273</v>
      </c>
      <c r="V3" s="302" t="s">
        <v>127</v>
      </c>
      <c r="W3" s="970" t="s">
        <v>273</v>
      </c>
      <c r="X3" s="302" t="s">
        <v>127</v>
      </c>
      <c r="Y3" s="970" t="s">
        <v>273</v>
      </c>
      <c r="Z3" s="302" t="s">
        <v>127</v>
      </c>
      <c r="AA3" s="970" t="s">
        <v>273</v>
      </c>
      <c r="AB3" s="1419" t="s">
        <v>127</v>
      </c>
      <c r="AC3" s="970" t="s">
        <v>273</v>
      </c>
      <c r="AD3" s="1419" t="s">
        <v>127</v>
      </c>
      <c r="AE3" s="970" t="s">
        <v>273</v>
      </c>
      <c r="AF3" s="1419" t="s">
        <v>127</v>
      </c>
      <c r="AG3" s="970" t="s">
        <v>273</v>
      </c>
      <c r="AH3" s="1419" t="s">
        <v>127</v>
      </c>
      <c r="AI3" s="970" t="s">
        <v>273</v>
      </c>
      <c r="AJ3" s="1419" t="s">
        <v>127</v>
      </c>
      <c r="AK3" s="587"/>
      <c r="AL3" s="587"/>
      <c r="AM3" s="587"/>
    </row>
    <row r="4" spans="2:48" ht="15" hidden="1" customHeight="1" x14ac:dyDescent="0.2">
      <c r="B4" s="581"/>
      <c r="C4" s="582"/>
      <c r="D4" s="583"/>
      <c r="E4" s="584"/>
      <c r="F4" s="584"/>
      <c r="G4" s="585"/>
      <c r="H4" s="1355"/>
      <c r="I4" s="1355"/>
      <c r="J4" s="1355"/>
      <c r="K4" s="1427"/>
      <c r="L4" s="1355"/>
      <c r="M4" s="1427"/>
      <c r="N4" s="1355"/>
      <c r="O4" s="1427"/>
      <c r="P4" s="586"/>
      <c r="Q4" s="586"/>
      <c r="R4" s="962"/>
      <c r="S4" s="967"/>
      <c r="T4" s="588"/>
      <c r="U4" s="588"/>
      <c r="V4" s="588"/>
      <c r="W4" s="588"/>
      <c r="X4" s="588"/>
      <c r="Y4" s="588"/>
      <c r="Z4" s="589"/>
      <c r="AA4" s="589"/>
      <c r="AB4" s="587"/>
      <c r="AC4" s="587"/>
      <c r="AD4" s="587"/>
      <c r="AE4" s="587"/>
      <c r="AF4" s="587"/>
      <c r="AG4" s="587"/>
      <c r="AH4" s="587"/>
      <c r="AI4" s="587"/>
      <c r="AJ4" s="587"/>
      <c r="AK4" s="587"/>
      <c r="AL4" s="1420"/>
      <c r="AM4" s="1420"/>
    </row>
    <row r="5" spans="2:48" ht="21" customHeight="1" thickBot="1" x14ac:dyDescent="0.35">
      <c r="B5" s="1888" t="s">
        <v>136</v>
      </c>
      <c r="C5" s="1889"/>
      <c r="D5" s="1889"/>
      <c r="E5" s="1889"/>
      <c r="F5" s="1889"/>
      <c r="G5" s="1889"/>
      <c r="H5" s="1889"/>
      <c r="I5" s="1889"/>
      <c r="J5" s="1889"/>
      <c r="K5" s="1889"/>
      <c r="L5" s="1889"/>
      <c r="M5" s="1889"/>
      <c r="N5" s="1889"/>
      <c r="O5" s="1889"/>
      <c r="P5" s="1889"/>
      <c r="Q5" s="1889"/>
      <c r="R5" s="1889"/>
      <c r="S5" s="1889"/>
      <c r="T5" s="1889"/>
      <c r="U5" s="1889"/>
      <c r="V5" s="1889"/>
      <c r="W5" s="1889"/>
      <c r="X5" s="1889"/>
      <c r="Y5" s="1889"/>
      <c r="Z5" s="1889"/>
      <c r="AA5" s="1889"/>
      <c r="AB5" s="1889"/>
      <c r="AC5" s="1889"/>
      <c r="AD5" s="1889"/>
      <c r="AE5" s="1889"/>
      <c r="AF5" s="1889"/>
      <c r="AG5" s="1889"/>
      <c r="AH5" s="1889"/>
      <c r="AI5" s="1889"/>
      <c r="AJ5" s="1889"/>
      <c r="AK5" s="1889"/>
      <c r="AL5" s="1889"/>
      <c r="AM5" s="1889"/>
    </row>
    <row r="6" spans="2:48" ht="21.75" customHeight="1" thickBot="1" x14ac:dyDescent="0.3">
      <c r="B6" s="1892" t="s">
        <v>283</v>
      </c>
      <c r="C6" s="1893"/>
      <c r="D6" s="1893"/>
      <c r="E6" s="1893"/>
      <c r="F6" s="1893"/>
      <c r="G6" s="1893"/>
      <c r="H6" s="1899" t="s">
        <v>942</v>
      </c>
      <c r="I6" s="1900"/>
      <c r="J6" s="1901"/>
      <c r="K6" s="1901"/>
      <c r="L6" s="1900"/>
      <c r="M6" s="1901"/>
      <c r="N6" s="1900"/>
      <c r="O6" s="1902"/>
      <c r="P6" s="1896" t="s">
        <v>707</v>
      </c>
      <c r="Q6" s="1897"/>
      <c r="R6" s="1898"/>
      <c r="S6" s="1878"/>
      <c r="T6" s="1879"/>
      <c r="U6" s="1886"/>
      <c r="V6" s="1887"/>
      <c r="W6" s="1878"/>
      <c r="X6" s="1882"/>
      <c r="Y6" s="1878"/>
      <c r="Z6" s="1882"/>
      <c r="AA6" s="1878"/>
      <c r="AB6" s="1882"/>
      <c r="AC6" s="1407"/>
      <c r="AD6" s="299"/>
      <c r="AE6" s="1878"/>
      <c r="AF6" s="1879"/>
      <c r="AG6" s="1576"/>
      <c r="AH6" s="1691"/>
      <c r="AI6" s="1878"/>
      <c r="AJ6" s="1882"/>
      <c r="AK6" s="957"/>
      <c r="AL6" s="961"/>
      <c r="AM6" s="961"/>
    </row>
    <row r="7" spans="2:48" ht="15.75" customHeight="1" thickBot="1" x14ac:dyDescent="0.3">
      <c r="B7" s="1894"/>
      <c r="C7" s="1895"/>
      <c r="D7" s="1895"/>
      <c r="E7" s="1895"/>
      <c r="F7" s="1895"/>
      <c r="G7" s="1895"/>
      <c r="H7" s="980" t="s">
        <v>130</v>
      </c>
      <c r="I7" s="981" t="s">
        <v>131</v>
      </c>
      <c r="J7" s="979" t="s">
        <v>132</v>
      </c>
      <c r="K7" s="419" t="s">
        <v>133</v>
      </c>
      <c r="L7" s="981" t="s">
        <v>789</v>
      </c>
      <c r="M7" s="419" t="s">
        <v>791</v>
      </c>
      <c r="N7" s="981" t="s">
        <v>790</v>
      </c>
      <c r="O7" s="419" t="s">
        <v>792</v>
      </c>
      <c r="P7" s="52" t="s">
        <v>130</v>
      </c>
      <c r="Q7" s="52" t="s">
        <v>131</v>
      </c>
      <c r="R7" s="987" t="s">
        <v>134</v>
      </c>
      <c r="S7" s="1890" t="s">
        <v>0</v>
      </c>
      <c r="T7" s="1903"/>
      <c r="U7" s="1884" t="s">
        <v>137</v>
      </c>
      <c r="V7" s="1885"/>
      <c r="W7" s="1890" t="s">
        <v>6</v>
      </c>
      <c r="X7" s="1891"/>
      <c r="Y7" s="1880" t="s">
        <v>7</v>
      </c>
      <c r="Z7" s="1883"/>
      <c r="AA7" s="1880" t="s">
        <v>8</v>
      </c>
      <c r="AB7" s="1883"/>
      <c r="AC7" s="1876" t="s">
        <v>9</v>
      </c>
      <c r="AD7" s="1877"/>
      <c r="AE7" s="1880" t="s">
        <v>79</v>
      </c>
      <c r="AF7" s="1881"/>
      <c r="AG7" s="1880" t="s">
        <v>10</v>
      </c>
      <c r="AH7" s="1883"/>
      <c r="AI7" s="1880" t="s">
        <v>11</v>
      </c>
      <c r="AJ7" s="1883"/>
      <c r="AK7" s="958" t="s">
        <v>12</v>
      </c>
      <c r="AL7" s="1195" t="s">
        <v>13</v>
      </c>
      <c r="AM7" s="958" t="s">
        <v>14</v>
      </c>
    </row>
    <row r="8" spans="2:48" s="54" customFormat="1" ht="57" customHeight="1" thickBot="1" x14ac:dyDescent="0.3">
      <c r="B8" s="1894"/>
      <c r="C8" s="1895"/>
      <c r="D8" s="1895"/>
      <c r="E8" s="1895"/>
      <c r="F8" s="1895"/>
      <c r="G8" s="1895"/>
      <c r="H8" s="345" t="s">
        <v>944</v>
      </c>
      <c r="I8" s="346" t="s">
        <v>943</v>
      </c>
      <c r="J8" s="346" t="s">
        <v>1059</v>
      </c>
      <c r="K8" s="989" t="s">
        <v>1068</v>
      </c>
      <c r="L8" s="346" t="s">
        <v>814</v>
      </c>
      <c r="M8" s="989" t="s">
        <v>813</v>
      </c>
      <c r="N8" s="346" t="s">
        <v>811</v>
      </c>
      <c r="O8" s="988" t="s">
        <v>812</v>
      </c>
      <c r="P8" s="576" t="s">
        <v>1066</v>
      </c>
      <c r="Q8" s="577" t="s">
        <v>1062</v>
      </c>
      <c r="R8" s="1755" t="s">
        <v>1067</v>
      </c>
      <c r="S8" s="978" t="s">
        <v>986</v>
      </c>
      <c r="T8" s="1124" t="s">
        <v>708</v>
      </c>
      <c r="U8" s="1130" t="s">
        <v>986</v>
      </c>
      <c r="V8" s="1223" t="s">
        <v>708</v>
      </c>
      <c r="W8" s="1226" t="s">
        <v>986</v>
      </c>
      <c r="X8" s="1227" t="s">
        <v>708</v>
      </c>
      <c r="Y8" s="1198" t="s">
        <v>986</v>
      </c>
      <c r="Z8" s="1284" t="s">
        <v>708</v>
      </c>
      <c r="AA8" s="1198" t="s">
        <v>986</v>
      </c>
      <c r="AB8" s="1352" t="s">
        <v>709</v>
      </c>
      <c r="AC8" s="1198" t="s">
        <v>986</v>
      </c>
      <c r="AD8" s="366" t="s">
        <v>709</v>
      </c>
      <c r="AE8" s="1192" t="s">
        <v>986</v>
      </c>
      <c r="AF8" s="1124" t="s">
        <v>709</v>
      </c>
      <c r="AG8" s="1192" t="s">
        <v>986</v>
      </c>
      <c r="AH8" s="1307" t="s">
        <v>709</v>
      </c>
      <c r="AI8" s="1192" t="s">
        <v>986</v>
      </c>
      <c r="AJ8" s="138" t="s">
        <v>709</v>
      </c>
      <c r="AK8" s="138" t="s">
        <v>709</v>
      </c>
      <c r="AL8" s="138" t="s">
        <v>709</v>
      </c>
      <c r="AM8" s="138" t="s">
        <v>709</v>
      </c>
      <c r="AN8" s="1232"/>
      <c r="AS8" s="1693"/>
      <c r="AT8" s="1693"/>
      <c r="AU8" s="1693"/>
      <c r="AV8" s="1693"/>
    </row>
    <row r="9" spans="2:48" s="298" customFormat="1" ht="18" customHeight="1" thickBot="1" x14ac:dyDescent="0.3">
      <c r="B9" s="393" t="s">
        <v>91</v>
      </c>
      <c r="C9" s="394" t="s">
        <v>92</v>
      </c>
      <c r="D9" s="395" t="s">
        <v>93</v>
      </c>
      <c r="E9" s="395" t="s">
        <v>94</v>
      </c>
      <c r="F9" s="395" t="s">
        <v>218</v>
      </c>
      <c r="G9" s="370" t="s">
        <v>138</v>
      </c>
      <c r="H9" s="1356">
        <f>+H10+H40+H48+H50</f>
        <v>7798353</v>
      </c>
      <c r="I9" s="1357">
        <f>+I10+I40+I50+I48+I37</f>
        <v>8243810</v>
      </c>
      <c r="J9" s="1357">
        <f ca="1">+J10+J40+J50+J48+J37</f>
        <v>3398639.63</v>
      </c>
      <c r="K9" s="1428">
        <f ca="1">IFERROR(J9/I9,"0.00%")</f>
        <v>0.41226564294907331</v>
      </c>
      <c r="L9" s="1358">
        <f>+L10+L40+L50+L48+L37</f>
        <v>5342523.6840000004</v>
      </c>
      <c r="M9" s="1428">
        <f>IFERROR(+L9/I9,0)</f>
        <v>0.64806487340198282</v>
      </c>
      <c r="N9" s="1357">
        <f t="shared" ref="N9:N14" si="0">+I9-L9</f>
        <v>2901286.3159999996</v>
      </c>
      <c r="O9" s="1438">
        <f>+IFERROR(N9/I9,0)</f>
        <v>0.35193512659801712</v>
      </c>
      <c r="P9" s="1569">
        <f>+P10+P37+P40+P48</f>
        <v>9893319.7399999984</v>
      </c>
      <c r="Q9" s="297">
        <f>+Q10+Q37+Q40+Q48</f>
        <v>3809358.3682840001</v>
      </c>
      <c r="R9" s="1752">
        <f>IFERROR(Q9/P9,"0,00%")</f>
        <v>0.38504349079937861</v>
      </c>
      <c r="S9" s="977">
        <f>+S10+S40+S50+S48</f>
        <v>742509.57000000007</v>
      </c>
      <c r="T9" s="760">
        <f>+T10+T40+T50+T48</f>
        <v>191167.51336799999</v>
      </c>
      <c r="U9" s="984">
        <f>+U10+U40+U50+U48</f>
        <v>167336.70200000002</v>
      </c>
      <c r="V9" s="760">
        <f>+V10+V40+V50+V48</f>
        <v>1107255.851362</v>
      </c>
      <c r="W9" s="775">
        <f>+W10+W37+W40+W48+W50</f>
        <v>188372.34</v>
      </c>
      <c r="X9" s="662">
        <f>+X10+X37+X40+X48+X50</f>
        <v>653988.42274800001</v>
      </c>
      <c r="Y9" s="1308">
        <f>+Y10+Y40+Y50+Y48</f>
        <v>284764.80099999998</v>
      </c>
      <c r="Z9" s="1319">
        <f t="shared" ref="Z9" si="1">+Z10+Z40+Z50+Z48</f>
        <v>140249.93667599998</v>
      </c>
      <c r="AA9" s="775">
        <f>+AA10+AA37+AA40</f>
        <v>812187.64599999995</v>
      </c>
      <c r="AB9" s="775">
        <f t="shared" ref="AB9:AM9" si="2">+AB10+AB37+AB40</f>
        <v>75022.898161999998</v>
      </c>
      <c r="AC9" s="1308">
        <f t="shared" si="2"/>
        <v>406057.75899999996</v>
      </c>
      <c r="AD9" s="760">
        <f t="shared" si="2"/>
        <v>333562.14396199997</v>
      </c>
      <c r="AE9" s="1496">
        <f t="shared" si="2"/>
        <v>121568.764</v>
      </c>
      <c r="AF9" s="1659">
        <f t="shared" si="2"/>
        <v>282305.59038900002</v>
      </c>
      <c r="AG9" s="1308">
        <f t="shared" si="2"/>
        <v>348955.49000000005</v>
      </c>
      <c r="AH9" s="662">
        <f t="shared" si="2"/>
        <v>514456.52450100001</v>
      </c>
      <c r="AI9" s="775">
        <f>+AI10+AI37+AI40</f>
        <v>266011.092</v>
      </c>
      <c r="AJ9" s="775">
        <f t="shared" si="2"/>
        <v>511349.48711599997</v>
      </c>
      <c r="AK9" s="775">
        <f t="shared" si="2"/>
        <v>354374.64499999996</v>
      </c>
      <c r="AL9" s="775">
        <f t="shared" si="2"/>
        <v>1359757.571</v>
      </c>
      <c r="AM9" s="775">
        <f t="shared" si="2"/>
        <v>2747806.2589999996</v>
      </c>
      <c r="AO9" s="1775"/>
      <c r="AP9" s="1775"/>
      <c r="AQ9" s="1775"/>
      <c r="AR9" s="1775"/>
      <c r="AS9" s="1233"/>
      <c r="AT9" s="1233"/>
      <c r="AU9" s="1233"/>
      <c r="AV9" s="1773"/>
    </row>
    <row r="10" spans="2:48" s="374" customFormat="1" ht="15" customHeight="1" x14ac:dyDescent="0.25">
      <c r="B10" s="407">
        <v>24</v>
      </c>
      <c r="C10" s="134" t="s">
        <v>2</v>
      </c>
      <c r="D10" s="129"/>
      <c r="E10" s="433"/>
      <c r="F10" s="433"/>
      <c r="G10" s="468" t="s">
        <v>148</v>
      </c>
      <c r="H10" s="1359">
        <f>+H13+H11</f>
        <v>6614118</v>
      </c>
      <c r="I10" s="1360">
        <f>+I13+I11</f>
        <v>6583135</v>
      </c>
      <c r="J10" s="1360">
        <f ca="1">+J13+J11</f>
        <v>2459145.2220000001</v>
      </c>
      <c r="K10" s="1429">
        <f t="shared" ref="K10:K12" ca="1" si="3">IFERROR(J10/I10,"0.00%")</f>
        <v>0.37355230023385516</v>
      </c>
      <c r="L10" s="1360">
        <f>+L13+L11</f>
        <v>4240571.466</v>
      </c>
      <c r="M10" s="1429">
        <f t="shared" ref="M10:M50" si="4">IFERROR(+L10/I10,0)</f>
        <v>0.64415684411758223</v>
      </c>
      <c r="N10" s="1360">
        <f t="shared" si="0"/>
        <v>2342563.534</v>
      </c>
      <c r="O10" s="1439">
        <f t="shared" ref="O10:O50" si="5">+IFERROR(N10/I10,0)</f>
        <v>0.35584315588241772</v>
      </c>
      <c r="P10" s="1490">
        <f>+P13</f>
        <v>7636702.5519999983</v>
      </c>
      <c r="Q10" s="409">
        <f>+Q13</f>
        <v>2411204.1192610003</v>
      </c>
      <c r="R10" s="1439" t="str">
        <f>IFERROR(Q1/P1,"0,00%")</f>
        <v>0,00%</v>
      </c>
      <c r="S10" s="976">
        <f t="shared" ref="S10:AM10" si="6">+S13</f>
        <v>46060.313999999998</v>
      </c>
      <c r="T10" s="729">
        <f t="shared" si="6"/>
        <v>76181.21312</v>
      </c>
      <c r="U10" s="983">
        <f>+U13</f>
        <v>147825.46400000001</v>
      </c>
      <c r="V10" s="729">
        <f>+V13</f>
        <v>182270.578607</v>
      </c>
      <c r="W10" s="661">
        <f t="shared" si="6"/>
        <v>139613.753</v>
      </c>
      <c r="X10" s="1234">
        <f t="shared" si="6"/>
        <v>612287.91602300003</v>
      </c>
      <c r="Y10" s="661">
        <f>+Y13+Y11</f>
        <v>284764.80099999998</v>
      </c>
      <c r="Z10" s="1303">
        <f>+Z13+Z11</f>
        <v>129269.59738799999</v>
      </c>
      <c r="AA10" s="661">
        <f>+AA13</f>
        <v>737835.88</v>
      </c>
      <c r="AB10" s="1234">
        <f>+AB13</f>
        <v>67743.016008999999</v>
      </c>
      <c r="AC10" s="1422">
        <f t="shared" si="6"/>
        <v>401629.11999999994</v>
      </c>
      <c r="AD10" s="1475">
        <f t="shared" si="6"/>
        <v>317711.35977799998</v>
      </c>
      <c r="AE10" s="416">
        <f t="shared" si="6"/>
        <v>111387.389</v>
      </c>
      <c r="AF10" s="415">
        <f t="shared" si="6"/>
        <v>212403.83185399999</v>
      </c>
      <c r="AG10" s="661">
        <f>+AG13</f>
        <v>337228.00600000005</v>
      </c>
      <c r="AH10" s="1303">
        <f>+AH13</f>
        <v>396046.93373799999</v>
      </c>
      <c r="AI10" s="982">
        <f>+AI13</f>
        <v>191925.02900000001</v>
      </c>
      <c r="AJ10" s="982">
        <f t="shared" si="6"/>
        <v>417289.67274399998</v>
      </c>
      <c r="AK10" s="982">
        <f t="shared" si="6"/>
        <v>311271.80099999998</v>
      </c>
      <c r="AL10" s="982">
        <f>+AL13</f>
        <v>1080078.7150000001</v>
      </c>
      <c r="AM10" s="1132">
        <f t="shared" si="6"/>
        <v>2325869.1239999998</v>
      </c>
      <c r="AN10" s="1233"/>
      <c r="AO10" s="1775"/>
      <c r="AP10" s="1775"/>
      <c r="AQ10" s="1775"/>
      <c r="AR10" s="1775"/>
      <c r="AS10" s="1233"/>
      <c r="AT10" s="1233"/>
      <c r="AU10" s="1233"/>
      <c r="AV10" s="495"/>
    </row>
    <row r="11" spans="2:48" s="374" customFormat="1" ht="15" customHeight="1" x14ac:dyDescent="0.25">
      <c r="B11" s="407"/>
      <c r="C11" s="134">
        <v>2</v>
      </c>
      <c r="D11" s="129"/>
      <c r="E11" s="433"/>
      <c r="F11" s="433"/>
      <c r="G11" s="468" t="s">
        <v>86</v>
      </c>
      <c r="H11" s="1359">
        <f>+H12</f>
        <v>192906</v>
      </c>
      <c r="I11" s="1360">
        <f>+I12</f>
        <v>192906</v>
      </c>
      <c r="J11" s="1360">
        <f ca="1">+J12</f>
        <v>192906</v>
      </c>
      <c r="K11" s="1429">
        <f t="shared" ca="1" si="3"/>
        <v>1</v>
      </c>
      <c r="L11" s="1360">
        <f>+L12</f>
        <v>192906</v>
      </c>
      <c r="M11" s="1429">
        <f t="shared" si="4"/>
        <v>1</v>
      </c>
      <c r="N11" s="1360">
        <f t="shared" si="0"/>
        <v>0</v>
      </c>
      <c r="O11" s="1439">
        <f t="shared" si="5"/>
        <v>0</v>
      </c>
      <c r="P11" s="1490">
        <v>0</v>
      </c>
      <c r="Q11" s="409">
        <v>0</v>
      </c>
      <c r="R11" s="1439">
        <v>0</v>
      </c>
      <c r="S11" s="1194">
        <v>0</v>
      </c>
      <c r="T11" s="1196">
        <v>0</v>
      </c>
      <c r="U11" s="1194">
        <v>0</v>
      </c>
      <c r="V11" s="1224">
        <v>0</v>
      </c>
      <c r="W11" s="1235">
        <v>0</v>
      </c>
      <c r="X11" s="1196">
        <v>0</v>
      </c>
      <c r="Y11" s="1194">
        <f>+Y12</f>
        <v>192906</v>
      </c>
      <c r="Z11" s="1196">
        <v>0</v>
      </c>
      <c r="AA11" s="1194">
        <v>0</v>
      </c>
      <c r="AB11" s="1197">
        <v>0</v>
      </c>
      <c r="AC11" s="1235">
        <v>0</v>
      </c>
      <c r="AD11" s="1224">
        <v>0</v>
      </c>
      <c r="AE11" s="1497">
        <v>0</v>
      </c>
      <c r="AF11" s="1224">
        <v>0</v>
      </c>
      <c r="AG11" s="1194">
        <v>0</v>
      </c>
      <c r="AH11" s="1197">
        <v>0</v>
      </c>
      <c r="AI11" s="1193">
        <f>+AI12</f>
        <v>0</v>
      </c>
      <c r="AJ11" s="1193">
        <v>0</v>
      </c>
      <c r="AK11" s="976">
        <v>0</v>
      </c>
      <c r="AL11" s="1193">
        <v>0</v>
      </c>
      <c r="AM11" s="976">
        <v>0</v>
      </c>
      <c r="AN11" s="1233"/>
      <c r="AO11" s="1775"/>
      <c r="AP11" s="1775"/>
      <c r="AQ11" s="1775"/>
      <c r="AR11" s="1775"/>
      <c r="AS11" s="1233"/>
      <c r="AT11" s="1233"/>
      <c r="AU11" s="1233"/>
      <c r="AV11" s="495"/>
    </row>
    <row r="12" spans="2:48" s="374" customFormat="1" ht="15" customHeight="1" x14ac:dyDescent="0.25">
      <c r="B12" s="757"/>
      <c r="C12" s="357"/>
      <c r="D12" s="758">
        <v>500</v>
      </c>
      <c r="E12" s="1630"/>
      <c r="F12" s="1630"/>
      <c r="G12" s="1498" t="s">
        <v>988</v>
      </c>
      <c r="H12" s="1479">
        <f>+'P02 2023'!I3</f>
        <v>192906</v>
      </c>
      <c r="I12" s="1480">
        <f>+'P02 2023'!FL3</f>
        <v>192906</v>
      </c>
      <c r="J12" s="1480">
        <f ca="1">+SUMIF(S$3:$AM5,"ok",S12:AM12)</f>
        <v>192906</v>
      </c>
      <c r="K12" s="1485">
        <f t="shared" ca="1" si="3"/>
        <v>1</v>
      </c>
      <c r="L12" s="1480">
        <f>+'P02 2023'!FM4</f>
        <v>192906</v>
      </c>
      <c r="M12" s="1485">
        <f t="shared" si="4"/>
        <v>1</v>
      </c>
      <c r="N12" s="1480">
        <f t="shared" si="0"/>
        <v>0</v>
      </c>
      <c r="O12" s="1631">
        <f t="shared" si="5"/>
        <v>0</v>
      </c>
      <c r="P12" s="1632">
        <v>0</v>
      </c>
      <c r="Q12" s="1518">
        <v>0</v>
      </c>
      <c r="R12" s="1631">
        <v>0</v>
      </c>
      <c r="S12" s="1633">
        <v>0</v>
      </c>
      <c r="T12" s="1634">
        <v>0</v>
      </c>
      <c r="U12" s="1633">
        <v>0</v>
      </c>
      <c r="V12" s="1635">
        <v>0</v>
      </c>
      <c r="W12" s="1572">
        <v>0</v>
      </c>
      <c r="X12" s="1573">
        <v>0</v>
      </c>
      <c r="Y12" s="1633">
        <f>+'P02 2023'!BF3</f>
        <v>192906</v>
      </c>
      <c r="Z12" s="1573">
        <v>0</v>
      </c>
      <c r="AA12" s="1633">
        <v>0</v>
      </c>
      <c r="AB12" s="1634">
        <v>0</v>
      </c>
      <c r="AC12" s="1572">
        <v>0</v>
      </c>
      <c r="AD12" s="1636">
        <v>0</v>
      </c>
      <c r="AE12" s="1572">
        <v>0</v>
      </c>
      <c r="AF12" s="1636">
        <v>0</v>
      </c>
      <c r="AG12" s="1633"/>
      <c r="AH12" s="1634">
        <v>0</v>
      </c>
      <c r="AI12" s="1637"/>
      <c r="AJ12" s="1637">
        <v>0</v>
      </c>
      <c r="AK12" s="1638">
        <v>0</v>
      </c>
      <c r="AL12" s="1637">
        <v>0</v>
      </c>
      <c r="AM12" s="1638">
        <v>0</v>
      </c>
      <c r="AN12" s="1233"/>
      <c r="AO12" s="1775"/>
      <c r="AP12" s="1775"/>
      <c r="AQ12" s="1775"/>
      <c r="AR12" s="1775"/>
      <c r="AS12" s="1233"/>
      <c r="AT12" s="1233"/>
      <c r="AU12" s="1233"/>
      <c r="AV12" s="495"/>
    </row>
    <row r="13" spans="2:48" s="374" customFormat="1" ht="15" customHeight="1" x14ac:dyDescent="0.25">
      <c r="B13" s="407" t="s">
        <v>2</v>
      </c>
      <c r="C13" s="134">
        <v>3</v>
      </c>
      <c r="D13" s="129"/>
      <c r="E13" s="130"/>
      <c r="F13" s="130"/>
      <c r="G13" s="468" t="s">
        <v>314</v>
      </c>
      <c r="H13" s="1359">
        <f>+H14+H20+H26+H28+H30</f>
        <v>6421212</v>
      </c>
      <c r="I13" s="1360">
        <f>+I14+I20+I26+I28+I30</f>
        <v>6390229</v>
      </c>
      <c r="J13" s="1360">
        <f ca="1">+J14+J20+J26+J28+J30</f>
        <v>2266239.2220000001</v>
      </c>
      <c r="K13" s="1429">
        <f t="shared" ref="K13:K49" ca="1" si="7">IFERROR(J13/I13,"0.00%")</f>
        <v>0.35464131598413767</v>
      </c>
      <c r="L13" s="1360">
        <f>+L14+L20+L26+L28+L30</f>
        <v>4047665.4660000005</v>
      </c>
      <c r="M13" s="1429">
        <f t="shared" si="4"/>
        <v>0.63341477527644163</v>
      </c>
      <c r="N13" s="409">
        <f t="shared" si="0"/>
        <v>2342563.5339999995</v>
      </c>
      <c r="O13" s="1439">
        <f>+IFERROR(N13/I13,0)</f>
        <v>0.36658522472355837</v>
      </c>
      <c r="P13" s="435">
        <f>+P14+P20+P26+P28+P30</f>
        <v>7636702.5519999983</v>
      </c>
      <c r="Q13" s="399">
        <f>+Q14+Q20+Q26+Q28+Q30</f>
        <v>2411204.1192610003</v>
      </c>
      <c r="R13" s="1439">
        <f t="shared" ref="R13:R19" si="8">IFERROR(Q13/P13,"0,00%")</f>
        <v>0.31573890731537307</v>
      </c>
      <c r="S13" s="971">
        <f>+S14+S20+S28+S30</f>
        <v>46060.313999999998</v>
      </c>
      <c r="T13" s="402">
        <f>+T14+T20+T28+T30</f>
        <v>76181.21312</v>
      </c>
      <c r="U13" s="403">
        <f>+U14+U20+U26+U30</f>
        <v>147825.46400000001</v>
      </c>
      <c r="V13" s="402">
        <f>+V14+V20+V26+V30</f>
        <v>182270.578607</v>
      </c>
      <c r="W13" s="435">
        <f>+W14+W20+W26+W28+W30</f>
        <v>139613.753</v>
      </c>
      <c r="X13" s="404">
        <f>+X14+X20+X26+X28+X30</f>
        <v>612287.91602300003</v>
      </c>
      <c r="Y13" s="435">
        <f>+Y14+Y20+Y30+Y26+Y28</f>
        <v>91858.801000000007</v>
      </c>
      <c r="Z13" s="404">
        <f>+Z14+Z20+Z30+Z26+Z28</f>
        <v>129269.59738799999</v>
      </c>
      <c r="AA13" s="435">
        <f>+AA14+AA20+AA26+AA30</f>
        <v>737835.88</v>
      </c>
      <c r="AB13" s="404">
        <f>+AB14+AB20+AB26+AB30</f>
        <v>67743.016008999999</v>
      </c>
      <c r="AC13" s="435">
        <f>+AC14+AC20+AC30</f>
        <v>401629.11999999994</v>
      </c>
      <c r="AD13" s="402">
        <f>+AD14+AD20+AD30</f>
        <v>317711.35977799998</v>
      </c>
      <c r="AE13" s="403">
        <f t="shared" ref="AE13:AK13" si="9">+AE14+AE20+AE26+AE28+AE30</f>
        <v>111387.389</v>
      </c>
      <c r="AF13" s="402">
        <f t="shared" si="9"/>
        <v>212403.83185399999</v>
      </c>
      <c r="AG13" s="435">
        <f t="shared" si="9"/>
        <v>337228.00600000005</v>
      </c>
      <c r="AH13" s="404">
        <f t="shared" si="9"/>
        <v>396046.93373799999</v>
      </c>
      <c r="AI13" s="447">
        <f>+AI14+AI20+AI26+AI28+AI30</f>
        <v>191925.02900000001</v>
      </c>
      <c r="AJ13" s="447">
        <f t="shared" si="9"/>
        <v>417289.67274399998</v>
      </c>
      <c r="AK13" s="447">
        <f t="shared" si="9"/>
        <v>311271.80099999998</v>
      </c>
      <c r="AL13" s="447">
        <f>+AL14+AL20+AL26+AL30+AL28</f>
        <v>1080078.7150000001</v>
      </c>
      <c r="AM13" s="447">
        <f>+AM14+AM20+AM26+AM30+AM28</f>
        <v>2325869.1239999998</v>
      </c>
      <c r="AN13" s="1233"/>
      <c r="AO13" s="1775"/>
      <c r="AP13" s="1775"/>
      <c r="AQ13" s="1775"/>
      <c r="AR13" s="1775"/>
      <c r="AS13" s="1233"/>
      <c r="AT13" s="1233"/>
      <c r="AU13" s="1233"/>
      <c r="AV13" s="495"/>
    </row>
    <row r="14" spans="2:48" s="391" customFormat="1" ht="15" customHeight="1" x14ac:dyDescent="0.25">
      <c r="B14" s="1639" t="s">
        <v>2</v>
      </c>
      <c r="C14" s="1640"/>
      <c r="D14" s="1641">
        <v>26</v>
      </c>
      <c r="E14" s="1641"/>
      <c r="F14" s="1641" t="s">
        <v>217</v>
      </c>
      <c r="G14" s="1478" t="s">
        <v>139</v>
      </c>
      <c r="H14" s="1479">
        <f>SUM(H15:H19)</f>
        <v>1534002</v>
      </c>
      <c r="I14" s="1480">
        <f>SUM(I15:I19)</f>
        <v>1534002</v>
      </c>
      <c r="J14" s="1480">
        <f ca="1">SUM(J15:J19)</f>
        <v>415096.59299999999</v>
      </c>
      <c r="K14" s="1485">
        <f ca="1">IFERROR(J14/I14,"0.00%")</f>
        <v>0.27059716545350004</v>
      </c>
      <c r="L14" s="1518">
        <f>SUM(L15:L19)</f>
        <v>1049531.5930000001</v>
      </c>
      <c r="M14" s="1485">
        <f>IFERROR(+L14/I14,0)</f>
        <v>0.68417876443446624</v>
      </c>
      <c r="N14" s="1518">
        <f t="shared" si="0"/>
        <v>484470.40699999989</v>
      </c>
      <c r="O14" s="1631">
        <f>+IFERROR(N14/I14,0)</f>
        <v>0.31582123556553376</v>
      </c>
      <c r="P14" s="1642">
        <f>+SUM(P15:P19)</f>
        <v>1385181.4809999999</v>
      </c>
      <c r="Q14" s="1643">
        <f>SUM(Q15:Q19)</f>
        <v>483227.04399999999</v>
      </c>
      <c r="R14" s="1631">
        <f t="shared" si="8"/>
        <v>0.34885468123003299</v>
      </c>
      <c r="S14" s="1644">
        <f>SUM(S15:S19)</f>
        <v>1768</v>
      </c>
      <c r="T14" s="1645">
        <f>SUM(T15:T19)</f>
        <v>0</v>
      </c>
      <c r="U14" s="1503">
        <f>+SUM(U15:U19)</f>
        <v>0</v>
      </c>
      <c r="V14" s="1645">
        <f>+SUM(V15:V19)</f>
        <v>0</v>
      </c>
      <c r="W14" s="1499">
        <f>SUM(W15:W19)</f>
        <v>7800</v>
      </c>
      <c r="X14" s="1646">
        <f>+SUM(X15:X19)</f>
        <v>93225.1</v>
      </c>
      <c r="Y14" s="1499">
        <f t="shared" ref="Y14:AD14" si="10">+SUM(Y15:Y19)</f>
        <v>2450</v>
      </c>
      <c r="Z14" s="1646">
        <f t="shared" si="10"/>
        <v>0</v>
      </c>
      <c r="AA14" s="1499">
        <f>SUM(AA15:AA19)</f>
        <v>195383.03</v>
      </c>
      <c r="AB14" s="1528">
        <f>+SUM(AB15:AB19)</f>
        <v>19134</v>
      </c>
      <c r="AC14" s="1512">
        <f t="shared" si="10"/>
        <v>72547.376000000004</v>
      </c>
      <c r="AD14" s="1513">
        <f t="shared" si="10"/>
        <v>122457.59999999999</v>
      </c>
      <c r="AE14" s="1512">
        <f>SUM(AE15:AE19)</f>
        <v>648.18700000000001</v>
      </c>
      <c r="AF14" s="1513">
        <f>+SUM(AF15:AF19)</f>
        <v>13776.48</v>
      </c>
      <c r="AG14" s="441">
        <v>0</v>
      </c>
      <c r="AH14" s="1646">
        <f>+SUM(AH15:AH19)</f>
        <v>129001.428</v>
      </c>
      <c r="AI14" s="1647">
        <f>SUM(AI15:AI19)</f>
        <v>83000</v>
      </c>
      <c r="AJ14" s="1647">
        <f>SUM(AJ15:AJ19)</f>
        <v>105632.436</v>
      </c>
      <c r="AK14" s="1647">
        <f>SUM(AK15:AK19)</f>
        <v>59000</v>
      </c>
      <c r="AL14" s="1647">
        <f>SUM(AL15:AL19)</f>
        <v>167474.29300000001</v>
      </c>
      <c r="AM14" s="1647">
        <f>SUM(AM15:AM19)</f>
        <v>533136.75300000003</v>
      </c>
      <c r="AN14" s="1233"/>
      <c r="AO14" s="1775"/>
      <c r="AP14" s="1775"/>
      <c r="AQ14" s="1775"/>
      <c r="AR14" s="1775"/>
      <c r="AS14" s="1233"/>
      <c r="AT14" s="1233"/>
      <c r="AU14" s="1233"/>
      <c r="AV14" s="1774"/>
    </row>
    <row r="15" spans="2:48" s="374" customFormat="1" ht="15" hidden="1" customHeight="1" x14ac:dyDescent="0.2">
      <c r="B15" s="436"/>
      <c r="C15" s="125"/>
      <c r="D15" s="313"/>
      <c r="E15" s="143">
        <v>1</v>
      </c>
      <c r="F15" s="143"/>
      <c r="G15" s="767" t="s">
        <v>274</v>
      </c>
      <c r="H15" s="1484">
        <f>+'P02 2023'!I4</f>
        <v>1074172</v>
      </c>
      <c r="I15" s="1312">
        <f>+'P02 2023'!FL5</f>
        <v>1181604.9069999999</v>
      </c>
      <c r="J15" s="1362">
        <f>SUMIF(S$3:$AM3,"ok",S15:AM15)</f>
        <v>130472</v>
      </c>
      <c r="K15" s="1430">
        <f t="shared" si="7"/>
        <v>0.11041931124952582</v>
      </c>
      <c r="L15" s="1312">
        <f>+'P02 2023'!FM10</f>
        <v>748257</v>
      </c>
      <c r="M15" s="1430">
        <f>IFERROR(+L15/I15,0)</f>
        <v>0.63325481772055647</v>
      </c>
      <c r="N15" s="1363">
        <f>+I15-L15</f>
        <v>433347.90699999989</v>
      </c>
      <c r="O15" s="1440">
        <f t="shared" si="5"/>
        <v>0.36674518227944353</v>
      </c>
      <c r="P15" s="1648">
        <f>+'P02 2022'!GQ3</f>
        <v>1171518.4809999999</v>
      </c>
      <c r="Q15" s="414">
        <f>SUMIF($S$3:$AM$3,"SI",S15:AM15)</f>
        <v>440707.04399999999</v>
      </c>
      <c r="R15" s="1494">
        <f t="shared" si="8"/>
        <v>0.37618445730690953</v>
      </c>
      <c r="S15" s="972">
        <v>0</v>
      </c>
      <c r="T15" s="438">
        <v>0</v>
      </c>
      <c r="U15" s="439">
        <v>0</v>
      </c>
      <c r="V15" s="438">
        <v>0</v>
      </c>
      <c r="W15" s="439">
        <f>+'P02 2023'!AL3</f>
        <v>7800</v>
      </c>
      <c r="X15" s="440">
        <f>+'P02 2022'!AS3</f>
        <v>50705.1</v>
      </c>
      <c r="Y15" s="441">
        <v>0</v>
      </c>
      <c r="Z15" s="1304">
        <v>0</v>
      </c>
      <c r="AA15" s="553">
        <f>+'P02 2023'!BZ5</f>
        <v>38172</v>
      </c>
      <c r="AB15" s="440">
        <f>+'P02 2022'!CR3</f>
        <v>19134</v>
      </c>
      <c r="AC15" s="441">
        <v>0</v>
      </c>
      <c r="AD15" s="438">
        <f>+'P02 2022'!DE5</f>
        <v>122457.59999999999</v>
      </c>
      <c r="AE15" s="439">
        <v>0</v>
      </c>
      <c r="AF15" s="438">
        <f>+'P02 2022'!EF5</f>
        <v>13776.48</v>
      </c>
      <c r="AG15" s="441">
        <f>+'P02 2023'!EG3</f>
        <v>51500</v>
      </c>
      <c r="AH15" s="440">
        <f>+'P02 2022'!FG4</f>
        <v>129001.428</v>
      </c>
      <c r="AI15" s="847">
        <f>+'P02 2023'!FA3</f>
        <v>33000</v>
      </c>
      <c r="AJ15" s="663">
        <f>+'P02 2022'!GE4</f>
        <v>105632.436</v>
      </c>
      <c r="AK15" s="663">
        <f>+'P02 2022'!HD6</f>
        <v>39000</v>
      </c>
      <c r="AL15" s="663">
        <f>+'P02 2022'!IE8</f>
        <v>167314</v>
      </c>
      <c r="AM15" s="1133">
        <f>+'P02 2022'!JC5</f>
        <v>401994</v>
      </c>
      <c r="AN15" s="1233"/>
      <c r="AO15" s="1775"/>
      <c r="AP15" s="1775"/>
      <c r="AQ15" s="1775"/>
      <c r="AR15" s="1775"/>
      <c r="AS15" s="1233"/>
      <c r="AT15" s="1233"/>
      <c r="AU15" s="1233"/>
      <c r="AV15" s="495"/>
    </row>
    <row r="16" spans="2:48" s="374" customFormat="1" ht="15" hidden="1" customHeight="1" x14ac:dyDescent="0.2">
      <c r="B16" s="436"/>
      <c r="C16" s="125"/>
      <c r="D16" s="313"/>
      <c r="E16" s="143">
        <v>2</v>
      </c>
      <c r="F16" s="143"/>
      <c r="G16" s="767" t="s">
        <v>298</v>
      </c>
      <c r="H16" s="1484">
        <f>+'P02 2023'!I6</f>
        <v>70000</v>
      </c>
      <c r="I16" s="1312">
        <f>+'P02 2023'!FL7</f>
        <v>101122.5</v>
      </c>
      <c r="J16" s="1362">
        <f ca="1">SUMIF(S$3:$AM4,"ok",S16:AM16)</f>
        <v>50000</v>
      </c>
      <c r="K16" s="1430">
        <f t="shared" ca="1" si="7"/>
        <v>0.49444980098395508</v>
      </c>
      <c r="L16" s="1312">
        <f>+'P02 2023'!FM11</f>
        <v>50000</v>
      </c>
      <c r="M16" s="1430">
        <f>IFERROR(+L16/I16,0)</f>
        <v>0.49444980098395508</v>
      </c>
      <c r="N16" s="1363">
        <f>+I16-L16</f>
        <v>51122.5</v>
      </c>
      <c r="O16" s="1440">
        <f t="shared" si="5"/>
        <v>0.50555019901604492</v>
      </c>
      <c r="P16" s="1648">
        <f>+'P02 2022'!GQ4</f>
        <v>127560</v>
      </c>
      <c r="Q16" s="414">
        <f t="shared" ref="Q16:Q18" si="11">SUMIF($S$3:$AM$3,"SI",S16:AM16)</f>
        <v>42520</v>
      </c>
      <c r="R16" s="1494">
        <f t="shared" si="8"/>
        <v>0.33333333333333331</v>
      </c>
      <c r="S16" s="972">
        <v>0</v>
      </c>
      <c r="T16" s="438">
        <v>0</v>
      </c>
      <c r="U16" s="439">
        <v>0</v>
      </c>
      <c r="V16" s="438">
        <v>0</v>
      </c>
      <c r="W16" s="439">
        <v>0</v>
      </c>
      <c r="X16" s="440">
        <f>+'P02 2022'!AS4</f>
        <v>42520</v>
      </c>
      <c r="Y16" s="441">
        <v>0</v>
      </c>
      <c r="Z16" s="1304">
        <v>0</v>
      </c>
      <c r="AA16" s="553">
        <v>0</v>
      </c>
      <c r="AB16" s="440">
        <v>0</v>
      </c>
      <c r="AC16" s="441">
        <v>0</v>
      </c>
      <c r="AD16" s="438">
        <v>0</v>
      </c>
      <c r="AE16" s="439">
        <v>0</v>
      </c>
      <c r="AF16" s="438">
        <v>0</v>
      </c>
      <c r="AG16" s="441">
        <v>0</v>
      </c>
      <c r="AH16" s="440">
        <v>0</v>
      </c>
      <c r="AI16" s="847">
        <v>50000</v>
      </c>
      <c r="AJ16" s="663">
        <v>0</v>
      </c>
      <c r="AK16" s="663">
        <f>+'P02 2022'!HD5</f>
        <v>20000</v>
      </c>
      <c r="AL16" s="663">
        <v>0</v>
      </c>
      <c r="AM16" s="1133">
        <f>+'P02 2022'!JC4</f>
        <v>120000</v>
      </c>
      <c r="AN16" s="1233"/>
      <c r="AO16" s="1775"/>
      <c r="AP16" s="1775"/>
      <c r="AQ16" s="1775"/>
      <c r="AR16" s="1775"/>
      <c r="AS16" s="1233"/>
      <c r="AT16" s="1233"/>
      <c r="AU16" s="1233"/>
      <c r="AV16" s="495"/>
    </row>
    <row r="17" spans="1:48" s="374" customFormat="1" ht="15" hidden="1" customHeight="1" x14ac:dyDescent="0.2">
      <c r="B17" s="436"/>
      <c r="C17" s="125"/>
      <c r="D17" s="313"/>
      <c r="E17" s="143">
        <v>3</v>
      </c>
      <c r="F17" s="143"/>
      <c r="G17" s="767" t="s">
        <v>275</v>
      </c>
      <c r="H17" s="1484">
        <f>+'P02 2023'!I5</f>
        <v>339360</v>
      </c>
      <c r="I17" s="1312">
        <f>+'P02 2023'!FL6</f>
        <v>226360</v>
      </c>
      <c r="J17" s="1362">
        <f ca="1">SUMIF(S$3:$AM5,"ok",S17:AM17)</f>
        <v>226360</v>
      </c>
      <c r="K17" s="1430">
        <f t="shared" ca="1" si="7"/>
        <v>1</v>
      </c>
      <c r="L17" s="1312">
        <f>+'P02 2023'!FM14</f>
        <v>226360</v>
      </c>
      <c r="M17" s="1430">
        <f>IFERROR(+L17/I17,0)</f>
        <v>1</v>
      </c>
      <c r="N17" s="1363">
        <f>+I17-L17</f>
        <v>0</v>
      </c>
      <c r="O17" s="1440">
        <f t="shared" si="5"/>
        <v>0</v>
      </c>
      <c r="P17" s="1648">
        <f>+'P02 2022'!GQ5</f>
        <v>74410</v>
      </c>
      <c r="Q17" s="414">
        <f t="shared" si="11"/>
        <v>0</v>
      </c>
      <c r="R17" s="1494">
        <f t="shared" si="8"/>
        <v>0</v>
      </c>
      <c r="S17" s="972">
        <v>0</v>
      </c>
      <c r="T17" s="438">
        <v>0</v>
      </c>
      <c r="U17" s="439">
        <v>0</v>
      </c>
      <c r="V17" s="438">
        <v>0</v>
      </c>
      <c r="W17" s="439">
        <v>0</v>
      </c>
      <c r="X17" s="440">
        <v>0</v>
      </c>
      <c r="Y17" s="441">
        <v>0</v>
      </c>
      <c r="Z17" s="440">
        <v>0</v>
      </c>
      <c r="AA17" s="441">
        <f>+'P02 2023'!BZ4</f>
        <v>154360</v>
      </c>
      <c r="AB17" s="440">
        <v>0</v>
      </c>
      <c r="AC17" s="441">
        <f>+'P02 2023'!CS3</f>
        <v>72000</v>
      </c>
      <c r="AD17" s="438">
        <v>0</v>
      </c>
      <c r="AE17" s="439">
        <v>0</v>
      </c>
      <c r="AF17" s="438">
        <v>0</v>
      </c>
      <c r="AG17" s="441">
        <v>0</v>
      </c>
      <c r="AH17" s="440">
        <v>0</v>
      </c>
      <c r="AI17" s="847">
        <v>0</v>
      </c>
      <c r="AJ17" s="663">
        <v>0</v>
      </c>
      <c r="AK17" s="663">
        <v>0</v>
      </c>
      <c r="AL17" s="663">
        <v>0</v>
      </c>
      <c r="AM17" s="1133">
        <f>+'P02 2022'!JC6</f>
        <v>2194.241</v>
      </c>
      <c r="AN17" s="1233"/>
      <c r="AO17" s="1775"/>
      <c r="AP17" s="1775"/>
      <c r="AQ17" s="1775"/>
      <c r="AR17" s="1775"/>
      <c r="AS17" s="1233"/>
      <c r="AT17" s="1233"/>
      <c r="AU17" s="1233"/>
      <c r="AV17" s="495"/>
    </row>
    <row r="18" spans="1:48" s="374" customFormat="1" ht="15" hidden="1" customHeight="1" x14ac:dyDescent="0.2">
      <c r="B18" s="1653"/>
      <c r="C18" s="360"/>
      <c r="D18" s="1654"/>
      <c r="E18" s="143">
        <v>4</v>
      </c>
      <c r="F18" s="143"/>
      <c r="G18" s="767" t="s">
        <v>627</v>
      </c>
      <c r="H18" s="1484">
        <f>+'P02 2023'!I8</f>
        <v>6034</v>
      </c>
      <c r="I18" s="1362">
        <f>+'P02 2023'!FL9</f>
        <v>0</v>
      </c>
      <c r="J18" s="1362">
        <f ca="1">SUMIF(S$3:$AM6,"ok",S18:AM18)</f>
        <v>0</v>
      </c>
      <c r="K18" s="1430" t="str">
        <f ca="1">IFERROR(J18/#REF!,"0,00%")</f>
        <v>0,00%</v>
      </c>
      <c r="L18" s="774">
        <v>0</v>
      </c>
      <c r="M18" s="1430">
        <f>IFERROR(+L18/I18,0)</f>
        <v>0</v>
      </c>
      <c r="N18" s="1363">
        <f t="shared" ref="N18:N19" si="12">+I18-L18</f>
        <v>0</v>
      </c>
      <c r="O18" s="1440">
        <f>+IFERROR(N18/#REF!,0)</f>
        <v>0</v>
      </c>
      <c r="P18" s="1648">
        <f>+'P02 2022'!GQ7</f>
        <v>0</v>
      </c>
      <c r="Q18" s="414">
        <f t="shared" si="11"/>
        <v>0</v>
      </c>
      <c r="R18" s="1494" t="str">
        <f t="shared" si="8"/>
        <v>0,00%</v>
      </c>
      <c r="S18" s="972">
        <v>0</v>
      </c>
      <c r="T18" s="438">
        <v>0</v>
      </c>
      <c r="U18" s="439">
        <v>0</v>
      </c>
      <c r="V18" s="438">
        <v>0</v>
      </c>
      <c r="W18" s="439">
        <v>0</v>
      </c>
      <c r="X18" s="440">
        <v>0</v>
      </c>
      <c r="Y18" s="441">
        <v>0</v>
      </c>
      <c r="Z18" s="440">
        <v>0</v>
      </c>
      <c r="AA18" s="441">
        <v>0</v>
      </c>
      <c r="AB18" s="440">
        <v>0</v>
      </c>
      <c r="AC18" s="441">
        <v>0</v>
      </c>
      <c r="AD18" s="438">
        <v>0</v>
      </c>
      <c r="AE18" s="439">
        <v>0</v>
      </c>
      <c r="AF18" s="438">
        <v>0</v>
      </c>
      <c r="AG18" s="441">
        <v>0</v>
      </c>
      <c r="AH18" s="440">
        <v>0</v>
      </c>
      <c r="AI18" s="847">
        <v>0</v>
      </c>
      <c r="AJ18" s="663">
        <v>0</v>
      </c>
      <c r="AK18" s="663">
        <v>0</v>
      </c>
      <c r="AL18" s="847">
        <f>+'P02 2022'!IE9</f>
        <v>160.29300000000001</v>
      </c>
      <c r="AM18" s="1133">
        <v>0</v>
      </c>
      <c r="AN18" s="1233"/>
      <c r="AO18" s="1775"/>
      <c r="AP18" s="1775"/>
      <c r="AQ18" s="1775"/>
      <c r="AR18" s="1775"/>
      <c r="AS18" s="1233"/>
      <c r="AT18" s="1233"/>
      <c r="AU18" s="1233"/>
      <c r="AV18" s="495"/>
    </row>
    <row r="19" spans="1:48" s="374" customFormat="1" ht="15" hidden="1" customHeight="1" x14ac:dyDescent="0.2">
      <c r="B19" s="1653"/>
      <c r="C19" s="360"/>
      <c r="D19" s="1654"/>
      <c r="E19" s="143">
        <v>5</v>
      </c>
      <c r="F19" s="143"/>
      <c r="G19" s="767" t="s">
        <v>716</v>
      </c>
      <c r="H19" s="1484">
        <f>+'P02 2023'!I7</f>
        <v>44436</v>
      </c>
      <c r="I19" s="1362">
        <f>+'P02 2023'!FL8</f>
        <v>24914.593000000001</v>
      </c>
      <c r="J19" s="1362">
        <f ca="1">SUMIF(S$3:$AM7,"ok",S19:AM19)</f>
        <v>8264.5930000000008</v>
      </c>
      <c r="K19" s="1430" t="str">
        <f ca="1">IFERROR(J19/#REF!,"0,00%")</f>
        <v>0,00%</v>
      </c>
      <c r="L19" s="1776">
        <f>+'P02 2023'!FM9</f>
        <v>24914.593000000001</v>
      </c>
      <c r="M19" s="1430">
        <f>IFERROR(+#REF!/I19,0)</f>
        <v>0</v>
      </c>
      <c r="N19" s="1363">
        <f t="shared" si="12"/>
        <v>0</v>
      </c>
      <c r="O19" s="1440">
        <f>+IFERROR(N19/#REF!,0)</f>
        <v>0</v>
      </c>
      <c r="P19" s="1655">
        <f>+'P02 2022'!GQ6</f>
        <v>11693</v>
      </c>
      <c r="Q19" s="414">
        <f>SUMIF($S$3:$AM$3,"SI",S19:AM19)</f>
        <v>0</v>
      </c>
      <c r="R19" s="1494">
        <f t="shared" si="8"/>
        <v>0</v>
      </c>
      <c r="S19" s="974">
        <f>+'P02 2023'!K9</f>
        <v>1768</v>
      </c>
      <c r="T19" s="438">
        <v>0</v>
      </c>
      <c r="U19" s="439">
        <v>0</v>
      </c>
      <c r="V19" s="438">
        <v>0</v>
      </c>
      <c r="W19" s="439">
        <v>0</v>
      </c>
      <c r="X19" s="440">
        <v>0</v>
      </c>
      <c r="Y19" s="441">
        <f>+'P02 2023'!BF4</f>
        <v>2450</v>
      </c>
      <c r="Z19" s="440">
        <v>0</v>
      </c>
      <c r="AA19" s="441">
        <f>+'P02 2023'!BZ6</f>
        <v>2851.03</v>
      </c>
      <c r="AB19" s="440">
        <v>0</v>
      </c>
      <c r="AC19" s="441">
        <f>+'P02 2023'!CS4</f>
        <v>547.37599999999998</v>
      </c>
      <c r="AD19" s="438">
        <v>0</v>
      </c>
      <c r="AE19" s="439">
        <f>+'P02 2023'!DM3</f>
        <v>648.18700000000001</v>
      </c>
      <c r="AF19" s="438">
        <v>0</v>
      </c>
      <c r="AG19" s="441">
        <v>0</v>
      </c>
      <c r="AH19" s="440">
        <v>0</v>
      </c>
      <c r="AI19" s="847">
        <v>0</v>
      </c>
      <c r="AJ19" s="663">
        <v>0</v>
      </c>
      <c r="AK19" s="663">
        <v>0</v>
      </c>
      <c r="AL19" s="663">
        <v>0</v>
      </c>
      <c r="AM19" s="1133">
        <f>+'P02 2022'!JC3</f>
        <v>8948.5120000000006</v>
      </c>
      <c r="AN19" s="1233"/>
      <c r="AO19" s="1775"/>
      <c r="AP19" s="1775"/>
      <c r="AQ19" s="1775"/>
      <c r="AR19" s="1775"/>
      <c r="AS19" s="1233"/>
      <c r="AT19" s="1233"/>
      <c r="AU19" s="1233"/>
      <c r="AV19" s="495"/>
    </row>
    <row r="20" spans="1:48" s="392" customFormat="1" ht="15" customHeight="1" x14ac:dyDescent="0.25">
      <c r="B20" s="407"/>
      <c r="C20" s="134"/>
      <c r="D20" s="130">
        <v>33</v>
      </c>
      <c r="E20" s="130"/>
      <c r="F20" s="130" t="s">
        <v>304</v>
      </c>
      <c r="G20" s="1477" t="s">
        <v>299</v>
      </c>
      <c r="H20" s="1359">
        <f>SUM(H21:H25)</f>
        <v>2696418</v>
      </c>
      <c r="I20" s="1360">
        <f>SUM(I21:I25)</f>
        <v>2696418</v>
      </c>
      <c r="J20" s="1360">
        <f ca="1">SUMIF(S$3:$AM19,"ok",S20:AM20)</f>
        <v>1008525.1630000001</v>
      </c>
      <c r="K20" s="1429">
        <f t="shared" ca="1" si="7"/>
        <v>0.374024043379031</v>
      </c>
      <c r="L20" s="1361">
        <f>SUM(L21:L25)</f>
        <v>1929107.8070000003</v>
      </c>
      <c r="M20" s="1432">
        <f t="shared" si="4"/>
        <v>0.71543351475921024</v>
      </c>
      <c r="N20" s="1361">
        <f>+I20-L20</f>
        <v>767310.19299999974</v>
      </c>
      <c r="O20" s="1439">
        <f t="shared" si="5"/>
        <v>0.2845664852407897</v>
      </c>
      <c r="P20" s="1753">
        <f>SUM(P21:P25)</f>
        <v>2773855.9799999995</v>
      </c>
      <c r="Q20" s="1570">
        <f>SUM(Q21:Q25)</f>
        <v>886771.44536100002</v>
      </c>
      <c r="R20" s="1439" t="str">
        <f>IFERROR(Q2/P2,"0,00%")</f>
        <v>0,00%</v>
      </c>
      <c r="S20" s="973">
        <f>SUM(S21:S25)</f>
        <v>14292.313999999998</v>
      </c>
      <c r="T20" s="1125">
        <f>SUM(T21:T25)</f>
        <v>18779.21312</v>
      </c>
      <c r="U20" s="408">
        <f>SUM(U21:U25)</f>
        <v>7157.4639999999999</v>
      </c>
      <c r="V20" s="1125">
        <f>+SUM(V21:V25)</f>
        <v>78362.328607000003</v>
      </c>
      <c r="W20" s="408">
        <f>SUM(W21:W25)</f>
        <v>60420.752999999997</v>
      </c>
      <c r="X20" s="410">
        <f t="shared" ref="X20:AB20" si="13">SUM(X21:X25)</f>
        <v>39118.316022999999</v>
      </c>
      <c r="Y20" s="412">
        <f>SUM(Y21:Y25)</f>
        <v>71187.801000000007</v>
      </c>
      <c r="Z20" s="1245">
        <f>SUM(Z21:Z25)</f>
        <v>128472.34738799999</v>
      </c>
      <c r="AA20" s="412">
        <f>SUM(AA21:AA25)</f>
        <v>202272.85</v>
      </c>
      <c r="AB20" s="1245">
        <f t="shared" si="13"/>
        <v>41436.636108999999</v>
      </c>
      <c r="AC20" s="412">
        <f t="shared" ref="AC20:AD20" si="14">+SUM(AC21:AC25)</f>
        <v>317081.74399999995</v>
      </c>
      <c r="AD20" s="411">
        <f t="shared" si="14"/>
        <v>93205.759777999978</v>
      </c>
      <c r="AE20" s="372">
        <f>+SUM(AE21:AE25)</f>
        <v>70739.20199999999</v>
      </c>
      <c r="AF20" s="411">
        <f>+SUM(AF21:AF25)</f>
        <v>42844.701853999999</v>
      </c>
      <c r="AG20" s="412">
        <f>+SUM(AG21:AG25)</f>
        <v>156448.00600000002</v>
      </c>
      <c r="AH20" s="1245">
        <f>+SUM(AH21:AH25)</f>
        <v>249824.905738</v>
      </c>
      <c r="AI20" s="471">
        <f>SUM(AI21:AI25)</f>
        <v>108925.02900000001</v>
      </c>
      <c r="AJ20" s="471">
        <f>SUM(AJ21:AJ25)</f>
        <v>194727.23674399999</v>
      </c>
      <c r="AK20" s="985">
        <f>SUM(AK21:AK25)</f>
        <v>189271.80099999998</v>
      </c>
      <c r="AL20" s="471">
        <f>+SUM(AL21:AL25)</f>
        <v>302724.522</v>
      </c>
      <c r="AM20" s="471">
        <f>SUM(AM21:AM25)</f>
        <v>227952.62599999999</v>
      </c>
      <c r="AN20" s="1233"/>
      <c r="AO20" s="1775"/>
      <c r="AP20" s="1775"/>
      <c r="AQ20" s="1775"/>
      <c r="AR20" s="1775"/>
      <c r="AS20" s="1233"/>
      <c r="AT20" s="1233"/>
      <c r="AU20" s="1233"/>
      <c r="AV20" s="620"/>
    </row>
    <row r="21" spans="1:48" s="374" customFormat="1" ht="15" hidden="1" customHeight="1" x14ac:dyDescent="0.2">
      <c r="A21" s="392"/>
      <c r="B21" s="436"/>
      <c r="C21" s="125"/>
      <c r="D21" s="313"/>
      <c r="E21" s="143">
        <v>1</v>
      </c>
      <c r="F21" s="143"/>
      <c r="G21" s="767" t="s">
        <v>344</v>
      </c>
      <c r="H21" s="1484">
        <f>+'P02 2023'!I10</f>
        <v>2086968</v>
      </c>
      <c r="I21" s="1482">
        <f>+'P02 2023'!FL15</f>
        <v>2086968</v>
      </c>
      <c r="J21" s="1362">
        <f ca="1">SUMIF(S$3:$AM19,"ok",S21:AM21)</f>
        <v>920245.01399999997</v>
      </c>
      <c r="K21" s="1430">
        <f ca="1">IFERROR(J21/I21,"0.00%")</f>
        <v>0.44094831065929135</v>
      </c>
      <c r="L21" s="1482">
        <f>+'P02 2023'!FM20</f>
        <v>1787804.317</v>
      </c>
      <c r="M21" s="1430">
        <f>IFERROR(+#REF!/#REF!,0)</f>
        <v>0</v>
      </c>
      <c r="N21" s="1312">
        <f>+I21-L21</f>
        <v>299163.68299999996</v>
      </c>
      <c r="O21" s="1440">
        <f>+IFERROR(N21/#REF!,0)</f>
        <v>0</v>
      </c>
      <c r="P21" s="1655">
        <f>+'P02 2022'!GQ11</f>
        <v>2360303.2709999997</v>
      </c>
      <c r="Q21" s="1571">
        <f>SUMIF($S$3:$AM$3,"SI",S21:AM21)</f>
        <v>689789.76738999994</v>
      </c>
      <c r="R21" s="1494">
        <f t="shared" ref="R21:R29" si="15">IFERROR(Q21/P21,"0,00%")</f>
        <v>0.29224624473691202</v>
      </c>
      <c r="S21" s="974">
        <f>+'P02 2023'!K15</f>
        <v>11633.584999999999</v>
      </c>
      <c r="T21" s="438">
        <f>+'P02 2022'!H14</f>
        <v>7696.6833899999992</v>
      </c>
      <c r="U21" s="439">
        <v>0</v>
      </c>
      <c r="V21" s="438">
        <f>+'P02 2022'!Q4</f>
        <v>68058.893899999995</v>
      </c>
      <c r="W21" s="439">
        <f>+'P02 2023'!AL9</f>
        <v>53670.472999999998</v>
      </c>
      <c r="X21" s="440">
        <f>+'P02 2022'!AS8</f>
        <v>15288.565609999998</v>
      </c>
      <c r="Y21" s="441">
        <f>+'P02 2023'!BF5</f>
        <v>53485.571000000004</v>
      </c>
      <c r="Z21" s="1305">
        <f>+'P02 2022'!BP4</f>
        <v>90141.443299999999</v>
      </c>
      <c r="AA21" s="1351">
        <f>+'P02 2023'!BZ7</f>
        <v>189632.93700000001</v>
      </c>
      <c r="AB21" s="440">
        <f>+'P02 2022'!CR4</f>
        <v>27301.974006999997</v>
      </c>
      <c r="AC21" s="441">
        <f>+'P02 2023'!CS5</f>
        <v>311934.58399999997</v>
      </c>
      <c r="AD21" s="438">
        <f>+'P02 2022'!DE11</f>
        <v>74980.618399999992</v>
      </c>
      <c r="AE21" s="439">
        <f>+'P02 2023'!DM7</f>
        <v>52006.28</v>
      </c>
      <c r="AF21" s="438">
        <f>+'P02 2022'!EF10</f>
        <v>28212.686501</v>
      </c>
      <c r="AG21" s="441">
        <f>+'P02 2023'!EG6</f>
        <v>148627.92000000001</v>
      </c>
      <c r="AH21" s="440">
        <f>+'P02 2022'!FG8</f>
        <v>201075.07199299999</v>
      </c>
      <c r="AI21" s="847">
        <v>99253.664000000004</v>
      </c>
      <c r="AJ21" s="663">
        <f>+'P02 2022'!GE9</f>
        <v>177033.830289</v>
      </c>
      <c r="AK21" s="663">
        <f>+'P02 2022'!HD13</f>
        <v>166826.79399999999</v>
      </c>
      <c r="AL21" s="663">
        <f>+'P02 2022'!IE16</f>
        <v>280280.67800000001</v>
      </c>
      <c r="AM21" s="1133">
        <f>+'P02 2022'!JC10</f>
        <v>196175.245</v>
      </c>
      <c r="AN21" s="1233"/>
      <c r="AO21" s="1775"/>
      <c r="AP21" s="1775"/>
      <c r="AQ21" s="1775"/>
      <c r="AR21" s="1775"/>
      <c r="AS21" s="1233"/>
      <c r="AT21" s="1233"/>
      <c r="AU21" s="1233"/>
      <c r="AV21" s="495"/>
    </row>
    <row r="22" spans="1:48" s="374" customFormat="1" ht="15" hidden="1" customHeight="1" x14ac:dyDescent="0.2">
      <c r="B22" s="436"/>
      <c r="C22" s="125"/>
      <c r="D22" s="313"/>
      <c r="E22" s="143">
        <v>2</v>
      </c>
      <c r="F22" s="143"/>
      <c r="G22" s="767" t="s">
        <v>345</v>
      </c>
      <c r="H22" s="1484">
        <f>+'P02 2023'!I11</f>
        <v>485936</v>
      </c>
      <c r="I22" s="1482">
        <f>+'P02 2023'!FL16</f>
        <v>485936</v>
      </c>
      <c r="J22" s="1362">
        <f ca="1">SUMIF(S$3:$AM19,"ok",S22:AM22)</f>
        <v>27126.59</v>
      </c>
      <c r="K22" s="1430">
        <f t="shared" ca="1" si="7"/>
        <v>5.5823380033584669E-2</v>
      </c>
      <c r="L22" s="1482">
        <f>+'P02 2023'!FM22</f>
        <v>67497.566000000006</v>
      </c>
      <c r="M22" s="1430">
        <f>IFERROR(+L22/I22,0)</f>
        <v>0.13890217230252544</v>
      </c>
      <c r="N22" s="1312">
        <f>+I22-L22</f>
        <v>418438.43400000001</v>
      </c>
      <c r="O22" s="1440">
        <f>+IFERROR(N22/I22,0)</f>
        <v>0.86109782769747456</v>
      </c>
      <c r="P22" s="1655">
        <f>+'P02 2022'!GQ12</f>
        <v>212600</v>
      </c>
      <c r="Q22" s="1571">
        <f>SUMIF($S$3:$AM$3,"SI",S22:AM22)</f>
        <v>93105.342420000001</v>
      </c>
      <c r="R22" s="1494">
        <f t="shared" si="15"/>
        <v>0.43793670000000001</v>
      </c>
      <c r="S22" s="972">
        <v>0</v>
      </c>
      <c r="T22" s="438">
        <v>0</v>
      </c>
      <c r="U22" s="439">
        <v>0</v>
      </c>
      <c r="V22" s="438"/>
      <c r="W22" s="439">
        <f>+'P02 2023'!AL10</f>
        <v>4830.28</v>
      </c>
      <c r="X22" s="440">
        <f>+'P02 2022'!AS5</f>
        <v>11134.565705999999</v>
      </c>
      <c r="Y22" s="441">
        <f>+'P02 2023'!BF7</f>
        <v>7473.3019999999997</v>
      </c>
      <c r="Z22" s="1305">
        <f>+'P02 2022'!BP5</f>
        <v>25635.719380999999</v>
      </c>
      <c r="AA22" s="441">
        <f>+'P02 2023'!BZ9</f>
        <v>0</v>
      </c>
      <c r="AB22" s="440">
        <v>0</v>
      </c>
      <c r="AC22" s="441">
        <v>0</v>
      </c>
      <c r="AD22" s="438">
        <f>+'P02 2022'!DE10</f>
        <v>10811.242563</v>
      </c>
      <c r="AE22" s="439">
        <f>+'P02 2023'!DM5</f>
        <v>10992.922</v>
      </c>
      <c r="AF22" s="438">
        <f>+'P02 2022'!EF12</f>
        <v>3468.2649819999997</v>
      </c>
      <c r="AG22" s="441">
        <f>+'P02 2023'!EG4</f>
        <v>3830.0859999999998</v>
      </c>
      <c r="AH22" s="440">
        <f>+'P02 2022'!FG6</f>
        <v>36285.137201999998</v>
      </c>
      <c r="AI22" s="847">
        <v>0</v>
      </c>
      <c r="AJ22" s="663">
        <f>+'P02 2022'!GE5</f>
        <v>5770.4125859999995</v>
      </c>
      <c r="AK22" s="663">
        <f>+'P02 2022'!HD10</f>
        <v>5428.4219999999996</v>
      </c>
      <c r="AL22" s="663">
        <f>+'P02 2022'!IE14</f>
        <v>12780</v>
      </c>
      <c r="AM22" s="1133">
        <f>+'P02 2022'!JC8</f>
        <v>15021.614</v>
      </c>
      <c r="AN22" s="1233"/>
      <c r="AO22" s="1775"/>
      <c r="AP22" s="1775"/>
      <c r="AQ22" s="1775"/>
      <c r="AR22" s="1775"/>
      <c r="AS22" s="1233"/>
      <c r="AT22" s="1233"/>
      <c r="AU22" s="1233"/>
      <c r="AV22" s="495"/>
    </row>
    <row r="23" spans="1:48" s="374" customFormat="1" ht="15" hidden="1" customHeight="1" x14ac:dyDescent="0.2">
      <c r="B23" s="436"/>
      <c r="C23" s="125"/>
      <c r="D23" s="313"/>
      <c r="E23" s="143">
        <v>3</v>
      </c>
      <c r="F23" s="143"/>
      <c r="G23" s="767" t="s">
        <v>300</v>
      </c>
      <c r="H23" s="1484">
        <f>+'P02 2023'!I12</f>
        <v>62726</v>
      </c>
      <c r="I23" s="1482">
        <f>+'P02 2023'!FL17</f>
        <v>62626</v>
      </c>
      <c r="J23" s="1362">
        <f ca="1">SUMIF(S$3:$AM19,"ok",S23:AM23)</f>
        <v>35966.364999999998</v>
      </c>
      <c r="K23" s="1430">
        <f t="shared" ca="1" si="7"/>
        <v>0.57430404304921279</v>
      </c>
      <c r="L23" s="1482">
        <f>+'P02 2023'!FM24</f>
        <v>47880</v>
      </c>
      <c r="M23" s="1430">
        <f>IFERROR(+#REF!/I23,0)</f>
        <v>0</v>
      </c>
      <c r="N23" s="1312">
        <f t="shared" ref="N23:N25" si="16">+I23-L23</f>
        <v>14746</v>
      </c>
      <c r="O23" s="1440">
        <f t="shared" si="5"/>
        <v>0.23546130999904194</v>
      </c>
      <c r="P23" s="1655">
        <f>+'P02 2022'!GQ13+'P02 2022'!GQ15</f>
        <v>135911.99099999998</v>
      </c>
      <c r="Q23" s="1571">
        <f>SUMIF($S$3:$AM$3,"SI",S23:AM23)</f>
        <v>90914.898045000009</v>
      </c>
      <c r="R23" s="1494">
        <f t="shared" si="15"/>
        <v>0.66892477533494465</v>
      </c>
      <c r="S23" s="974">
        <f>+'P02 2023'!K14</f>
        <v>1920</v>
      </c>
      <c r="T23" s="438">
        <f>+'P02 2022'!H17</f>
        <v>10303.434707</v>
      </c>
      <c r="U23" s="439">
        <f>+'P02 2023'!R11</f>
        <v>1920</v>
      </c>
      <c r="V23" s="438">
        <f>+'P02 2022'!Q3</f>
        <v>10303.434707</v>
      </c>
      <c r="W23" s="439">
        <f>+'P02 2023'!AL7</f>
        <v>1920</v>
      </c>
      <c r="X23" s="440">
        <f>+'P02 2022'!AS6</f>
        <v>10303.434707</v>
      </c>
      <c r="Y23" s="441">
        <f>+'P02 2023'!BF6</f>
        <v>10200</v>
      </c>
      <c r="Z23" s="1305">
        <f>+'P02 2022'!BP6</f>
        <v>10303.434707</v>
      </c>
      <c r="AA23" s="1351">
        <f>+'P02 2023'!BZ10</f>
        <v>3990</v>
      </c>
      <c r="AB23" s="440">
        <f>+'P02 2022'!CR6</f>
        <v>9351.1621019999984</v>
      </c>
      <c r="AC23" s="441">
        <f>+'P02 2023'!CS6</f>
        <v>3990</v>
      </c>
      <c r="AD23" s="438">
        <f>+'P02 2022'!DE12</f>
        <v>7413.8988149999996</v>
      </c>
      <c r="AE23" s="439">
        <f>+'P02 2023'!DM4</f>
        <v>3990</v>
      </c>
      <c r="AF23" s="438">
        <f>+'P02 2022'!EF13</f>
        <v>11067.656234</v>
      </c>
      <c r="AG23" s="441">
        <f>+'P02 2023'!EG5</f>
        <v>3990</v>
      </c>
      <c r="AH23" s="440">
        <f>+'P02 2022'!FG10</f>
        <v>10050.663936999999</v>
      </c>
      <c r="AI23" s="1772">
        <f>+'P02 2023'!FA6</f>
        <v>4046.3649999999998</v>
      </c>
      <c r="AJ23" s="663">
        <f>+'P02 2022'!GE8</f>
        <v>11817.778128999998</v>
      </c>
      <c r="AK23" s="663">
        <f>+'P02 2022'!HD12</f>
        <v>9551.1139999999996</v>
      </c>
      <c r="AL23" s="663">
        <f>+'P02 2022'!IE17</f>
        <v>9663.8439999999991</v>
      </c>
      <c r="AM23" s="1133">
        <f>+'P02 2022'!JC9</f>
        <v>10701.808000000001</v>
      </c>
      <c r="AN23" s="1233"/>
      <c r="AO23" s="1775"/>
      <c r="AP23" s="1775"/>
      <c r="AQ23" s="1775"/>
      <c r="AR23" s="1775"/>
      <c r="AS23" s="1233"/>
      <c r="AT23" s="1233"/>
      <c r="AU23" s="1233"/>
      <c r="AV23" s="495"/>
    </row>
    <row r="24" spans="1:48" s="374" customFormat="1" ht="15" hidden="1" customHeight="1" x14ac:dyDescent="0.2">
      <c r="B24" s="436"/>
      <c r="C24" s="125"/>
      <c r="D24" s="313"/>
      <c r="E24" s="143">
        <v>4</v>
      </c>
      <c r="F24" s="143"/>
      <c r="G24" s="767" t="s">
        <v>301</v>
      </c>
      <c r="H24" s="1481">
        <v>0</v>
      </c>
      <c r="I24" s="1482">
        <f>+'P02 2023'!FL19</f>
        <v>100</v>
      </c>
      <c r="J24" s="1362">
        <f ca="1">SUMIF(S$3:$AM19,"ok",S24:AM24)</f>
        <v>28.928000000000001</v>
      </c>
      <c r="K24" s="1430">
        <f t="shared" ca="1" si="7"/>
        <v>0.28927999999999998</v>
      </c>
      <c r="L24" s="1482">
        <f>+'P02 2023'!FM25</f>
        <v>28.928000000000001</v>
      </c>
      <c r="M24" s="1430">
        <f t="shared" si="4"/>
        <v>0.28927999999999998</v>
      </c>
      <c r="N24" s="1312">
        <f>+I24-L24</f>
        <v>71.072000000000003</v>
      </c>
      <c r="O24" s="1440">
        <f t="shared" si="5"/>
        <v>0.71072000000000002</v>
      </c>
      <c r="P24" s="1655">
        <f>+'P02 2022'!GQ16</f>
        <v>4252</v>
      </c>
      <c r="Q24" s="1571">
        <f>SUMIF($S$3:$AM$3,"SI",S24:AM24)</f>
        <v>118.37674299999999</v>
      </c>
      <c r="R24" s="1494">
        <f t="shared" si="15"/>
        <v>2.7840249999999997E-2</v>
      </c>
      <c r="S24" s="972">
        <v>0</v>
      </c>
      <c r="T24" s="438"/>
      <c r="U24" s="439">
        <v>0</v>
      </c>
      <c r="V24" s="438">
        <v>0</v>
      </c>
      <c r="W24" s="439">
        <v>0</v>
      </c>
      <c r="X24" s="440">
        <v>0</v>
      </c>
      <c r="Y24" s="441">
        <f>+'P02 2023'!BF8</f>
        <v>28.928000000000001</v>
      </c>
      <c r="Z24" s="440">
        <v>0</v>
      </c>
      <c r="AA24" s="441">
        <v>0</v>
      </c>
      <c r="AB24" s="440">
        <v>0</v>
      </c>
      <c r="AC24" s="441">
        <v>0</v>
      </c>
      <c r="AD24" s="438">
        <v>0</v>
      </c>
      <c r="AE24" s="439">
        <v>0</v>
      </c>
      <c r="AF24" s="438">
        <f>+'P02 2022'!EF11</f>
        <v>96.094136999999989</v>
      </c>
      <c r="AG24" s="441">
        <v>0</v>
      </c>
      <c r="AH24" s="440">
        <f>+'P02 2022'!FG12</f>
        <v>22.282605999999998</v>
      </c>
      <c r="AI24" s="847">
        <v>0</v>
      </c>
      <c r="AJ24" s="663">
        <v>0</v>
      </c>
      <c r="AK24" s="663">
        <v>0</v>
      </c>
      <c r="AL24" s="847">
        <v>0</v>
      </c>
      <c r="AM24" s="1133">
        <v>0</v>
      </c>
      <c r="AN24" s="1233"/>
      <c r="AO24" s="1775"/>
      <c r="AP24" s="1775"/>
      <c r="AQ24" s="1775"/>
      <c r="AR24" s="1775"/>
      <c r="AS24" s="1233"/>
      <c r="AT24" s="1233"/>
      <c r="AU24" s="1233"/>
      <c r="AV24" s="495"/>
    </row>
    <row r="25" spans="1:48" s="374" customFormat="1" ht="15" hidden="1" customHeight="1" x14ac:dyDescent="0.2">
      <c r="B25" s="436"/>
      <c r="C25" s="125"/>
      <c r="D25" s="313"/>
      <c r="E25" s="143">
        <v>5</v>
      </c>
      <c r="F25" s="143"/>
      <c r="G25" s="767" t="s">
        <v>302</v>
      </c>
      <c r="H25" s="1484">
        <f>+'P02 2023'!I13</f>
        <v>60788</v>
      </c>
      <c r="I25" s="1482">
        <f>+'P02 2023'!FL18</f>
        <v>60788</v>
      </c>
      <c r="J25" s="1362">
        <f ca="1">SUMIF(S$3:$AM19,"ok",S25:AM25)</f>
        <v>25158.266</v>
      </c>
      <c r="K25" s="1430">
        <f t="shared" ca="1" si="7"/>
        <v>0.41386895439889454</v>
      </c>
      <c r="L25" s="1482">
        <f>+'P02 2023'!FM21</f>
        <v>25896.995999999999</v>
      </c>
      <c r="M25" s="1430">
        <f>IFERROR(+#REF!/#REF!,0)</f>
        <v>0</v>
      </c>
      <c r="N25" s="1312">
        <f t="shared" si="16"/>
        <v>34891.004000000001</v>
      </c>
      <c r="O25" s="1440">
        <f>+IFERROR(N25/#REF!,0)</f>
        <v>0</v>
      </c>
      <c r="P25" s="1655">
        <f>+'P02 2022'!GQ14</f>
        <v>60788.717999999993</v>
      </c>
      <c r="Q25" s="1571">
        <f>SUMIF($S$3:$AM$3,"SI",S25:AM25)</f>
        <v>12843.060762999999</v>
      </c>
      <c r="R25" s="1494">
        <f t="shared" si="15"/>
        <v>0.21127375581436017</v>
      </c>
      <c r="S25" s="974">
        <f>+'P02 2023'!K17</f>
        <v>738.72900000000004</v>
      </c>
      <c r="T25" s="438">
        <f>+'P02 2022'!H15</f>
        <v>779.09502299999997</v>
      </c>
      <c r="U25" s="439">
        <f>+'P02 2023'!R10</f>
        <v>5237.4639999999999</v>
      </c>
      <c r="V25" s="438">
        <v>0</v>
      </c>
      <c r="W25" s="439">
        <v>0</v>
      </c>
      <c r="X25" s="440">
        <f>+'P02 2022'!AS7</f>
        <v>2391.75</v>
      </c>
      <c r="Y25" s="441">
        <v>0</v>
      </c>
      <c r="Z25" s="1305">
        <f>+'P02 2022'!BP7</f>
        <v>2391.75</v>
      </c>
      <c r="AA25" s="1351">
        <f>+'P02 2023'!BZ8</f>
        <v>8649.9130000000005</v>
      </c>
      <c r="AB25" s="440">
        <f>+'P02 2022'!CR7</f>
        <v>4783.5</v>
      </c>
      <c r="AC25" s="441">
        <f>+'P02 2023'!CS7</f>
        <v>1157.1600000000001</v>
      </c>
      <c r="AD25" s="438">
        <v>0</v>
      </c>
      <c r="AE25" s="439">
        <f>+'P02 2023'!DM6</f>
        <v>3750</v>
      </c>
      <c r="AF25" s="438">
        <v>0</v>
      </c>
      <c r="AG25" s="441">
        <v>0</v>
      </c>
      <c r="AH25" s="440">
        <f>+'P02 2022'!FG9</f>
        <v>2391.75</v>
      </c>
      <c r="AI25" s="847">
        <f>+'P02 2023'!FA7</f>
        <v>5625</v>
      </c>
      <c r="AJ25" s="663">
        <f>+'P02 2022'!GE7</f>
        <v>105.21574</v>
      </c>
      <c r="AK25" s="663">
        <f>+'P02 2022'!HD11</f>
        <v>7465.4709999999995</v>
      </c>
      <c r="AL25" s="663">
        <v>0</v>
      </c>
      <c r="AM25" s="1133">
        <f>+'P02 2022'!JC7</f>
        <v>6053.9589999999998</v>
      </c>
      <c r="AN25" s="1233"/>
      <c r="AO25" s="1775"/>
      <c r="AP25" s="1775"/>
      <c r="AQ25" s="1775"/>
      <c r="AR25" s="1775"/>
      <c r="AS25" s="1233"/>
      <c r="AT25" s="1233"/>
      <c r="AU25" s="1233"/>
      <c r="AV25" s="495"/>
    </row>
    <row r="26" spans="1:48" s="392" customFormat="1" ht="16.5" customHeight="1" x14ac:dyDescent="0.25">
      <c r="B26" s="407"/>
      <c r="C26" s="134"/>
      <c r="D26" s="130">
        <v>34</v>
      </c>
      <c r="E26" s="130"/>
      <c r="F26" s="130" t="s">
        <v>526</v>
      </c>
      <c r="G26" s="1477" t="s">
        <v>263</v>
      </c>
      <c r="H26" s="1359">
        <f>+H27</f>
        <v>58398</v>
      </c>
      <c r="I26" s="1360">
        <f>+I27</f>
        <v>58398</v>
      </c>
      <c r="J26" s="1360">
        <f ca="1">SUMIF(S$3:$AM19,"ok",S26:AM26)</f>
        <v>34677.466</v>
      </c>
      <c r="K26" s="1429">
        <f t="shared" ca="1" si="7"/>
        <v>0.59381256207404365</v>
      </c>
      <c r="L26" s="409">
        <f>+L27</f>
        <v>52242.966</v>
      </c>
      <c r="M26" s="1432">
        <f>IFERROR(+L26/I26,0)</f>
        <v>0.89460197267029695</v>
      </c>
      <c r="N26" s="1360">
        <f>+I26-L26</f>
        <v>6155.0339999999997</v>
      </c>
      <c r="O26" s="1439">
        <f>+IFERROR(N26/I26,0)</f>
        <v>0.10539802732970306</v>
      </c>
      <c r="P26" s="1753">
        <f>+P27</f>
        <v>96186.618000000002</v>
      </c>
      <c r="Q26" s="1570">
        <f>+Q27</f>
        <v>22585.8799</v>
      </c>
      <c r="R26" s="1439">
        <f t="shared" si="15"/>
        <v>0.23481312026169793</v>
      </c>
      <c r="S26" s="973">
        <f>+S27</f>
        <v>0</v>
      </c>
      <c r="T26" s="415">
        <f>+T27</f>
        <v>0</v>
      </c>
      <c r="U26" s="416">
        <f>+U27</f>
        <v>5688</v>
      </c>
      <c r="V26" s="415">
        <v>0</v>
      </c>
      <c r="W26" s="416">
        <f>+W27</f>
        <v>1393</v>
      </c>
      <c r="X26" s="417">
        <f>+'P02 2022'!AS9</f>
        <v>15413.5</v>
      </c>
      <c r="Y26" s="462">
        <f t="shared" ref="Y26:Z26" si="17">+Y27</f>
        <v>18221</v>
      </c>
      <c r="Z26" s="1306">
        <f t="shared" si="17"/>
        <v>0</v>
      </c>
      <c r="AA26" s="462">
        <f>+AA27</f>
        <v>0</v>
      </c>
      <c r="AB26" s="1306">
        <f>+AB27</f>
        <v>7172.3798999999999</v>
      </c>
      <c r="AC26" s="462">
        <f>+AC27</f>
        <v>9375.4660000000003</v>
      </c>
      <c r="AD26" s="443">
        <f>+AD27</f>
        <v>0</v>
      </c>
      <c r="AE26" s="444">
        <v>0</v>
      </c>
      <c r="AF26" s="443">
        <v>0</v>
      </c>
      <c r="AG26" s="1692">
        <f>+AG27</f>
        <v>0</v>
      </c>
      <c r="AH26" s="1652">
        <f>+AH27</f>
        <v>0</v>
      </c>
      <c r="AI26" s="985">
        <v>0</v>
      </c>
      <c r="AJ26" s="985">
        <v>0</v>
      </c>
      <c r="AK26" s="985">
        <f t="shared" ref="AK26:AM26" si="18">+AK27</f>
        <v>0</v>
      </c>
      <c r="AL26" s="470">
        <f t="shared" si="18"/>
        <v>19289.900000000001</v>
      </c>
      <c r="AM26" s="1134">
        <f t="shared" si="18"/>
        <v>5634.16</v>
      </c>
      <c r="AN26" s="1233"/>
      <c r="AO26" s="1775"/>
      <c r="AP26" s="1775"/>
      <c r="AQ26" s="1775"/>
      <c r="AR26" s="1775"/>
      <c r="AS26" s="1233"/>
      <c r="AT26" s="1233"/>
      <c r="AU26" s="1233"/>
      <c r="AV26" s="620"/>
    </row>
    <row r="27" spans="1:48" s="374" customFormat="1" ht="15" hidden="1" customHeight="1" x14ac:dyDescent="0.2">
      <c r="B27" s="436"/>
      <c r="C27" s="125"/>
      <c r="D27" s="313"/>
      <c r="E27" s="313">
        <v>1</v>
      </c>
      <c r="F27" s="313"/>
      <c r="G27" s="767" t="s">
        <v>525</v>
      </c>
      <c r="H27" s="1481">
        <f>+'P02 2023'!I18</f>
        <v>58398</v>
      </c>
      <c r="I27" s="1482">
        <f>+'P02 2023'!FL26</f>
        <v>58398</v>
      </c>
      <c r="J27" s="1312">
        <f ca="1">SUMIF(S$3:$AM21,"ok",S27:AM27)</f>
        <v>34677.466</v>
      </c>
      <c r="K27" s="1430">
        <f t="shared" ca="1" si="7"/>
        <v>0.59381256207404365</v>
      </c>
      <c r="L27" s="1483">
        <f>+'P02 2023'!FM27</f>
        <v>52242.966</v>
      </c>
      <c r="M27" s="1430">
        <f>IFERROR(+#REF!/#REF!,0)</f>
        <v>0</v>
      </c>
      <c r="N27" s="1480">
        <f>+I27-L27</f>
        <v>6155.0339999999997</v>
      </c>
      <c r="O27" s="1440">
        <f>+IFERROR(N27/#REF!,0)</f>
        <v>0</v>
      </c>
      <c r="P27" s="1655">
        <f>+'P02 2022'!GQ25</f>
        <v>96186.618000000002</v>
      </c>
      <c r="Q27" s="1571">
        <f>SUMIF($S$3:$AM$3,"SI",S27:AM27)</f>
        <v>22585.8799</v>
      </c>
      <c r="R27" s="1494">
        <f t="shared" si="15"/>
        <v>0.23481312026169793</v>
      </c>
      <c r="S27" s="972">
        <v>0</v>
      </c>
      <c r="T27" s="438">
        <v>0</v>
      </c>
      <c r="U27" s="439">
        <f>+'P02 2023'!R13</f>
        <v>5688</v>
      </c>
      <c r="V27" s="438">
        <v>0</v>
      </c>
      <c r="W27" s="1236">
        <f>+'P02 2023'!AL11</f>
        <v>1393</v>
      </c>
      <c r="X27" s="440">
        <f>+'P02 2022'!AS9</f>
        <v>15413.5</v>
      </c>
      <c r="Y27" s="441">
        <f>+'P02 2023'!BF9</f>
        <v>18221</v>
      </c>
      <c r="Z27" s="440">
        <v>0</v>
      </c>
      <c r="AA27" s="441">
        <v>0</v>
      </c>
      <c r="AB27" s="440">
        <f>+'P02 2022'!CR9</f>
        <v>7172.3798999999999</v>
      </c>
      <c r="AC27" s="441">
        <f>+'P02 2023'!CS8</f>
        <v>9375.4660000000003</v>
      </c>
      <c r="AD27" s="438">
        <v>0</v>
      </c>
      <c r="AE27" s="439">
        <v>0</v>
      </c>
      <c r="AF27" s="438">
        <v>0</v>
      </c>
      <c r="AG27" s="441">
        <v>0</v>
      </c>
      <c r="AH27" s="440">
        <v>0</v>
      </c>
      <c r="AI27" s="847">
        <v>0</v>
      </c>
      <c r="AJ27" s="663">
        <v>0</v>
      </c>
      <c r="AK27" s="663">
        <v>0</v>
      </c>
      <c r="AL27" s="663">
        <f>+'P02 2022'!IE18</f>
        <v>19289.900000000001</v>
      </c>
      <c r="AM27" s="1135">
        <f>+'P02 2022'!JC11</f>
        <v>5634.16</v>
      </c>
      <c r="AN27" s="1233"/>
      <c r="AO27" s="1775"/>
      <c r="AP27" s="1775"/>
      <c r="AQ27" s="1775"/>
      <c r="AR27" s="1775"/>
      <c r="AS27" s="1233"/>
      <c r="AT27" s="1233"/>
      <c r="AU27" s="1233"/>
      <c r="AV27" s="495"/>
    </row>
    <row r="28" spans="1:48" s="392" customFormat="1" ht="15" customHeight="1" x14ac:dyDescent="0.25">
      <c r="B28" s="407"/>
      <c r="C28" s="134"/>
      <c r="D28" s="130">
        <v>500</v>
      </c>
      <c r="E28" s="141"/>
      <c r="F28" s="141"/>
      <c r="G28" s="1477" t="s">
        <v>323</v>
      </c>
      <c r="H28" s="1359">
        <f>SUM(H29)</f>
        <v>0</v>
      </c>
      <c r="I28" s="1360">
        <f>+I29</f>
        <v>0</v>
      </c>
      <c r="J28" s="1360">
        <f ca="1">SUMIF(S$3:$AM20,"ok",S28:AM28)</f>
        <v>0</v>
      </c>
      <c r="K28" s="1429" t="str">
        <f t="shared" ca="1" si="7"/>
        <v>0.00%</v>
      </c>
      <c r="L28" s="409">
        <f>+L29</f>
        <v>0</v>
      </c>
      <c r="M28" s="1432">
        <f t="shared" si="4"/>
        <v>0</v>
      </c>
      <c r="N28" s="1360">
        <f t="shared" ref="N28:N50" si="19">+I28-L28</f>
        <v>0</v>
      </c>
      <c r="O28" s="1439">
        <f t="shared" si="5"/>
        <v>0</v>
      </c>
      <c r="P28" s="1753">
        <f>+P29</f>
        <v>192905.799</v>
      </c>
      <c r="Q28" s="409">
        <f>+Q29</f>
        <v>0</v>
      </c>
      <c r="R28" s="1439">
        <f t="shared" si="15"/>
        <v>0</v>
      </c>
      <c r="S28" s="973">
        <f>+S29</f>
        <v>0</v>
      </c>
      <c r="T28" s="415">
        <f>+T29</f>
        <v>0</v>
      </c>
      <c r="U28" s="416">
        <v>0</v>
      </c>
      <c r="V28" s="415">
        <v>0</v>
      </c>
      <c r="W28" s="416">
        <v>0</v>
      </c>
      <c r="X28" s="417">
        <v>0</v>
      </c>
      <c r="Y28" s="434">
        <v>0</v>
      </c>
      <c r="Z28" s="417">
        <v>0</v>
      </c>
      <c r="AA28" s="434">
        <f>+AA29</f>
        <v>0</v>
      </c>
      <c r="AB28" s="1306">
        <f>+AB29</f>
        <v>0</v>
      </c>
      <c r="AC28" s="462">
        <f>+AC29</f>
        <v>0</v>
      </c>
      <c r="AD28" s="443">
        <f>+AD29</f>
        <v>0</v>
      </c>
      <c r="AE28" s="444">
        <v>0</v>
      </c>
      <c r="AF28" s="443">
        <v>0</v>
      </c>
      <c r="AG28" s="462">
        <v>0</v>
      </c>
      <c r="AH28" s="417">
        <v>0</v>
      </c>
      <c r="AI28" s="986">
        <v>0</v>
      </c>
      <c r="AJ28" s="986">
        <v>0</v>
      </c>
      <c r="AK28" s="986">
        <f t="shared" ref="AK28:AM28" si="20">+AK29</f>
        <v>0</v>
      </c>
      <c r="AL28" s="448">
        <f t="shared" si="20"/>
        <v>0</v>
      </c>
      <c r="AM28" s="959">
        <f t="shared" si="20"/>
        <v>181465.58499999999</v>
      </c>
      <c r="AN28" s="1233"/>
      <c r="AO28" s="1775"/>
      <c r="AP28" s="1775"/>
      <c r="AQ28" s="1775"/>
      <c r="AR28" s="1775"/>
      <c r="AS28" s="1233"/>
      <c r="AT28" s="1233"/>
      <c r="AU28" s="1233"/>
      <c r="AV28" s="620"/>
    </row>
    <row r="29" spans="1:48" s="374" customFormat="1" ht="15" hidden="1" customHeight="1" x14ac:dyDescent="0.2">
      <c r="B29" s="436"/>
      <c r="C29" s="125"/>
      <c r="D29" s="313"/>
      <c r="E29" s="313">
        <v>1</v>
      </c>
      <c r="F29" s="313"/>
      <c r="G29" s="1656" t="s">
        <v>323</v>
      </c>
      <c r="H29" s="1364">
        <v>0</v>
      </c>
      <c r="I29" s="1363">
        <v>0</v>
      </c>
      <c r="J29" s="1363">
        <f ca="1">SUMIF(S$3:$AM21,"ok",S29:AM29)</f>
        <v>0</v>
      </c>
      <c r="K29" s="1430" t="str">
        <f t="shared" ca="1" si="7"/>
        <v>0.00%</v>
      </c>
      <c r="L29" s="1657">
        <v>0</v>
      </c>
      <c r="M29" s="1430">
        <f t="shared" si="4"/>
        <v>0</v>
      </c>
      <c r="N29" s="1363">
        <f>+I29-L29</f>
        <v>0</v>
      </c>
      <c r="O29" s="1440">
        <f t="shared" si="5"/>
        <v>0</v>
      </c>
      <c r="P29" s="1655">
        <f>+'P02 2022'!GQ27</f>
        <v>192905.799</v>
      </c>
      <c r="Q29" s="414">
        <f>SUMIF($S$3:$AM$3,"SI",S29:AM29)</f>
        <v>0</v>
      </c>
      <c r="R29" s="1494">
        <f t="shared" si="15"/>
        <v>0</v>
      </c>
      <c r="S29" s="972">
        <v>0</v>
      </c>
      <c r="T29" s="438">
        <v>0</v>
      </c>
      <c r="U29" s="439">
        <v>0</v>
      </c>
      <c r="V29" s="438">
        <v>0</v>
      </c>
      <c r="W29" s="439">
        <v>0</v>
      </c>
      <c r="X29" s="440">
        <v>0</v>
      </c>
      <c r="Y29" s="441">
        <v>0</v>
      </c>
      <c r="Z29" s="440">
        <v>0</v>
      </c>
      <c r="AA29" s="441">
        <v>0</v>
      </c>
      <c r="AB29" s="440">
        <v>0</v>
      </c>
      <c r="AC29" s="441">
        <v>0</v>
      </c>
      <c r="AD29" s="438">
        <v>0</v>
      </c>
      <c r="AE29" s="439">
        <v>0</v>
      </c>
      <c r="AF29" s="438">
        <v>0</v>
      </c>
      <c r="AG29" s="441"/>
      <c r="AH29" s="440">
        <v>0</v>
      </c>
      <c r="AI29" s="847">
        <v>0</v>
      </c>
      <c r="AJ29" s="663">
        <v>0</v>
      </c>
      <c r="AK29" s="663">
        <v>0</v>
      </c>
      <c r="AL29" s="663">
        <v>0</v>
      </c>
      <c r="AM29" s="1135">
        <f>+'P02 2022'!JC12</f>
        <v>181465.58499999999</v>
      </c>
      <c r="AN29" s="1233"/>
      <c r="AO29" s="1775"/>
      <c r="AP29" s="1775"/>
      <c r="AQ29" s="1775"/>
      <c r="AR29" s="1775"/>
      <c r="AS29" s="1233"/>
      <c r="AT29" s="1233"/>
      <c r="AU29" s="1233"/>
      <c r="AV29" s="495"/>
    </row>
    <row r="30" spans="1:48" s="392" customFormat="1" ht="15" customHeight="1" x14ac:dyDescent="0.25">
      <c r="B30" s="407"/>
      <c r="C30" s="134"/>
      <c r="D30" s="130">
        <v>602</v>
      </c>
      <c r="E30" s="141"/>
      <c r="F30" s="141"/>
      <c r="G30" s="1477" t="s">
        <v>324</v>
      </c>
      <c r="H30" s="1359">
        <f>SUM(H31:H36)</f>
        <v>2132394</v>
      </c>
      <c r="I30" s="1360">
        <f>SUM(I31:I36)</f>
        <v>2101411</v>
      </c>
      <c r="J30" s="1360">
        <f ca="1">SUMIF(S$3:$AM22,"ok",S30:AM30)</f>
        <v>807940</v>
      </c>
      <c r="K30" s="1429">
        <f t="shared" ca="1" si="7"/>
        <v>0.38447500274815349</v>
      </c>
      <c r="L30" s="1361">
        <f>SUM(L31:L36)</f>
        <v>1016783.1</v>
      </c>
      <c r="M30" s="1432">
        <f t="shared" si="4"/>
        <v>0.4838573225323366</v>
      </c>
      <c r="N30" s="1361">
        <f>+I30-L30</f>
        <v>1084627.8999999999</v>
      </c>
      <c r="O30" s="1439">
        <f t="shared" si="5"/>
        <v>0.5161426774676634</v>
      </c>
      <c r="P30" s="1753">
        <f>SUM(P31:P36)</f>
        <v>3188572.6739999996</v>
      </c>
      <c r="Q30" s="1570">
        <f>SUM(Q31:Q36)</f>
        <v>1018619.75</v>
      </c>
      <c r="R30" s="1439" t="str">
        <f>IFERROR(Q3/P3,"0,00%")</f>
        <v>0,00%</v>
      </c>
      <c r="S30" s="973">
        <f>SUM(S31:S36)</f>
        <v>30000</v>
      </c>
      <c r="T30" s="415">
        <f>+T33</f>
        <v>57402</v>
      </c>
      <c r="U30" s="416">
        <f>+SUM(U31:U36)</f>
        <v>134980</v>
      </c>
      <c r="V30" s="415">
        <f>+SUM(V31:V36)</f>
        <v>103908.25</v>
      </c>
      <c r="W30" s="416">
        <f>SUM(W31:W36)</f>
        <v>70000</v>
      </c>
      <c r="X30" s="417">
        <f>+SUM(X31:X36)</f>
        <v>464531</v>
      </c>
      <c r="Y30" s="434">
        <f>SUM(Y31:Y36)</f>
        <v>0</v>
      </c>
      <c r="Z30" s="417">
        <f>SUM(Z31:Z36)</f>
        <v>797.25</v>
      </c>
      <c r="AA30" s="434">
        <f>SUM(AA31:AA36)</f>
        <v>340180</v>
      </c>
      <c r="AB30" s="1306">
        <f>+SUM(AB31:AB36)</f>
        <v>0</v>
      </c>
      <c r="AC30" s="462">
        <f>SUM(AC31:AC36)</f>
        <v>12000</v>
      </c>
      <c r="AD30" s="443">
        <f>SUM(AD31:AD36)</f>
        <v>102048</v>
      </c>
      <c r="AE30" s="444">
        <f>+SUM(AE31:AE36)</f>
        <v>40000</v>
      </c>
      <c r="AF30" s="443">
        <f>+SUM(AF31:AF36)</f>
        <v>155782.65</v>
      </c>
      <c r="AG30" s="462">
        <f>+SUM(AG31:AG36)</f>
        <v>180780</v>
      </c>
      <c r="AH30" s="1306">
        <f>+SUM(AH31:AH36)</f>
        <v>17220.599999999999</v>
      </c>
      <c r="AI30" s="470">
        <f>+SUM(AI31:AI35)</f>
        <v>0</v>
      </c>
      <c r="AJ30" s="470">
        <f t="shared" ref="AJ30" si="21">+SUM(AJ31:AJ35)</f>
        <v>116930</v>
      </c>
      <c r="AK30" s="986">
        <f>+SUM(AK31:AK36)</f>
        <v>63000</v>
      </c>
      <c r="AL30" s="448">
        <f>SUM(AL31:AL35)</f>
        <v>590590</v>
      </c>
      <c r="AM30" s="959">
        <f>SUM(AM31:AM36)</f>
        <v>1377680</v>
      </c>
      <c r="AN30" s="1233"/>
      <c r="AO30" s="1775"/>
      <c r="AP30" s="1775"/>
      <c r="AQ30" s="1775"/>
      <c r="AR30" s="1775"/>
      <c r="AS30" s="1233"/>
      <c r="AT30" s="1233"/>
      <c r="AU30" s="1233"/>
      <c r="AV30" s="620"/>
    </row>
    <row r="31" spans="1:48" s="374" customFormat="1" ht="15" hidden="1" customHeight="1" x14ac:dyDescent="0.2">
      <c r="B31" s="436"/>
      <c r="C31" s="125"/>
      <c r="D31" s="418"/>
      <c r="E31" s="313">
        <v>1</v>
      </c>
      <c r="F31" s="313"/>
      <c r="G31" s="767" t="s">
        <v>630</v>
      </c>
      <c r="H31" s="1365">
        <f>+'P02 2023'!I24</f>
        <v>250000</v>
      </c>
      <c r="I31" s="1354">
        <f>+'P02 2023'!FL33</f>
        <v>25000</v>
      </c>
      <c r="J31" s="1354">
        <f ca="1">SUMIF(S$3:$AM23,"ok",S31:AM31)</f>
        <v>2340</v>
      </c>
      <c r="K31" s="1430">
        <f ca="1">IFERROR(J31/I31,"0.00%")</f>
        <v>9.3600000000000003E-2</v>
      </c>
      <c r="L31" s="1313">
        <f>+'P02 2023'!FM34</f>
        <v>3120</v>
      </c>
      <c r="M31" s="1430">
        <f>IFERROR(+#REF!/I31,0)</f>
        <v>0</v>
      </c>
      <c r="N31" s="1312">
        <f>+I31-L31</f>
        <v>21880</v>
      </c>
      <c r="O31" s="1440">
        <f t="shared" si="5"/>
        <v>0.87519999999999998</v>
      </c>
      <c r="P31" s="1658">
        <f>+'P02 2022'!GQ31</f>
        <v>152009</v>
      </c>
      <c r="Q31" s="1571">
        <f t="shared" ref="Q31:Q36" si="22">SUMIF($S$3:$AM$3,"SI",S31:AM31)</f>
        <v>81478.95</v>
      </c>
      <c r="R31" s="1494">
        <f t="shared" ref="R31:R40" si="23">IFERROR(Q31/P31,"0,00%")</f>
        <v>0.53601398601398598</v>
      </c>
      <c r="S31" s="972">
        <v>0</v>
      </c>
      <c r="T31" s="438">
        <v>0</v>
      </c>
      <c r="U31" s="439">
        <f>+'P02 2023'!R15</f>
        <v>780</v>
      </c>
      <c r="V31" s="438">
        <f>+'P02 2022'!Q6</f>
        <v>797.25</v>
      </c>
      <c r="W31" s="439">
        <v>0</v>
      </c>
      <c r="X31" s="440">
        <v>0</v>
      </c>
      <c r="Y31" s="441">
        <v>0</v>
      </c>
      <c r="Z31" s="1305">
        <f>+'P02 2022'!BP3</f>
        <v>797.25</v>
      </c>
      <c r="AA31" s="1351">
        <f>+'P02 2023'!BZ16</f>
        <v>780</v>
      </c>
      <c r="AB31" s="440">
        <v>0</v>
      </c>
      <c r="AC31" s="441">
        <v>0</v>
      </c>
      <c r="AD31" s="438">
        <v>0</v>
      </c>
      <c r="AE31" s="439">
        <v>0</v>
      </c>
      <c r="AF31" s="438">
        <f>+'P02 2022'!EF16</f>
        <v>79884.45</v>
      </c>
      <c r="AG31" s="441">
        <f>+'P02 2023'!EG8</f>
        <v>780</v>
      </c>
      <c r="AH31" s="440">
        <v>0</v>
      </c>
      <c r="AI31" s="847">
        <v>0</v>
      </c>
      <c r="AJ31" s="663">
        <v>0</v>
      </c>
      <c r="AK31" s="663">
        <v>0</v>
      </c>
      <c r="AL31" s="847">
        <f>+'P02 2022'!IE20</f>
        <v>38600</v>
      </c>
      <c r="AM31" s="1133">
        <f>+'P02 2022'!JC13</f>
        <v>13280</v>
      </c>
      <c r="AN31" s="1233"/>
      <c r="AO31" s="1775"/>
      <c r="AP31" s="1775"/>
      <c r="AQ31" s="1775"/>
      <c r="AR31" s="1775"/>
      <c r="AS31" s="1233"/>
      <c r="AT31" s="1233"/>
      <c r="AU31" s="1233"/>
      <c r="AV31" s="495"/>
    </row>
    <row r="32" spans="1:48" s="374" customFormat="1" ht="15" hidden="1" customHeight="1" x14ac:dyDescent="0.2">
      <c r="B32" s="436"/>
      <c r="C32" s="125"/>
      <c r="D32" s="418"/>
      <c r="E32" s="313">
        <v>2</v>
      </c>
      <c r="F32" s="313"/>
      <c r="G32" s="767" t="s">
        <v>631</v>
      </c>
      <c r="H32" s="1365">
        <f>+'P02 2023'!I21</f>
        <v>310000</v>
      </c>
      <c r="I32" s="1312">
        <f>+'P02 2023'!FL30</f>
        <v>340000</v>
      </c>
      <c r="J32" s="1362">
        <f ca="1">SUMIF(S$3:$AM24,"ok",S32:AM32)</f>
        <v>150000</v>
      </c>
      <c r="K32" s="1430">
        <f ca="1">IFERROR(J32/I32,"0.00%")</f>
        <v>0.44117647058823528</v>
      </c>
      <c r="L32" s="1426">
        <f>+'P02 2023'!FM41</f>
        <v>150000</v>
      </c>
      <c r="M32" s="1430">
        <f t="shared" si="4"/>
        <v>0.44117647058823528</v>
      </c>
      <c r="N32" s="1312">
        <f t="shared" ref="N32:N36" si="24">+I32-L32</f>
        <v>190000</v>
      </c>
      <c r="O32" s="1440">
        <f t="shared" si="5"/>
        <v>0.55882352941176472</v>
      </c>
      <c r="P32" s="1658">
        <f>+'P02 2022'!GQ29</f>
        <v>329530</v>
      </c>
      <c r="Q32" s="414">
        <f t="shared" si="22"/>
        <v>0</v>
      </c>
      <c r="R32" s="1494">
        <f t="shared" si="23"/>
        <v>0</v>
      </c>
      <c r="S32" s="972">
        <v>0</v>
      </c>
      <c r="T32" s="438">
        <v>0</v>
      </c>
      <c r="U32" s="439">
        <v>0</v>
      </c>
      <c r="V32" s="438">
        <v>0</v>
      </c>
      <c r="W32" s="439">
        <v>0</v>
      </c>
      <c r="X32" s="440">
        <v>0</v>
      </c>
      <c r="Y32" s="441">
        <v>0</v>
      </c>
      <c r="Z32" s="440">
        <v>0</v>
      </c>
      <c r="AA32" s="441">
        <v>0</v>
      </c>
      <c r="AB32" s="440">
        <v>0</v>
      </c>
      <c r="AC32" s="441">
        <v>0</v>
      </c>
      <c r="AD32" s="438">
        <v>0</v>
      </c>
      <c r="AE32" s="439">
        <v>0</v>
      </c>
      <c r="AF32" s="438">
        <v>0</v>
      </c>
      <c r="AG32" s="441">
        <f>+'P02 2023'!EG7</f>
        <v>150000</v>
      </c>
      <c r="AH32" s="440">
        <v>0</v>
      </c>
      <c r="AI32" s="847">
        <v>0</v>
      </c>
      <c r="AJ32" s="663">
        <v>0</v>
      </c>
      <c r="AK32" s="663">
        <f>+'P02 2022'!HD18</f>
        <v>63000</v>
      </c>
      <c r="AL32" s="847">
        <f>+'P02 2022'!IE22</f>
        <v>245990</v>
      </c>
      <c r="AM32" s="1133">
        <v>0</v>
      </c>
      <c r="AN32" s="1233"/>
      <c r="AO32" s="1775"/>
      <c r="AP32" s="1775"/>
      <c r="AQ32" s="1775"/>
      <c r="AR32" s="1775"/>
      <c r="AS32" s="1233"/>
      <c r="AT32" s="1233"/>
      <c r="AU32" s="1233"/>
      <c r="AV32" s="495"/>
    </row>
    <row r="33" spans="1:49" s="374" customFormat="1" ht="15" hidden="1" customHeight="1" x14ac:dyDescent="0.2">
      <c r="B33" s="436"/>
      <c r="C33" s="125"/>
      <c r="D33" s="418"/>
      <c r="E33" s="313">
        <v>3</v>
      </c>
      <c r="F33" s="313"/>
      <c r="G33" s="767" t="s">
        <v>632</v>
      </c>
      <c r="H33" s="1365">
        <f>+'P02 2023'!I20</f>
        <v>837394</v>
      </c>
      <c r="I33" s="1312">
        <f>+'P02 2023'!FL28</f>
        <v>806411</v>
      </c>
      <c r="J33" s="1362">
        <f ca="1">SUMIF(S$3:$AM25,"ok",S33:AM33)</f>
        <v>250600</v>
      </c>
      <c r="K33" s="1430">
        <f ca="1">IFERROR(J33/I33,"0.00%")</f>
        <v>0.31075964985596677</v>
      </c>
      <c r="L33" s="774">
        <f>+'P02 2023'!FM38</f>
        <v>458663.1</v>
      </c>
      <c r="M33" s="1430">
        <f t="shared" si="4"/>
        <v>0.56877088730188452</v>
      </c>
      <c r="N33" s="1312">
        <f t="shared" si="24"/>
        <v>347747.9</v>
      </c>
      <c r="O33" s="1440">
        <f t="shared" si="5"/>
        <v>0.43122911269811548</v>
      </c>
      <c r="P33" s="1658">
        <f>+'P02 2022'!GQ28</f>
        <v>2276518.6739999996</v>
      </c>
      <c r="Q33" s="1571">
        <f t="shared" si="22"/>
        <v>635248.80000000005</v>
      </c>
      <c r="R33" s="1494">
        <f t="shared" si="23"/>
        <v>0.27904396623455952</v>
      </c>
      <c r="S33" s="972">
        <v>0</v>
      </c>
      <c r="T33" s="438">
        <f>+'P02 2022'!H29</f>
        <v>57402</v>
      </c>
      <c r="U33" s="439">
        <f>+'P02 2023'!R14</f>
        <v>79200</v>
      </c>
      <c r="V33" s="438">
        <v>0</v>
      </c>
      <c r="W33" s="439">
        <f>+'P02 2023'!AL14</f>
        <v>70000</v>
      </c>
      <c r="X33" s="440">
        <f>+'P02 2022'!AS10</f>
        <v>409255</v>
      </c>
      <c r="Y33" s="441">
        <v>0</v>
      </c>
      <c r="Z33" s="440">
        <v>0</v>
      </c>
      <c r="AA33" s="441">
        <f>+'P02 2023'!BZ17</f>
        <v>139400</v>
      </c>
      <c r="AB33" s="440">
        <v>0</v>
      </c>
      <c r="AC33" s="441">
        <f>+'P02 2023'!CS9</f>
        <v>-108000</v>
      </c>
      <c r="AD33" s="1326">
        <v>0</v>
      </c>
      <c r="AE33" s="439">
        <f>+'P02 2023'!DM8</f>
        <v>40000</v>
      </c>
      <c r="AF33" s="438">
        <f>+'P02 2022'!EF19</f>
        <v>34441.199999999997</v>
      </c>
      <c r="AG33" s="441">
        <f>+'P02 2023'!EG9</f>
        <v>30000</v>
      </c>
      <c r="AH33" s="440">
        <f>+'P02 2022'!FG18</f>
        <v>17220.599999999999</v>
      </c>
      <c r="AI33" s="847">
        <v>0</v>
      </c>
      <c r="AJ33" s="663">
        <f>+'P02 2022'!GE11</f>
        <v>116930</v>
      </c>
      <c r="AK33" s="663">
        <v>0</v>
      </c>
      <c r="AL33" s="847">
        <f>+'P02 2022'!IE24</f>
        <v>200000</v>
      </c>
      <c r="AM33" s="1133">
        <f>+'P02 2022'!JC14</f>
        <v>1349400</v>
      </c>
      <c r="AN33" s="1421"/>
      <c r="AO33" s="1775"/>
      <c r="AP33" s="1775"/>
      <c r="AQ33" s="1775"/>
      <c r="AR33" s="1775"/>
      <c r="AS33" s="1233"/>
      <c r="AT33" s="1233"/>
      <c r="AU33" s="1233"/>
      <c r="AV33" s="1233"/>
      <c r="AW33" s="1233"/>
    </row>
    <row r="34" spans="1:49" s="374" customFormat="1" ht="15" hidden="1" customHeight="1" x14ac:dyDescent="0.2">
      <c r="B34" s="436"/>
      <c r="C34" s="125"/>
      <c r="D34" s="418"/>
      <c r="E34" s="313">
        <v>4</v>
      </c>
      <c r="F34" s="313"/>
      <c r="G34" s="767" t="s">
        <v>491</v>
      </c>
      <c r="H34" s="1365">
        <f>+'P02 2023'!I22</f>
        <v>300000</v>
      </c>
      <c r="I34" s="1312">
        <f>+'P02 2023'!FL29</f>
        <v>525000</v>
      </c>
      <c r="J34" s="1362">
        <f ca="1">SUMIF(S$3:$AM25,"ok",S34:AM34)</f>
        <v>0</v>
      </c>
      <c r="K34" s="1430">
        <f ca="1">IFERROR(J34/I34,"0,00%")</f>
        <v>0</v>
      </c>
      <c r="L34" s="774">
        <v>0</v>
      </c>
      <c r="M34" s="1430">
        <f t="shared" si="4"/>
        <v>0</v>
      </c>
      <c r="N34" s="1312">
        <f t="shared" si="24"/>
        <v>525000</v>
      </c>
      <c r="O34" s="1440">
        <f t="shared" si="5"/>
        <v>1</v>
      </c>
      <c r="P34" s="1648">
        <v>0</v>
      </c>
      <c r="Q34" s="414">
        <f t="shared" si="22"/>
        <v>0</v>
      </c>
      <c r="R34" s="1494" t="str">
        <f t="shared" si="23"/>
        <v>0,00%</v>
      </c>
      <c r="S34" s="972">
        <v>0</v>
      </c>
      <c r="T34" s="438">
        <v>0</v>
      </c>
      <c r="U34" s="439">
        <v>0</v>
      </c>
      <c r="V34" s="438">
        <v>0</v>
      </c>
      <c r="W34" s="439">
        <v>0</v>
      </c>
      <c r="X34" s="1225">
        <v>0</v>
      </c>
      <c r="Y34" s="1309">
        <v>0</v>
      </c>
      <c r="Z34" s="440">
        <v>0</v>
      </c>
      <c r="AA34" s="441">
        <v>0</v>
      </c>
      <c r="AB34" s="440">
        <v>0</v>
      </c>
      <c r="AC34" s="441">
        <v>0</v>
      </c>
      <c r="AD34" s="438">
        <v>0</v>
      </c>
      <c r="AE34" s="439">
        <v>0</v>
      </c>
      <c r="AF34" s="438">
        <v>0</v>
      </c>
      <c r="AG34" s="441">
        <v>0</v>
      </c>
      <c r="AH34" s="440">
        <v>0</v>
      </c>
      <c r="AI34" s="847">
        <v>0</v>
      </c>
      <c r="AJ34" s="663">
        <v>0</v>
      </c>
      <c r="AK34" s="663">
        <v>0</v>
      </c>
      <c r="AL34" s="847">
        <v>0</v>
      </c>
      <c r="AM34" s="1133">
        <v>0</v>
      </c>
      <c r="AN34" s="1233"/>
      <c r="AO34" s="1775"/>
      <c r="AP34" s="1775"/>
      <c r="AQ34" s="1775"/>
      <c r="AR34" s="1775"/>
      <c r="AS34" s="1233"/>
      <c r="AT34" s="1233"/>
      <c r="AU34" s="1233"/>
      <c r="AV34" s="1233"/>
      <c r="AW34" s="1233"/>
    </row>
    <row r="35" spans="1:49" s="374" customFormat="1" ht="15" hidden="1" customHeight="1" x14ac:dyDescent="0.2">
      <c r="B35" s="436"/>
      <c r="C35" s="125"/>
      <c r="D35" s="313"/>
      <c r="E35" s="313">
        <v>5</v>
      </c>
      <c r="F35" s="313"/>
      <c r="G35" s="767" t="s">
        <v>633</v>
      </c>
      <c r="H35" s="1365">
        <f>+'P02 2023'!I23</f>
        <v>285000</v>
      </c>
      <c r="I35" s="1425">
        <f>+'P02 2023'!FL31</f>
        <v>285000</v>
      </c>
      <c r="J35" s="1424">
        <f ca="1">SUMIF(S$3:$AM25,"ok",S35:AM35)</f>
        <v>285000</v>
      </c>
      <c r="K35" s="1433">
        <f ca="1">IFERROR(J35/I35,"0.00%")</f>
        <v>1</v>
      </c>
      <c r="L35" s="1313">
        <f>+'P02 2023'!FM37</f>
        <v>285000</v>
      </c>
      <c r="M35" s="1433">
        <f>IFERROR(+#REF!/I35,0)</f>
        <v>0</v>
      </c>
      <c r="N35" s="1425">
        <f t="shared" si="24"/>
        <v>0</v>
      </c>
      <c r="O35" s="1440">
        <f t="shared" si="5"/>
        <v>0</v>
      </c>
      <c r="P35" s="1658">
        <f>+'P02 2022'!GQ30</f>
        <v>302955</v>
      </c>
      <c r="Q35" s="1571">
        <f t="shared" si="22"/>
        <v>174332</v>
      </c>
      <c r="R35" s="1494">
        <f t="shared" si="23"/>
        <v>0.57543859649122808</v>
      </c>
      <c r="S35" s="974">
        <f>+'P02 2023'!K28</f>
        <v>30000</v>
      </c>
      <c r="T35" s="438">
        <v>0</v>
      </c>
      <c r="U35" s="439">
        <f>+'P02 2023'!R16</f>
        <v>55000</v>
      </c>
      <c r="V35" s="438">
        <f>+'P02 2022'!Q5</f>
        <v>103111</v>
      </c>
      <c r="W35" s="439">
        <v>0</v>
      </c>
      <c r="X35" s="440">
        <f>+'P02 2022'!AS11</f>
        <v>55276</v>
      </c>
      <c r="Y35" s="441">
        <v>0</v>
      </c>
      <c r="Z35" s="440">
        <v>0</v>
      </c>
      <c r="AA35" s="441">
        <f>+'P02 2023'!BZ18</f>
        <v>200000</v>
      </c>
      <c r="AB35" s="440">
        <v>0</v>
      </c>
      <c r="AC35" s="441">
        <v>0</v>
      </c>
      <c r="AD35" s="438">
        <v>0</v>
      </c>
      <c r="AE35" s="439">
        <v>0</v>
      </c>
      <c r="AF35" s="438">
        <f>+'P02 2022'!EF20</f>
        <v>15945</v>
      </c>
      <c r="AG35" s="441">
        <v>0</v>
      </c>
      <c r="AH35" s="440">
        <v>0</v>
      </c>
      <c r="AI35" s="847">
        <v>0</v>
      </c>
      <c r="AJ35" s="663">
        <v>0</v>
      </c>
      <c r="AK35" s="663">
        <v>0</v>
      </c>
      <c r="AL35" s="847">
        <f>+'P02 2022'!IE23</f>
        <v>106000</v>
      </c>
      <c r="AM35" s="1133">
        <f>+'P02 2022'!JC15</f>
        <v>15000</v>
      </c>
      <c r="AN35" s="1233"/>
      <c r="AO35" s="1775"/>
      <c r="AP35" s="1775"/>
      <c r="AQ35" s="1775"/>
      <c r="AR35" s="1775"/>
      <c r="AS35" s="1233"/>
      <c r="AT35" s="1233"/>
      <c r="AU35" s="1233"/>
      <c r="AV35" s="1233"/>
      <c r="AW35" s="1233"/>
    </row>
    <row r="36" spans="1:49" s="374" customFormat="1" ht="15" hidden="1" customHeight="1" x14ac:dyDescent="0.2">
      <c r="B36" s="436"/>
      <c r="C36" s="125"/>
      <c r="D36" s="313"/>
      <c r="E36" s="313">
        <v>6</v>
      </c>
      <c r="F36" s="313"/>
      <c r="G36" s="767" t="s">
        <v>492</v>
      </c>
      <c r="H36" s="1365">
        <f>+'P02 2023'!I25</f>
        <v>150000</v>
      </c>
      <c r="I36" s="1312">
        <f>+'P02 2023'!FL32</f>
        <v>120000</v>
      </c>
      <c r="J36" s="1362">
        <f ca="1">SUMIF(S$3:$AM26,"ok",S36:AM36)</f>
        <v>120000</v>
      </c>
      <c r="K36" s="1430">
        <f ca="1">IFERROR(J36/I36,"0.00%")</f>
        <v>1</v>
      </c>
      <c r="L36" s="1426">
        <f>+'P02 2023'!FM36</f>
        <v>120000</v>
      </c>
      <c r="M36" s="1430">
        <f t="shared" si="4"/>
        <v>1</v>
      </c>
      <c r="N36" s="1312">
        <f t="shared" si="24"/>
        <v>0</v>
      </c>
      <c r="O36" s="1440">
        <f t="shared" si="5"/>
        <v>0</v>
      </c>
      <c r="P36" s="1658">
        <f>+'P02 2022'!GQ32</f>
        <v>127560</v>
      </c>
      <c r="Q36" s="1571">
        <f t="shared" si="22"/>
        <v>127560</v>
      </c>
      <c r="R36" s="1494">
        <f t="shared" si="23"/>
        <v>1</v>
      </c>
      <c r="S36" s="1095">
        <v>0</v>
      </c>
      <c r="T36" s="438">
        <v>0</v>
      </c>
      <c r="U36" s="439">
        <v>0</v>
      </c>
      <c r="V36" s="438">
        <v>0</v>
      </c>
      <c r="W36" s="439">
        <v>0</v>
      </c>
      <c r="X36" s="440">
        <v>0</v>
      </c>
      <c r="Y36" s="441">
        <v>0</v>
      </c>
      <c r="Z36" s="440">
        <v>0</v>
      </c>
      <c r="AA36" s="441">
        <v>0</v>
      </c>
      <c r="AB36" s="440">
        <v>0</v>
      </c>
      <c r="AC36" s="441">
        <f>+'P02 2023'!CS10</f>
        <v>120000</v>
      </c>
      <c r="AD36" s="438">
        <f>+'P02 2022'!DE18</f>
        <v>102048</v>
      </c>
      <c r="AE36" s="439">
        <v>0</v>
      </c>
      <c r="AF36" s="438">
        <f>+'P02 2022'!EF18</f>
        <v>25512</v>
      </c>
      <c r="AG36" s="441">
        <v>0</v>
      </c>
      <c r="AH36" s="440">
        <v>0</v>
      </c>
      <c r="AI36" s="847">
        <v>0</v>
      </c>
      <c r="AJ36" s="663">
        <v>0</v>
      </c>
      <c r="AK36" s="663"/>
      <c r="AL36" s="847">
        <v>0</v>
      </c>
      <c r="AM36" s="1133">
        <v>0</v>
      </c>
      <c r="AN36" s="1233"/>
      <c r="AO36" s="1775"/>
      <c r="AP36" s="1775"/>
      <c r="AQ36" s="1775"/>
      <c r="AR36" s="1775"/>
      <c r="AS36" s="1233"/>
      <c r="AT36" s="1233"/>
      <c r="AU36" s="1233"/>
      <c r="AV36" s="1233"/>
      <c r="AW36" s="1233"/>
    </row>
    <row r="37" spans="1:49" s="374" customFormat="1" ht="15" customHeight="1" x14ac:dyDescent="0.25">
      <c r="B37" s="407">
        <v>25</v>
      </c>
      <c r="C37" s="134"/>
      <c r="D37" s="134"/>
      <c r="E37" s="141"/>
      <c r="F37" s="141"/>
      <c r="G37" s="468" t="s">
        <v>546</v>
      </c>
      <c r="H37" s="1359">
        <f>+H38</f>
        <v>0</v>
      </c>
      <c r="I37" s="1360">
        <f>+I38</f>
        <v>0</v>
      </c>
      <c r="J37" s="1360">
        <f ca="1">+J38</f>
        <v>48266.356999999996</v>
      </c>
      <c r="K37" s="1432" t="str">
        <f ca="1">IFERROR(J37/I37,"0,00%")</f>
        <v>0,00%</v>
      </c>
      <c r="L37" s="409">
        <f>+L38</f>
        <v>48266.357000000004</v>
      </c>
      <c r="M37" s="1432">
        <f t="shared" si="4"/>
        <v>0</v>
      </c>
      <c r="N37" s="1360">
        <f t="shared" si="19"/>
        <v>-48266.357000000004</v>
      </c>
      <c r="O37" s="1441">
        <f t="shared" si="5"/>
        <v>0</v>
      </c>
      <c r="P37" s="1754">
        <f>+P38</f>
        <v>0</v>
      </c>
      <c r="Q37" s="409">
        <f>+Q38</f>
        <v>0</v>
      </c>
      <c r="R37" s="1439" t="str">
        <f t="shared" si="23"/>
        <v>0,00%</v>
      </c>
      <c r="S37" s="900">
        <f>+S38</f>
        <v>0</v>
      </c>
      <c r="T37" s="1126">
        <v>0</v>
      </c>
      <c r="U37" s="973">
        <v>0</v>
      </c>
      <c r="V37" s="415">
        <v>0</v>
      </c>
      <c r="W37" s="416">
        <v>0</v>
      </c>
      <c r="X37" s="417">
        <v>0</v>
      </c>
      <c r="Y37" s="434">
        <v>0</v>
      </c>
      <c r="Z37" s="417">
        <v>0</v>
      </c>
      <c r="AA37" s="434">
        <f>+AA38</f>
        <v>47802.256999999998</v>
      </c>
      <c r="AB37" s="417">
        <v>0</v>
      </c>
      <c r="AC37" s="434">
        <f>+AC38</f>
        <v>0</v>
      </c>
      <c r="AD37" s="415">
        <f>+AD38</f>
        <v>0</v>
      </c>
      <c r="AE37" s="416">
        <f>+AE38</f>
        <v>464.1</v>
      </c>
      <c r="AF37" s="415">
        <v>0</v>
      </c>
      <c r="AG37" s="434">
        <v>0</v>
      </c>
      <c r="AH37" s="417">
        <v>0</v>
      </c>
      <c r="AI37" s="448">
        <v>0</v>
      </c>
      <c r="AJ37" s="448">
        <v>0</v>
      </c>
      <c r="AK37" s="448">
        <v>0</v>
      </c>
      <c r="AL37" s="448">
        <v>0</v>
      </c>
      <c r="AM37" s="959">
        <v>0</v>
      </c>
      <c r="AN37" s="1233"/>
      <c r="AO37" s="1775"/>
      <c r="AP37" s="1775"/>
      <c r="AQ37" s="1775"/>
      <c r="AR37" s="1775"/>
      <c r="AS37" s="1233"/>
      <c r="AT37" s="1233"/>
      <c r="AU37" s="1233"/>
      <c r="AV37" s="1233"/>
      <c r="AW37" s="1233"/>
    </row>
    <row r="38" spans="1:49" s="374" customFormat="1" ht="15" hidden="1" customHeight="1" x14ac:dyDescent="0.2">
      <c r="B38" s="436"/>
      <c r="C38" s="125">
        <v>99</v>
      </c>
      <c r="D38" s="125"/>
      <c r="E38" s="313">
        <v>1</v>
      </c>
      <c r="F38" s="313"/>
      <c r="G38" s="768" t="s">
        <v>545</v>
      </c>
      <c r="H38" s="1364">
        <v>0</v>
      </c>
      <c r="I38" s="1363">
        <v>0</v>
      </c>
      <c r="J38" s="1363">
        <f ca="1">SUMIF(X$3:$AM28,"ok",X38:AM38)</f>
        <v>48266.356999999996</v>
      </c>
      <c r="K38" s="1434" t="str">
        <f ca="1">IFERROR(J38/I38,"0,00%")</f>
        <v>0,00%</v>
      </c>
      <c r="L38" s="1426">
        <f>+L39</f>
        <v>48266.357000000004</v>
      </c>
      <c r="M38" s="1430">
        <f t="shared" si="4"/>
        <v>0</v>
      </c>
      <c r="N38" s="1363">
        <f>+I38-L38</f>
        <v>-48266.357000000004</v>
      </c>
      <c r="O38" s="1440">
        <f t="shared" si="5"/>
        <v>0</v>
      </c>
      <c r="P38" s="1648">
        <v>0</v>
      </c>
      <c r="Q38" s="414">
        <f>SUMIF($S$3:$AM$3,"SI",S38:AM38)</f>
        <v>0</v>
      </c>
      <c r="R38" s="1494" t="str">
        <f t="shared" si="23"/>
        <v>0,00%</v>
      </c>
      <c r="S38" s="972">
        <v>0</v>
      </c>
      <c r="T38" s="438">
        <v>0</v>
      </c>
      <c r="U38" s="439">
        <v>0</v>
      </c>
      <c r="V38" s="438">
        <v>0</v>
      </c>
      <c r="W38" s="439">
        <v>0</v>
      </c>
      <c r="X38" s="440">
        <v>0</v>
      </c>
      <c r="Y38" s="441">
        <v>0</v>
      </c>
      <c r="Z38" s="440">
        <v>0</v>
      </c>
      <c r="AA38" s="441">
        <f>+'P02 2023'!BZ19</f>
        <v>47802.256999999998</v>
      </c>
      <c r="AB38" s="440"/>
      <c r="AC38" s="441">
        <v>0</v>
      </c>
      <c r="AD38" s="438">
        <v>0</v>
      </c>
      <c r="AE38" s="439">
        <f>+'P02 2023'!DM9</f>
        <v>464.1</v>
      </c>
      <c r="AF38" s="438">
        <v>0</v>
      </c>
      <c r="AG38" s="441">
        <v>0</v>
      </c>
      <c r="AH38" s="440">
        <v>0</v>
      </c>
      <c r="AI38" s="847">
        <v>0</v>
      </c>
      <c r="AJ38" s="847">
        <v>0</v>
      </c>
      <c r="AK38" s="847">
        <v>0</v>
      </c>
      <c r="AL38" s="847">
        <v>0</v>
      </c>
      <c r="AM38" s="1133">
        <v>0</v>
      </c>
      <c r="AN38" s="1233"/>
      <c r="AO38" s="1775"/>
      <c r="AP38" s="1775"/>
      <c r="AQ38" s="1775"/>
      <c r="AR38" s="1775"/>
      <c r="AS38" s="1233"/>
      <c r="AT38" s="1233"/>
      <c r="AU38" s="1233"/>
      <c r="AV38" s="1233"/>
      <c r="AW38" s="1233"/>
    </row>
    <row r="39" spans="1:49" s="374" customFormat="1" ht="15" hidden="1" customHeight="1" x14ac:dyDescent="0.2">
      <c r="B39" s="436"/>
      <c r="C39" s="125"/>
      <c r="D39" s="125">
        <v>999</v>
      </c>
      <c r="E39" s="313"/>
      <c r="F39" s="313"/>
      <c r="G39" s="768" t="s">
        <v>51</v>
      </c>
      <c r="H39" s="1364">
        <v>0</v>
      </c>
      <c r="I39" s="1363">
        <v>0</v>
      </c>
      <c r="J39" s="1363">
        <f ca="1">SUMIF(X$3:$AM29,"ok",X39:AM39)</f>
        <v>48266.356999999996</v>
      </c>
      <c r="K39" s="1434" t="str">
        <f ca="1">IFERROR(J39/I39,"0,00%")</f>
        <v>0,00%</v>
      </c>
      <c r="L39" s="1426">
        <f>+'P02 2023'!FM43</f>
        <v>48266.357000000004</v>
      </c>
      <c r="M39" s="1430">
        <f t="shared" si="4"/>
        <v>0</v>
      </c>
      <c r="N39" s="1363">
        <v>0</v>
      </c>
      <c r="O39" s="1440">
        <f t="shared" si="5"/>
        <v>0</v>
      </c>
      <c r="P39" s="1648">
        <v>0</v>
      </c>
      <c r="Q39" s="414">
        <v>0</v>
      </c>
      <c r="R39" s="1494">
        <v>0</v>
      </c>
      <c r="S39" s="972">
        <v>0</v>
      </c>
      <c r="T39" s="438">
        <v>0</v>
      </c>
      <c r="U39" s="439">
        <v>0</v>
      </c>
      <c r="V39" s="438">
        <v>0</v>
      </c>
      <c r="W39" s="439">
        <v>0</v>
      </c>
      <c r="X39" s="440">
        <v>0</v>
      </c>
      <c r="Y39" s="441">
        <v>0</v>
      </c>
      <c r="Z39" s="440">
        <v>0</v>
      </c>
      <c r="AA39" s="441">
        <f>+AA38</f>
        <v>47802.256999999998</v>
      </c>
      <c r="AB39" s="440">
        <v>0</v>
      </c>
      <c r="AC39" s="441">
        <v>0</v>
      </c>
      <c r="AD39" s="438">
        <v>0</v>
      </c>
      <c r="AE39" s="439">
        <f>+'P02 2023'!DM9</f>
        <v>464.1</v>
      </c>
      <c r="AF39" s="438">
        <v>0</v>
      </c>
      <c r="AG39" s="441">
        <v>0</v>
      </c>
      <c r="AH39" s="440">
        <v>0</v>
      </c>
      <c r="AI39" s="847">
        <v>0</v>
      </c>
      <c r="AJ39" s="847">
        <v>0</v>
      </c>
      <c r="AK39" s="847">
        <v>0</v>
      </c>
      <c r="AL39" s="847">
        <v>0</v>
      </c>
      <c r="AM39" s="1133">
        <v>0</v>
      </c>
      <c r="AN39" s="1233"/>
      <c r="AO39" s="1775"/>
      <c r="AP39" s="1775"/>
      <c r="AQ39" s="1775"/>
      <c r="AR39" s="1775"/>
      <c r="AS39" s="1233"/>
      <c r="AT39" s="1233"/>
      <c r="AU39" s="1233"/>
      <c r="AV39" s="1233"/>
      <c r="AW39" s="1233"/>
    </row>
    <row r="40" spans="1:49" s="374" customFormat="1" ht="15" customHeight="1" x14ac:dyDescent="0.25">
      <c r="A40" s="446"/>
      <c r="B40" s="407" t="s">
        <v>1031</v>
      </c>
      <c r="C40" s="134" t="s">
        <v>2</v>
      </c>
      <c r="D40" s="129"/>
      <c r="E40" s="433"/>
      <c r="F40" s="433"/>
      <c r="G40" s="468" t="s">
        <v>150</v>
      </c>
      <c r="H40" s="1359">
        <f>+H41</f>
        <v>1184225</v>
      </c>
      <c r="I40" s="1360">
        <f>+I41</f>
        <v>964225</v>
      </c>
      <c r="J40" s="1360">
        <f ca="1">+J41</f>
        <v>194778.79499999998</v>
      </c>
      <c r="K40" s="1432">
        <f t="shared" ca="1" si="7"/>
        <v>0.20200554331198628</v>
      </c>
      <c r="L40" s="1361">
        <f>+L41</f>
        <v>357236.60500000004</v>
      </c>
      <c r="M40" s="1432">
        <f t="shared" si="4"/>
        <v>0.37049091757629188</v>
      </c>
      <c r="N40" s="1361">
        <f>+I40-L40</f>
        <v>606988.39500000002</v>
      </c>
      <c r="O40" s="1441">
        <f t="shared" si="5"/>
        <v>0.62950908242370818</v>
      </c>
      <c r="P40" s="1490">
        <f>+P41</f>
        <v>1237260.7790000001</v>
      </c>
      <c r="Q40" s="409">
        <f>+Q41</f>
        <v>379994.21888499998</v>
      </c>
      <c r="R40" s="1439">
        <f t="shared" si="23"/>
        <v>0.3071254058438071</v>
      </c>
      <c r="S40" s="973">
        <f>+S41</f>
        <v>0</v>
      </c>
      <c r="T40" s="402">
        <f>+T41</f>
        <v>10764.484381999999</v>
      </c>
      <c r="U40" s="403">
        <f t="shared" ref="U40:AB40" si="25">+U41</f>
        <v>19511.238000000001</v>
      </c>
      <c r="V40" s="402">
        <f t="shared" si="25"/>
        <v>11047.058483000001</v>
      </c>
      <c r="W40" s="403">
        <f>+W41</f>
        <v>48758.587</v>
      </c>
      <c r="X40" s="404">
        <f t="shared" si="25"/>
        <v>41700.506724999999</v>
      </c>
      <c r="Y40" s="435">
        <f>+Y41</f>
        <v>0</v>
      </c>
      <c r="Z40" s="404">
        <f>+Z41</f>
        <v>10980.339287999999</v>
      </c>
      <c r="AA40" s="435">
        <f t="shared" si="25"/>
        <v>26549.508999999998</v>
      </c>
      <c r="AB40" s="404">
        <f t="shared" si="25"/>
        <v>7279.8821529999996</v>
      </c>
      <c r="AC40" s="435">
        <f t="shared" ref="AC40:AF40" si="26">+AC41</f>
        <v>4428.6390000000001</v>
      </c>
      <c r="AD40" s="402">
        <f t="shared" si="26"/>
        <v>15850.784184</v>
      </c>
      <c r="AE40" s="403">
        <f>+AE41</f>
        <v>9717.2749999999996</v>
      </c>
      <c r="AF40" s="402">
        <f t="shared" si="26"/>
        <v>69901.758535000001</v>
      </c>
      <c r="AG40" s="435">
        <f t="shared" ref="AG40:AJ41" si="27">+AG41</f>
        <v>11727.484</v>
      </c>
      <c r="AH40" s="404">
        <f t="shared" si="27"/>
        <v>118409.590763</v>
      </c>
      <c r="AI40" s="447">
        <f>+AI41</f>
        <v>74086.062999999995</v>
      </c>
      <c r="AJ40" s="447">
        <f t="shared" si="27"/>
        <v>94059.814371999993</v>
      </c>
      <c r="AK40" s="447">
        <f t="shared" ref="AK40:AM41" si="28">+AK41</f>
        <v>43102.843999999997</v>
      </c>
      <c r="AL40" s="447">
        <f t="shared" si="28"/>
        <v>279678.85599999997</v>
      </c>
      <c r="AM40" s="447">
        <f>+AM41</f>
        <v>421937.13500000001</v>
      </c>
      <c r="AN40" s="1233"/>
      <c r="AO40" s="1775"/>
      <c r="AP40" s="1775"/>
      <c r="AQ40" s="1775"/>
      <c r="AR40" s="1775"/>
      <c r="AS40" s="1233"/>
      <c r="AT40" s="1233"/>
      <c r="AU40" s="1233"/>
      <c r="AV40" s="1233"/>
      <c r="AW40" s="1233"/>
    </row>
    <row r="41" spans="1:49" s="374" customFormat="1" ht="15" customHeight="1" x14ac:dyDescent="0.25">
      <c r="A41" s="446"/>
      <c r="B41" s="757"/>
      <c r="C41" s="357">
        <v>3</v>
      </c>
      <c r="D41" s="758"/>
      <c r="E41" s="1630"/>
      <c r="F41" s="1630"/>
      <c r="G41" s="1498" t="s">
        <v>87</v>
      </c>
      <c r="H41" s="1479">
        <f>+H42</f>
        <v>1184225</v>
      </c>
      <c r="I41" s="1480">
        <f>+I42</f>
        <v>964225</v>
      </c>
      <c r="J41" s="1480">
        <f ca="1">SUMIF(S$3:$AM31,"ok",S41:AM41)</f>
        <v>194778.79499999998</v>
      </c>
      <c r="K41" s="1431">
        <f t="shared" ca="1" si="7"/>
        <v>0.20200554331198628</v>
      </c>
      <c r="L41" s="1367">
        <f>+L42</f>
        <v>357236.60500000004</v>
      </c>
      <c r="M41" s="1431">
        <f t="shared" si="4"/>
        <v>0.37049091757629188</v>
      </c>
      <c r="N41" s="1367">
        <f>+I41-L41</f>
        <v>606988.39500000002</v>
      </c>
      <c r="O41" s="1442">
        <f t="shared" si="5"/>
        <v>0.62950908242370818</v>
      </c>
      <c r="P41" s="1499">
        <f>+P42</f>
        <v>1237260.7790000001</v>
      </c>
      <c r="Q41" s="1500">
        <f>+Q42</f>
        <v>379994.21888499998</v>
      </c>
      <c r="R41" s="1631" t="str">
        <f>IFERROR(Q4/P4,"0,00%")</f>
        <v>0,00%</v>
      </c>
      <c r="S41" s="1649">
        <f>+S42</f>
        <v>0</v>
      </c>
      <c r="T41" s="1529">
        <f>+T42</f>
        <v>10764.484381999999</v>
      </c>
      <c r="U41" s="1530">
        <f>+U42</f>
        <v>19511.238000000001</v>
      </c>
      <c r="V41" s="1529">
        <f>+V42</f>
        <v>11047.058483000001</v>
      </c>
      <c r="W41" s="1530">
        <f>+W42</f>
        <v>48758.587</v>
      </c>
      <c r="X41" s="1535">
        <f>+X42</f>
        <v>41700.506724999999</v>
      </c>
      <c r="Y41" s="1537">
        <f>+Y42</f>
        <v>0</v>
      </c>
      <c r="Z41" s="1535">
        <f>+Z42</f>
        <v>10980.339287999999</v>
      </c>
      <c r="AA41" s="1537">
        <f t="shared" ref="AA41:AF41" si="29">+AA42</f>
        <v>26549.508999999998</v>
      </c>
      <c r="AB41" s="1535">
        <f t="shared" si="29"/>
        <v>7279.8821529999996</v>
      </c>
      <c r="AC41" s="1537">
        <f t="shared" si="29"/>
        <v>4428.6390000000001</v>
      </c>
      <c r="AD41" s="1529">
        <f t="shared" si="29"/>
        <v>15850.784184</v>
      </c>
      <c r="AE41" s="1537">
        <f t="shared" si="29"/>
        <v>9717.2749999999996</v>
      </c>
      <c r="AF41" s="1529">
        <f t="shared" si="29"/>
        <v>69901.758535000001</v>
      </c>
      <c r="AG41" s="1537">
        <f t="shared" si="27"/>
        <v>11727.484</v>
      </c>
      <c r="AH41" s="1535">
        <f t="shared" si="27"/>
        <v>118409.590763</v>
      </c>
      <c r="AI41" s="1536">
        <f>+AI42</f>
        <v>74086.062999999995</v>
      </c>
      <c r="AJ41" s="1536">
        <f t="shared" si="27"/>
        <v>94059.814371999993</v>
      </c>
      <c r="AK41" s="1536">
        <f t="shared" si="28"/>
        <v>43102.843999999997</v>
      </c>
      <c r="AL41" s="1536">
        <f t="shared" si="28"/>
        <v>279678.85599999997</v>
      </c>
      <c r="AM41" s="1650">
        <f t="shared" si="28"/>
        <v>421937.13500000001</v>
      </c>
      <c r="AN41" s="1233"/>
      <c r="AO41" s="1775"/>
      <c r="AP41" s="1775"/>
      <c r="AQ41" s="1775"/>
      <c r="AR41" s="1775"/>
      <c r="AS41" s="1233"/>
      <c r="AT41" s="1233"/>
      <c r="AU41" s="1233"/>
      <c r="AV41" s="1233"/>
      <c r="AW41" s="1233"/>
    </row>
    <row r="42" spans="1:49" s="392" customFormat="1" ht="15" customHeight="1" x14ac:dyDescent="0.25">
      <c r="A42" s="446"/>
      <c r="B42" s="757"/>
      <c r="C42" s="357"/>
      <c r="D42" s="1641">
        <v>602</v>
      </c>
      <c r="E42" s="1630"/>
      <c r="F42" s="1630"/>
      <c r="G42" s="1478" t="s">
        <v>324</v>
      </c>
      <c r="H42" s="1479">
        <f>+SUM(H43:H47)</f>
        <v>1184225</v>
      </c>
      <c r="I42" s="1480">
        <f>SUM(I43:I47)</f>
        <v>964225</v>
      </c>
      <c r="J42" s="1480">
        <f ca="1">SUMIF(S$3:$AM36,"ok",S42:AM42)</f>
        <v>194778.79499999998</v>
      </c>
      <c r="K42" s="1431">
        <f t="shared" ca="1" si="7"/>
        <v>0.20200554331198628</v>
      </c>
      <c r="L42" s="1312">
        <f>SUM(L43:L47)</f>
        <v>357236.60500000004</v>
      </c>
      <c r="M42" s="1431">
        <f t="shared" si="4"/>
        <v>0.37049091757629188</v>
      </c>
      <c r="N42" s="1367">
        <f>+I42-L42</f>
        <v>606988.39500000002</v>
      </c>
      <c r="O42" s="1442">
        <f t="shared" si="5"/>
        <v>0.62950908242370818</v>
      </c>
      <c r="P42" s="1632">
        <f>+SUM(P43:P47)</f>
        <v>1237260.7790000001</v>
      </c>
      <c r="Q42" s="1500">
        <f>+Q44+Q43+Q45+Q46</f>
        <v>379994.21888499998</v>
      </c>
      <c r="R42" s="1631">
        <f t="shared" ref="R42:R47" si="30">IFERROR(Q42/P42,"0,00%")</f>
        <v>0.3071254058438071</v>
      </c>
      <c r="S42" s="1649">
        <f>SUM(S43:S47)</f>
        <v>0</v>
      </c>
      <c r="T42" s="1529">
        <f>+SUM(T43:T47)</f>
        <v>10764.484381999999</v>
      </c>
      <c r="U42" s="1530">
        <f>+SUM(U43:U45)</f>
        <v>19511.238000000001</v>
      </c>
      <c r="V42" s="1529">
        <f>+SUM(V43:V45)</f>
        <v>11047.058483000001</v>
      </c>
      <c r="W42" s="1530">
        <f>SUM(W43:W47)</f>
        <v>48758.587</v>
      </c>
      <c r="X42" s="1535">
        <f>SUM(X43:X46)</f>
        <v>41700.506724999999</v>
      </c>
      <c r="Y42" s="1537">
        <f>SUM(Y43:Y47)</f>
        <v>0</v>
      </c>
      <c r="Z42" s="1535">
        <f>SUM(Z43:Z47)</f>
        <v>10980.339287999999</v>
      </c>
      <c r="AA42" s="1537">
        <f>SUM(AA43:AA47)</f>
        <v>26549.508999999998</v>
      </c>
      <c r="AB42" s="1535">
        <f>SUM(AB43:AB47)</f>
        <v>7279.8821529999996</v>
      </c>
      <c r="AC42" s="1537">
        <f>+SUM(AC43:AC47)</f>
        <v>4428.6390000000001</v>
      </c>
      <c r="AD42" s="1529">
        <f>+SUM(AD43:AD47)</f>
        <v>15850.784184</v>
      </c>
      <c r="AE42" s="1537">
        <f>+SUM(AE43:AE47)</f>
        <v>9717.2749999999996</v>
      </c>
      <c r="AF42" s="1529">
        <f>+SUM(AF43:AF47)</f>
        <v>69901.758535000001</v>
      </c>
      <c r="AG42" s="1537">
        <f>SUM(AG43:AG47)</f>
        <v>11727.484</v>
      </c>
      <c r="AH42" s="1535">
        <f>SUM(AH43:AH47)</f>
        <v>118409.590763</v>
      </c>
      <c r="AI42" s="1651">
        <f>SUM(AI43:AI47)</f>
        <v>74086.062999999995</v>
      </c>
      <c r="AJ42" s="1651">
        <f>SUM(AJ43:AJ47)</f>
        <v>94059.814371999993</v>
      </c>
      <c r="AK42" s="1651">
        <f>SUM(AK43:AK45)</f>
        <v>43102.843999999997</v>
      </c>
      <c r="AL42" s="1536">
        <f>+SUM(AL43:AL47)</f>
        <v>279678.85599999997</v>
      </c>
      <c r="AM42" s="1650">
        <f>SUM(AM43:AM47)</f>
        <v>421937.13500000001</v>
      </c>
      <c r="AN42" s="1233"/>
      <c r="AO42" s="1775"/>
      <c r="AP42" s="1775"/>
      <c r="AQ42" s="1775"/>
      <c r="AR42" s="1775"/>
      <c r="AS42" s="1233"/>
      <c r="AT42" s="1233"/>
      <c r="AU42" s="1233"/>
      <c r="AV42" s="620"/>
    </row>
    <row r="43" spans="1:49" s="374" customFormat="1" ht="15" hidden="1" customHeight="1" x14ac:dyDescent="0.2">
      <c r="B43" s="436"/>
      <c r="C43" s="125"/>
      <c r="D43" s="418"/>
      <c r="E43" s="313">
        <v>1</v>
      </c>
      <c r="F43" s="313"/>
      <c r="G43" s="767" t="s">
        <v>346</v>
      </c>
      <c r="H43" s="1365">
        <f>+'P02 2023'!I29</f>
        <v>520000</v>
      </c>
      <c r="I43" s="1312">
        <f>+'P02 2023'!FL44</f>
        <v>300000</v>
      </c>
      <c r="J43" s="1362">
        <f ca="1">SUMIF(S$3:$AM36,"ok",S43:AM43)</f>
        <v>7298.8450000000003</v>
      </c>
      <c r="K43" s="1430">
        <f t="shared" ca="1" si="7"/>
        <v>2.4329483333333336E-2</v>
      </c>
      <c r="L43" s="1362">
        <f>+'P02 2023'!FM45</f>
        <v>33226.521000000001</v>
      </c>
      <c r="M43" s="1430">
        <f t="shared" si="4"/>
        <v>0.11075507</v>
      </c>
      <c r="N43" s="1363">
        <f>+I43-L43</f>
        <v>266773.47899999999</v>
      </c>
      <c r="O43" s="1440">
        <f t="shared" si="5"/>
        <v>0.88924492999999993</v>
      </c>
      <c r="P43" s="1648">
        <f>+'P02 2022'!GQ42</f>
        <v>552760</v>
      </c>
      <c r="Q43" s="414">
        <f>SUMIF($S$3:$AM$3,"SI",S43:AM43)</f>
        <v>138149.410408</v>
      </c>
      <c r="R43" s="1494">
        <f t="shared" si="30"/>
        <v>0.24992656923076922</v>
      </c>
      <c r="S43" s="972">
        <v>0</v>
      </c>
      <c r="T43" s="438">
        <v>0</v>
      </c>
      <c r="U43" s="439">
        <v>0</v>
      </c>
      <c r="V43" s="438">
        <v>0</v>
      </c>
      <c r="W43" s="439">
        <v>0</v>
      </c>
      <c r="X43" s="440">
        <f>+'P02 2022'!AS12</f>
        <v>14882</v>
      </c>
      <c r="Y43" s="441">
        <v>0</v>
      </c>
      <c r="Z43" s="1304">
        <v>0</v>
      </c>
      <c r="AA43" s="553">
        <v>0</v>
      </c>
      <c r="AB43" s="440">
        <v>0</v>
      </c>
      <c r="AC43" s="441">
        <v>0</v>
      </c>
      <c r="AD43" s="438">
        <v>0</v>
      </c>
      <c r="AE43" s="439">
        <v>0</v>
      </c>
      <c r="AF43" s="438">
        <v>0</v>
      </c>
      <c r="AG43" s="441">
        <f>+'P02 2023'!EG10</f>
        <v>7298.8450000000003</v>
      </c>
      <c r="AH43" s="440">
        <f>+'P02 2022'!FG20</f>
        <v>36142</v>
      </c>
      <c r="AI43" s="847">
        <v>0</v>
      </c>
      <c r="AJ43" s="663">
        <f>+'P02 2022'!GE12</f>
        <v>87125.410407999996</v>
      </c>
      <c r="AK43" s="663">
        <f>+'P02 2022'!HD22</f>
        <v>18776.705000000002</v>
      </c>
      <c r="AL43" s="663">
        <f>+'P02 2022'!IE28</f>
        <v>242761.47899999999</v>
      </c>
      <c r="AM43" s="1135">
        <f>+'P02 2022'!JC16</f>
        <v>239870.68599999999</v>
      </c>
      <c r="AN43" s="1233"/>
      <c r="AO43" s="1775"/>
      <c r="AP43" s="1775"/>
      <c r="AQ43" s="1775"/>
      <c r="AR43" s="1775"/>
      <c r="AS43" s="1233"/>
      <c r="AT43" s="1233"/>
      <c r="AU43" s="1233"/>
      <c r="AV43" s="495"/>
    </row>
    <row r="44" spans="1:49" s="374" customFormat="1" ht="15" hidden="1" customHeight="1" x14ac:dyDescent="0.2">
      <c r="B44" s="436"/>
      <c r="C44" s="125"/>
      <c r="D44" s="313"/>
      <c r="E44" s="313">
        <v>2</v>
      </c>
      <c r="F44" s="313"/>
      <c r="G44" s="767" t="s">
        <v>347</v>
      </c>
      <c r="H44" s="1365">
        <f>+'P02 2023'!I30</f>
        <v>300292</v>
      </c>
      <c r="I44" s="1312">
        <f>+'P02 2023'!FL46</f>
        <v>300292</v>
      </c>
      <c r="J44" s="1362">
        <f ca="1">SUMIF(S$3:$AM37,"ok",S44:AM44)</f>
        <v>144468.73799999998</v>
      </c>
      <c r="K44" s="1430">
        <f t="shared" ca="1" si="7"/>
        <v>0.48109419498354927</v>
      </c>
      <c r="L44" s="1362">
        <f>+'P02 2023'!FM47</f>
        <v>210609.46100000001</v>
      </c>
      <c r="M44" s="1430">
        <f>IFERROR(+#REF!/I44,0)</f>
        <v>0</v>
      </c>
      <c r="N44" s="1363">
        <f t="shared" ref="N44:N47" si="31">+I44-L44</f>
        <v>89682.53899999999</v>
      </c>
      <c r="O44" s="1440">
        <f t="shared" si="5"/>
        <v>0.29865110958666896</v>
      </c>
      <c r="P44" s="1648">
        <f>+'P02 2022'!GQ44</f>
        <v>297640</v>
      </c>
      <c r="Q44" s="414">
        <f>SUMIF($S$3:$AM$3,"SI",S44:AM44)</f>
        <v>147560.96047699999</v>
      </c>
      <c r="R44" s="1494">
        <f t="shared" si="30"/>
        <v>0.49576992499999994</v>
      </c>
      <c r="S44" s="972">
        <v>0</v>
      </c>
      <c r="T44" s="438">
        <f>+'P02 2022'!H33</f>
        <v>10764.484381999999</v>
      </c>
      <c r="U44" s="439">
        <f>+'P02 2023'!R19</f>
        <v>19511.238000000001</v>
      </c>
      <c r="V44" s="438">
        <f>+'P02 2022'!Q7</f>
        <v>11047.058483000001</v>
      </c>
      <c r="W44" s="439">
        <f>+'P02 2023'!AL15</f>
        <v>48758.587</v>
      </c>
      <c r="X44" s="440">
        <f>+'P02 2022'!AS13</f>
        <v>24994.398724999999</v>
      </c>
      <c r="Y44" s="1310">
        <v>0</v>
      </c>
      <c r="Z44" s="1305">
        <f>+'P02 2022'!BP8</f>
        <v>10980.339287999999</v>
      </c>
      <c r="AA44" s="553">
        <f>+'P02 2023'!BZ21</f>
        <v>26549.508999999998</v>
      </c>
      <c r="AB44" s="440">
        <f>+'P02 2022'!CR15</f>
        <v>3631.6661529999997</v>
      </c>
      <c r="AC44" s="1423">
        <f>+'P02 2023'!CS11</f>
        <v>4428.6390000000001</v>
      </c>
      <c r="AD44" s="438">
        <f>+'P02 2022'!DE21</f>
        <v>15850.784184</v>
      </c>
      <c r="AE44" s="439">
        <f>+'P02 2023'!DM10</f>
        <v>9717.2749999999996</v>
      </c>
      <c r="AF44" s="1381">
        <f>+'P02 2022'!EF22</f>
        <v>24583.942534999998</v>
      </c>
      <c r="AG44" s="1351">
        <f>+'P02 2023'!EG11</f>
        <v>4428.6390000000001</v>
      </c>
      <c r="AH44" s="440">
        <f>+'P02 2022'!FG21</f>
        <v>38773.882762999994</v>
      </c>
      <c r="AI44" s="847">
        <f>+'P02 2023'!FA8</f>
        <v>31074.850999999999</v>
      </c>
      <c r="AJ44" s="663">
        <f>+'P02 2022'!GE13</f>
        <v>6934.4039639999992</v>
      </c>
      <c r="AK44" s="663">
        <f>+'P02 2022'!HD23</f>
        <v>4726.1390000000001</v>
      </c>
      <c r="AL44" s="663">
        <f>+'P02 2022'!IE29</f>
        <v>35201.377</v>
      </c>
      <c r="AM44" s="1135">
        <f>+'P02 2022'!JC17</f>
        <v>9937.3160000000007</v>
      </c>
      <c r="AN44" s="1233"/>
      <c r="AO44" s="1775"/>
      <c r="AP44" s="1775"/>
      <c r="AQ44" s="1775"/>
      <c r="AR44" s="1775"/>
      <c r="AS44" s="1233"/>
      <c r="AT44" s="1233"/>
      <c r="AU44" s="1233"/>
      <c r="AV44" s="495"/>
    </row>
    <row r="45" spans="1:49" s="374" customFormat="1" ht="15" hidden="1" customHeight="1" x14ac:dyDescent="0.2">
      <c r="B45" s="436"/>
      <c r="C45" s="125"/>
      <c r="D45" s="313"/>
      <c r="E45" s="313">
        <v>3</v>
      </c>
      <c r="F45" s="313"/>
      <c r="G45" s="767" t="s">
        <v>533</v>
      </c>
      <c r="H45" s="1365">
        <f>+'P02 2023'!I32</f>
        <v>278933</v>
      </c>
      <c r="I45" s="1312">
        <f>+'P02 2023'!FL48</f>
        <v>278933</v>
      </c>
      <c r="J45" s="1362">
        <f ca="1">SUMIF(S$3:$AM38,"ok",S45:AM45)</f>
        <v>43011.212</v>
      </c>
      <c r="K45" s="1430">
        <f ca="1">IFERROR(J45/I45,"0.00%")</f>
        <v>0.15419908006582225</v>
      </c>
      <c r="L45" s="1362">
        <f>+'P02 2023'!FM49</f>
        <v>113400.62300000001</v>
      </c>
      <c r="M45" s="1430">
        <f t="shared" si="4"/>
        <v>0.40655147651945095</v>
      </c>
      <c r="N45" s="1363">
        <f t="shared" si="31"/>
        <v>165532.37699999998</v>
      </c>
      <c r="O45" s="1440">
        <f t="shared" si="5"/>
        <v>0.593448523480549</v>
      </c>
      <c r="P45" s="1648">
        <f>+'P02 2022'!GQ46</f>
        <v>296505.77899999998</v>
      </c>
      <c r="Q45" s="414">
        <f>SUMIF($S$3:$AM$3,"SI",S45:AM45)</f>
        <v>83339.199999999997</v>
      </c>
      <c r="R45" s="1494">
        <f t="shared" si="30"/>
        <v>0.28107108158590055</v>
      </c>
      <c r="S45" s="972">
        <v>0</v>
      </c>
      <c r="T45" s="438">
        <v>0</v>
      </c>
      <c r="U45" s="439">
        <v>0</v>
      </c>
      <c r="V45" s="438">
        <v>0</v>
      </c>
      <c r="W45" s="439">
        <v>0</v>
      </c>
      <c r="X45" s="440">
        <v>0</v>
      </c>
      <c r="Y45" s="441">
        <v>0</v>
      </c>
      <c r="Z45" s="1304">
        <v>0</v>
      </c>
      <c r="AA45" s="553">
        <v>0</v>
      </c>
      <c r="AB45" s="440">
        <v>0</v>
      </c>
      <c r="AC45" s="441">
        <v>0</v>
      </c>
      <c r="AD45" s="438">
        <v>0</v>
      </c>
      <c r="AE45" s="439">
        <v>0</v>
      </c>
      <c r="AF45" s="1381">
        <f>+'P02 2022'!EF23</f>
        <v>41669.599999999999</v>
      </c>
      <c r="AG45" s="441">
        <v>0</v>
      </c>
      <c r="AH45" s="440">
        <f>+'P02 2022'!FG22</f>
        <v>41669.599999999999</v>
      </c>
      <c r="AI45" s="847">
        <f>+'P02 2023'!FA9</f>
        <v>43011.212</v>
      </c>
      <c r="AJ45" s="663">
        <v>0</v>
      </c>
      <c r="AK45" s="663">
        <f>+'P02 2022'!HD24</f>
        <v>19600</v>
      </c>
      <c r="AL45" s="663">
        <v>0</v>
      </c>
      <c r="AM45" s="1135">
        <f>+'P02 2022'!JC18</f>
        <v>150089.633</v>
      </c>
      <c r="AN45" s="1233"/>
      <c r="AO45" s="1775"/>
      <c r="AP45" s="1775"/>
      <c r="AQ45" s="1775"/>
      <c r="AR45" s="1775"/>
      <c r="AS45" s="1233"/>
      <c r="AT45" s="1233"/>
      <c r="AU45" s="1233"/>
      <c r="AV45" s="495"/>
    </row>
    <row r="46" spans="1:49" s="374" customFormat="1" ht="15" hidden="1" customHeight="1" x14ac:dyDescent="0.2">
      <c r="B46" s="436"/>
      <c r="C46" s="125"/>
      <c r="D46" s="313"/>
      <c r="E46" s="313">
        <v>4</v>
      </c>
      <c r="F46" s="313"/>
      <c r="G46" s="767" t="s">
        <v>673</v>
      </c>
      <c r="H46" s="1365">
        <f>+'P02 2023'!I33</f>
        <v>35000</v>
      </c>
      <c r="I46" s="1312">
        <f>+'P02 2023'!FL50</f>
        <v>35000</v>
      </c>
      <c r="J46" s="1362">
        <f ca="1">SUMIF(S$3:$AM40,"ok",S46:AM46)</f>
        <v>0</v>
      </c>
      <c r="K46" s="1430">
        <f ca="1">IFERROR(J46/I46,"0.00%")</f>
        <v>0</v>
      </c>
      <c r="L46" s="1362">
        <f>+'P02 2023'!FM48</f>
        <v>0</v>
      </c>
      <c r="M46" s="1430">
        <f t="shared" si="4"/>
        <v>0</v>
      </c>
      <c r="N46" s="1363">
        <f t="shared" si="31"/>
        <v>35000</v>
      </c>
      <c r="O46" s="1440">
        <f t="shared" si="5"/>
        <v>1</v>
      </c>
      <c r="P46" s="1648">
        <f>+'P02 2022'!GQ48</f>
        <v>37205</v>
      </c>
      <c r="Q46" s="414">
        <f>SUMIF($S$3:$AM$3,"SI",S46:AM46)</f>
        <v>10944.647999999999</v>
      </c>
      <c r="R46" s="1494">
        <f t="shared" si="30"/>
        <v>0.29417142857142853</v>
      </c>
      <c r="S46" s="972">
        <v>0</v>
      </c>
      <c r="T46" s="438">
        <v>0</v>
      </c>
      <c r="U46" s="439">
        <v>0</v>
      </c>
      <c r="V46" s="438">
        <v>0</v>
      </c>
      <c r="W46" s="439">
        <v>0</v>
      </c>
      <c r="X46" s="440">
        <f>+'P02 2022'!AS14</f>
        <v>1824.1079999999999</v>
      </c>
      <c r="Y46" s="441">
        <v>0</v>
      </c>
      <c r="Z46" s="1304">
        <v>0</v>
      </c>
      <c r="AA46" s="553">
        <v>0</v>
      </c>
      <c r="AB46" s="440">
        <f>+'P02 2022'!CR16</f>
        <v>3648.2159999999999</v>
      </c>
      <c r="AC46" s="441">
        <v>0</v>
      </c>
      <c r="AD46" s="438">
        <v>0</v>
      </c>
      <c r="AE46" s="439">
        <v>0</v>
      </c>
      <c r="AF46" s="1381">
        <f>+'P02 2022'!EF24</f>
        <v>3648.2159999999999</v>
      </c>
      <c r="AG46" s="441">
        <v>0</v>
      </c>
      <c r="AH46" s="440">
        <f>+'P02 2022'!FG23</f>
        <v>1824.1079999999999</v>
      </c>
      <c r="AI46" s="847">
        <v>0</v>
      </c>
      <c r="AJ46" s="847">
        <v>0</v>
      </c>
      <c r="AK46" s="663">
        <v>0</v>
      </c>
      <c r="AL46" s="663">
        <f>+'P02 2022'!IE33</f>
        <v>1716</v>
      </c>
      <c r="AM46" s="1133">
        <v>0</v>
      </c>
      <c r="AN46" s="1233"/>
      <c r="AO46" s="1775"/>
      <c r="AP46" s="1775"/>
      <c r="AQ46" s="1775"/>
      <c r="AR46" s="1775"/>
      <c r="AS46" s="1233"/>
      <c r="AT46" s="1233"/>
      <c r="AU46" s="1233"/>
      <c r="AV46" s="495"/>
    </row>
    <row r="47" spans="1:49" s="374" customFormat="1" ht="15" hidden="1" customHeight="1" x14ac:dyDescent="0.2">
      <c r="B47" s="436"/>
      <c r="C47" s="125"/>
      <c r="D47" s="313"/>
      <c r="E47" s="313">
        <v>5</v>
      </c>
      <c r="F47" s="313"/>
      <c r="G47" s="767" t="s">
        <v>675</v>
      </c>
      <c r="H47" s="1365">
        <f>+'P02 2023'!I34</f>
        <v>50000</v>
      </c>
      <c r="I47" s="1312">
        <f>+'P02 2023'!FL52</f>
        <v>50000</v>
      </c>
      <c r="J47" s="1362">
        <f ca="1">SUMIF(S$3:$AM41,"ok",S47:AM47)</f>
        <v>0</v>
      </c>
      <c r="K47" s="1430">
        <f t="shared" ca="1" si="7"/>
        <v>0</v>
      </c>
      <c r="L47" s="1362">
        <v>0</v>
      </c>
      <c r="M47" s="1430">
        <f t="shared" si="4"/>
        <v>0</v>
      </c>
      <c r="N47" s="1363">
        <f t="shared" si="31"/>
        <v>50000</v>
      </c>
      <c r="O47" s="1440">
        <f t="shared" si="5"/>
        <v>1</v>
      </c>
      <c r="P47" s="1648">
        <f>+'P02 2022'!GQ50</f>
        <v>53150</v>
      </c>
      <c r="Q47" s="414">
        <f>SUMIF($S$3:$AM$3,"SI",S47:AM47)</f>
        <v>0</v>
      </c>
      <c r="R47" s="1494">
        <f t="shared" si="30"/>
        <v>0</v>
      </c>
      <c r="S47" s="972">
        <v>0</v>
      </c>
      <c r="T47" s="438">
        <v>0</v>
      </c>
      <c r="U47" s="439">
        <v>0</v>
      </c>
      <c r="V47" s="438">
        <v>0</v>
      </c>
      <c r="W47" s="439">
        <v>0</v>
      </c>
      <c r="X47" s="440">
        <v>0</v>
      </c>
      <c r="Y47" s="441">
        <v>0</v>
      </c>
      <c r="Z47" s="440">
        <v>0</v>
      </c>
      <c r="AA47" s="441">
        <v>0</v>
      </c>
      <c r="AB47" s="440">
        <v>0</v>
      </c>
      <c r="AC47" s="441">
        <v>0</v>
      </c>
      <c r="AD47" s="438">
        <v>0</v>
      </c>
      <c r="AE47" s="439">
        <v>0</v>
      </c>
      <c r="AF47" s="438">
        <v>0</v>
      </c>
      <c r="AG47" s="441">
        <v>0</v>
      </c>
      <c r="AH47" s="440">
        <v>0</v>
      </c>
      <c r="AI47" s="847">
        <v>0</v>
      </c>
      <c r="AJ47" s="847">
        <v>0</v>
      </c>
      <c r="AK47" s="663">
        <v>0</v>
      </c>
      <c r="AL47" s="663">
        <v>0</v>
      </c>
      <c r="AM47" s="1135">
        <f>+'P02 2022'!JC19</f>
        <v>22039.5</v>
      </c>
      <c r="AN47" s="1233"/>
      <c r="AO47" s="1775"/>
      <c r="AP47" s="1775"/>
      <c r="AQ47" s="1775"/>
      <c r="AR47" s="1775"/>
      <c r="AS47" s="1233"/>
      <c r="AT47" s="1233"/>
      <c r="AU47" s="1233"/>
      <c r="AV47" s="495"/>
    </row>
    <row r="48" spans="1:49" s="374" customFormat="1" ht="15" customHeight="1" x14ac:dyDescent="0.25">
      <c r="B48" s="407">
        <v>34</v>
      </c>
      <c r="C48" s="134" t="s">
        <v>2</v>
      </c>
      <c r="D48" s="129"/>
      <c r="E48" s="433"/>
      <c r="F48" s="433"/>
      <c r="G48" s="468" t="s">
        <v>83</v>
      </c>
      <c r="H48" s="1359">
        <f>+H49</f>
        <v>10</v>
      </c>
      <c r="I48" s="1360">
        <f>+I49</f>
        <v>696450</v>
      </c>
      <c r="J48" s="409">
        <f ca="1">SUMIF(S$3:$AM41,"ok",S48:AM48)</f>
        <v>696449.25600000005</v>
      </c>
      <c r="K48" s="1432">
        <f t="shared" ca="1" si="7"/>
        <v>0.99999893172517773</v>
      </c>
      <c r="L48" s="1361">
        <f>+L49</f>
        <v>696449.25600000005</v>
      </c>
      <c r="M48" s="1432">
        <f t="shared" si="4"/>
        <v>0.99999893172517773</v>
      </c>
      <c r="N48" s="1361">
        <f t="shared" si="19"/>
        <v>0.74399999994784594</v>
      </c>
      <c r="O48" s="1441">
        <f t="shared" si="5"/>
        <v>1.0682748222382739E-6</v>
      </c>
      <c r="P48" s="1490">
        <f>+P49</f>
        <v>1019356.409</v>
      </c>
      <c r="Q48" s="409">
        <f>+Q49</f>
        <v>1018160.0301379999</v>
      </c>
      <c r="R48" s="1439">
        <f>IFERROR(Q48/P48,",0,00%")</f>
        <v>0.99882633900033679</v>
      </c>
      <c r="S48" s="973">
        <f>+S49</f>
        <v>696449.25600000005</v>
      </c>
      <c r="T48" s="1127">
        <f>+T49</f>
        <v>104221.815866</v>
      </c>
      <c r="U48" s="1129">
        <v>0</v>
      </c>
      <c r="V48" s="1127">
        <f>+V49</f>
        <v>913938.2142719999</v>
      </c>
      <c r="W48" s="1129">
        <v>0</v>
      </c>
      <c r="X48" s="406">
        <v>0</v>
      </c>
      <c r="Y48" s="434">
        <f>+Y49</f>
        <v>0</v>
      </c>
      <c r="Z48" s="417">
        <f>+Z49</f>
        <v>0</v>
      </c>
      <c r="AA48" s="434">
        <v>0</v>
      </c>
      <c r="AB48" s="417">
        <v>0</v>
      </c>
      <c r="AC48" s="434">
        <v>0</v>
      </c>
      <c r="AD48" s="415">
        <f>+AD49</f>
        <v>0</v>
      </c>
      <c r="AE48" s="416">
        <v>0</v>
      </c>
      <c r="AF48" s="415">
        <v>0</v>
      </c>
      <c r="AG48" s="434">
        <v>0</v>
      </c>
      <c r="AH48" s="417">
        <v>0</v>
      </c>
      <c r="AI48" s="448">
        <v>0</v>
      </c>
      <c r="AJ48" s="448">
        <v>0</v>
      </c>
      <c r="AK48" s="448">
        <v>0</v>
      </c>
      <c r="AL48" s="448">
        <v>0</v>
      </c>
      <c r="AM48" s="959">
        <v>0</v>
      </c>
      <c r="AN48" s="1233"/>
      <c r="AO48" s="1775"/>
      <c r="AP48" s="1775"/>
      <c r="AQ48" s="1775"/>
      <c r="AR48" s="1775"/>
      <c r="AS48" s="1233"/>
      <c r="AT48" s="1233"/>
      <c r="AU48" s="1233"/>
      <c r="AV48" s="495"/>
    </row>
    <row r="49" spans="1:48" s="374" customFormat="1" ht="15" customHeight="1" x14ac:dyDescent="0.2">
      <c r="B49" s="436"/>
      <c r="C49" s="125">
        <v>7</v>
      </c>
      <c r="D49" s="353"/>
      <c r="E49" s="450" t="s">
        <v>765</v>
      </c>
      <c r="F49" s="449"/>
      <c r="G49" s="551" t="s">
        <v>140</v>
      </c>
      <c r="H49" s="1366">
        <f>+'P02 2023'!I35</f>
        <v>10</v>
      </c>
      <c r="I49" s="1362">
        <f>+'P02 2023'!FL53</f>
        <v>696450</v>
      </c>
      <c r="J49" s="1362">
        <f ca="1">SUMIF(S$3:$AM41,"ok",S49:AM49)</f>
        <v>696449.25600000005</v>
      </c>
      <c r="K49" s="1431">
        <f t="shared" ca="1" si="7"/>
        <v>0.99999893172517773</v>
      </c>
      <c r="L49" s="1313">
        <f>+'P02 2023'!FM54</f>
        <v>696449.25600000005</v>
      </c>
      <c r="M49" s="1431">
        <f>IFERROR(+#REF!/I49,0)</f>
        <v>0</v>
      </c>
      <c r="N49" s="1367">
        <f>+I49-L49</f>
        <v>0.74399999994784594</v>
      </c>
      <c r="O49" s="1442">
        <f>+IFERROR(N49/I49,0)</f>
        <v>1.0682748222382739E-6</v>
      </c>
      <c r="P49" s="1491">
        <f>+'P02 2022'!GQ52</f>
        <v>1019356.409</v>
      </c>
      <c r="Q49" s="442">
        <f>SUMIF($S$3:$AM$3,"SI",S49:AM49)</f>
        <v>1018160.0301379999</v>
      </c>
      <c r="R49" s="1494">
        <f>IFERROR(Q49/P49,"0,00%")</f>
        <v>0.99882633900033679</v>
      </c>
      <c r="S49" s="974">
        <f>+'P02 2023'!K36</f>
        <v>696449.25600000005</v>
      </c>
      <c r="T49" s="438">
        <f>+'P02 2022'!H39</f>
        <v>104221.815866</v>
      </c>
      <c r="U49" s="439">
        <v>0</v>
      </c>
      <c r="V49" s="438">
        <f>+'P02 2022'!Q8</f>
        <v>913938.2142719999</v>
      </c>
      <c r="W49" s="439">
        <v>0</v>
      </c>
      <c r="X49" s="440">
        <v>0</v>
      </c>
      <c r="Y49" s="441">
        <v>0</v>
      </c>
      <c r="Z49" s="440">
        <v>0</v>
      </c>
      <c r="AA49" s="441">
        <v>0</v>
      </c>
      <c r="AB49" s="440">
        <v>0</v>
      </c>
      <c r="AC49" s="1418">
        <v>0</v>
      </c>
      <c r="AD49" s="1476">
        <v>0</v>
      </c>
      <c r="AE49" s="439">
        <v>0</v>
      </c>
      <c r="AF49" s="438">
        <v>0</v>
      </c>
      <c r="AG49" s="441">
        <v>0</v>
      </c>
      <c r="AH49" s="440">
        <v>0</v>
      </c>
      <c r="AI49" s="847">
        <v>0</v>
      </c>
      <c r="AJ49" s="847">
        <v>0</v>
      </c>
      <c r="AK49" s="663">
        <v>0</v>
      </c>
      <c r="AL49" s="663">
        <v>0</v>
      </c>
      <c r="AM49" s="1133">
        <v>0</v>
      </c>
      <c r="AN49" s="1233"/>
      <c r="AO49" s="1775"/>
      <c r="AP49" s="1775"/>
      <c r="AQ49" s="1775"/>
      <c r="AR49" s="1775"/>
      <c r="AS49" s="1233"/>
      <c r="AT49" s="1233"/>
      <c r="AU49" s="1233"/>
      <c r="AV49" s="495"/>
    </row>
    <row r="50" spans="1:48" s="374" customFormat="1" ht="15" customHeight="1" thickBot="1" x14ac:dyDescent="0.3">
      <c r="B50" s="452">
        <v>35</v>
      </c>
      <c r="C50" s="135"/>
      <c r="D50" s="136"/>
      <c r="E50" s="453"/>
      <c r="F50" s="453"/>
      <c r="G50" s="552" t="s">
        <v>125</v>
      </c>
      <c r="H50" s="1368">
        <v>0</v>
      </c>
      <c r="I50" s="1369">
        <v>0</v>
      </c>
      <c r="J50" s="1369">
        <f ca="1">SUMIF(S$3:$AM41,"ok",S50:AM50)</f>
        <v>0</v>
      </c>
      <c r="K50" s="1435" t="str">
        <f ca="1">IFERROR(J50/I50,"0,00%")</f>
        <v>0,00%</v>
      </c>
      <c r="L50" s="456">
        <v>0</v>
      </c>
      <c r="M50" s="1437">
        <f t="shared" si="4"/>
        <v>0</v>
      </c>
      <c r="N50" s="1369">
        <f t="shared" si="19"/>
        <v>0</v>
      </c>
      <c r="O50" s="1443">
        <f t="shared" si="5"/>
        <v>0</v>
      </c>
      <c r="P50" s="1492">
        <v>0</v>
      </c>
      <c r="Q50" s="456">
        <v>0</v>
      </c>
      <c r="R50" s="1495" t="str">
        <f>IFERROR(Q50/P50,"0,00%")</f>
        <v>0,00%</v>
      </c>
      <c r="S50" s="975">
        <v>0</v>
      </c>
      <c r="T50" s="1128">
        <v>0</v>
      </c>
      <c r="U50" s="457">
        <v>0</v>
      </c>
      <c r="V50" s="1128">
        <v>0</v>
      </c>
      <c r="W50" s="457">
        <v>0</v>
      </c>
      <c r="X50" s="458">
        <v>0</v>
      </c>
      <c r="Y50" s="1311">
        <v>0</v>
      </c>
      <c r="Z50" s="458">
        <v>0</v>
      </c>
      <c r="AA50" s="1311">
        <v>0</v>
      </c>
      <c r="AB50" s="458">
        <v>0</v>
      </c>
      <c r="AC50" s="1311">
        <v>0</v>
      </c>
      <c r="AD50" s="1128">
        <v>0</v>
      </c>
      <c r="AE50" s="457">
        <v>0</v>
      </c>
      <c r="AF50" s="1128">
        <v>0</v>
      </c>
      <c r="AG50" s="1311">
        <v>0</v>
      </c>
      <c r="AH50" s="458">
        <v>0</v>
      </c>
      <c r="AI50" s="960">
        <v>0</v>
      </c>
      <c r="AJ50" s="960">
        <v>0</v>
      </c>
      <c r="AK50" s="960">
        <v>0</v>
      </c>
      <c r="AL50" s="960">
        <v>0</v>
      </c>
      <c r="AM50" s="1136">
        <v>0</v>
      </c>
      <c r="AN50" s="1233"/>
      <c r="AO50" s="1775"/>
      <c r="AP50" s="1775"/>
      <c r="AQ50" s="1775"/>
      <c r="AR50" s="1775"/>
      <c r="AS50" s="1233"/>
      <c r="AT50" s="1233"/>
      <c r="AU50" s="1233"/>
      <c r="AV50" s="495"/>
    </row>
    <row r="51" spans="1:48" s="85" customFormat="1" ht="12.75" customHeight="1" x14ac:dyDescent="0.2">
      <c r="B51" s="246"/>
      <c r="C51" s="247"/>
      <c r="D51" s="248"/>
      <c r="E51" s="249"/>
      <c r="F51" s="249"/>
      <c r="G51" s="564"/>
      <c r="H51" s="1370"/>
      <c r="I51" s="1370"/>
      <c r="J51" s="1370"/>
      <c r="K51" s="1436"/>
      <c r="L51" s="1370"/>
      <c r="M51" s="1436"/>
      <c r="N51" s="1370"/>
      <c r="O51" s="1436"/>
      <c r="P51" s="250"/>
      <c r="Q51" s="250"/>
      <c r="R51" s="963"/>
      <c r="S51" s="968"/>
      <c r="T51" s="250"/>
      <c r="U51" s="250"/>
      <c r="V51" s="250"/>
      <c r="W51" s="250"/>
      <c r="X51" s="250"/>
      <c r="Y51" s="250"/>
      <c r="Z51" s="251"/>
      <c r="AA51" s="251"/>
      <c r="AB51" s="250"/>
      <c r="AC51" s="250"/>
      <c r="AD51" s="250"/>
      <c r="AE51" s="250"/>
      <c r="AF51" s="250"/>
      <c r="AG51" s="250"/>
      <c r="AH51" s="250"/>
      <c r="AI51" s="250"/>
      <c r="AJ51" s="250"/>
      <c r="AK51" s="250"/>
      <c r="AL51" s="250"/>
      <c r="AM51" s="77"/>
      <c r="AN51" s="1233"/>
      <c r="AO51" s="1775"/>
      <c r="AP51" s="1775"/>
      <c r="AQ51" s="1775"/>
      <c r="AR51" s="1775"/>
      <c r="AS51" s="1233"/>
      <c r="AT51" s="1233"/>
      <c r="AU51" s="1233"/>
      <c r="AV51" s="1761"/>
    </row>
    <row r="52" spans="1:48" ht="12.75" customHeight="1" x14ac:dyDescent="0.2">
      <c r="B52" s="38"/>
      <c r="C52" s="39"/>
      <c r="D52" s="40"/>
      <c r="E52" s="41"/>
      <c r="F52" s="41"/>
      <c r="G52" s="565"/>
      <c r="H52" s="1371"/>
      <c r="I52" s="1371"/>
      <c r="J52" s="1371"/>
      <c r="K52" s="302"/>
      <c r="L52" s="1371"/>
      <c r="M52" s="302"/>
      <c r="N52" s="1371"/>
      <c r="O52" s="302"/>
      <c r="P52" s="42"/>
      <c r="Q52" s="42"/>
      <c r="R52" s="964"/>
      <c r="S52" s="969"/>
      <c r="T52" s="77"/>
      <c r="U52" s="77"/>
      <c r="V52" s="77"/>
      <c r="W52" s="77"/>
      <c r="X52" s="77"/>
      <c r="Y52" s="77"/>
      <c r="Z52" s="66"/>
      <c r="AA52" s="66"/>
      <c r="AB52" s="77"/>
      <c r="AC52" s="77"/>
      <c r="AD52" s="77"/>
      <c r="AE52" s="77"/>
      <c r="AF52" s="77"/>
      <c r="AG52" s="77"/>
      <c r="AH52" s="77"/>
      <c r="AI52" s="77"/>
      <c r="AJ52" s="77"/>
      <c r="AK52" s="77"/>
      <c r="AL52" s="77"/>
      <c r="AM52" s="77"/>
      <c r="AN52" s="1233"/>
      <c r="AO52" s="1775"/>
      <c r="AP52" s="1775"/>
      <c r="AQ52" s="1775"/>
      <c r="AR52" s="1775"/>
      <c r="AS52" s="1233"/>
      <c r="AT52" s="1233"/>
      <c r="AU52" s="1233"/>
    </row>
    <row r="53" spans="1:48" ht="12.75" customHeight="1" x14ac:dyDescent="0.2">
      <c r="B53" s="38"/>
      <c r="C53" s="39"/>
      <c r="D53" s="40"/>
      <c r="E53" s="41"/>
      <c r="F53" s="41"/>
      <c r="G53" s="565"/>
      <c r="H53" s="1371"/>
      <c r="I53" s="1371"/>
      <c r="J53" s="1371"/>
      <c r="K53" s="302"/>
      <c r="L53" s="1371"/>
      <c r="M53" s="302"/>
      <c r="N53" s="1371"/>
      <c r="O53" s="302"/>
      <c r="P53" s="42"/>
      <c r="Q53" s="42"/>
      <c r="R53" s="964"/>
      <c r="S53" s="969"/>
      <c r="T53" s="77"/>
      <c r="U53" s="77"/>
      <c r="V53" s="77"/>
      <c r="W53" s="77"/>
      <c r="X53" s="77"/>
      <c r="Y53" s="77"/>
      <c r="Z53" s="66"/>
      <c r="AA53" s="66"/>
      <c r="AB53" s="77"/>
      <c r="AC53" s="77"/>
      <c r="AD53" s="77"/>
      <c r="AE53" s="77"/>
      <c r="AF53" s="77"/>
      <c r="AG53" s="77"/>
      <c r="AH53" s="77"/>
      <c r="AI53" s="77"/>
      <c r="AJ53" s="77"/>
      <c r="AK53" s="77"/>
      <c r="AL53" s="77"/>
      <c r="AM53" s="77"/>
      <c r="AN53" s="1233"/>
      <c r="AO53" s="1775"/>
      <c r="AP53" s="1775"/>
      <c r="AQ53" s="1775"/>
      <c r="AR53" s="1775"/>
      <c r="AS53" s="1233"/>
      <c r="AT53" s="1233"/>
      <c r="AU53" s="1233"/>
    </row>
    <row r="54" spans="1:48" ht="12.75" customHeight="1" x14ac:dyDescent="0.25">
      <c r="B54" s="38"/>
      <c r="C54" s="39"/>
      <c r="D54" s="40"/>
      <c r="E54" s="41"/>
      <c r="F54" s="41"/>
      <c r="G54" s="75"/>
      <c r="H54" s="1371"/>
      <c r="I54" s="1371"/>
      <c r="J54" s="1371"/>
      <c r="K54" s="302"/>
      <c r="L54" s="1371"/>
      <c r="M54" s="302"/>
      <c r="N54" s="1371"/>
      <c r="O54" s="302"/>
      <c r="P54" s="72"/>
      <c r="Q54" s="42"/>
      <c r="R54" s="964"/>
      <c r="S54" s="969"/>
      <c r="T54" s="77"/>
      <c r="U54" s="77"/>
      <c r="V54" s="77"/>
      <c r="W54" s="77"/>
      <c r="X54" s="77"/>
      <c r="Y54" s="77"/>
      <c r="Z54" s="66"/>
      <c r="AA54" s="66"/>
      <c r="AB54" s="77"/>
      <c r="AC54" s="77"/>
      <c r="AD54" s="77"/>
      <c r="AE54" s="77"/>
      <c r="AF54" s="77"/>
      <c r="AG54" s="77"/>
      <c r="AH54" s="77"/>
      <c r="AI54" s="77"/>
      <c r="AJ54" s="77"/>
      <c r="AK54" s="77"/>
      <c r="AL54" s="77"/>
      <c r="AM54" s="77"/>
      <c r="AN54" s="1233"/>
      <c r="AO54" s="1775"/>
      <c r="AP54" s="1775"/>
      <c r="AQ54" s="1775"/>
      <c r="AR54" s="1775"/>
      <c r="AS54" s="1233"/>
      <c r="AT54" s="1233"/>
      <c r="AU54" s="1233"/>
    </row>
    <row r="55" spans="1:48" ht="12.75" customHeight="1" x14ac:dyDescent="0.25">
      <c r="B55" s="38"/>
      <c r="C55" s="39"/>
      <c r="D55" s="40"/>
      <c r="E55" s="41"/>
      <c r="F55" s="41"/>
      <c r="G55" s="75"/>
      <c r="H55" s="1371"/>
      <c r="I55" s="1371"/>
      <c r="J55" s="1371"/>
      <c r="K55" s="302"/>
      <c r="L55" s="1371"/>
      <c r="M55" s="302"/>
      <c r="N55" s="1371"/>
      <c r="O55" s="302"/>
      <c r="P55" s="42"/>
      <c r="Q55" s="42"/>
      <c r="R55" s="965"/>
      <c r="S55" s="904"/>
      <c r="T55" s="67"/>
      <c r="U55" s="67"/>
      <c r="V55" s="67"/>
      <c r="W55" s="67"/>
      <c r="X55" s="77"/>
      <c r="Y55" s="77"/>
      <c r="Z55" s="66"/>
      <c r="AA55" s="66"/>
      <c r="AB55" s="77"/>
      <c r="AC55" s="77"/>
      <c r="AD55" s="77"/>
      <c r="AE55" s="77"/>
      <c r="AF55" s="77"/>
      <c r="AG55" s="77"/>
      <c r="AH55" s="77"/>
      <c r="AI55" s="77"/>
      <c r="AJ55" s="77"/>
      <c r="AK55" s="77"/>
      <c r="AL55" s="77"/>
      <c r="AM55" s="77"/>
      <c r="AN55" s="1233"/>
      <c r="AO55" s="1775"/>
      <c r="AP55" s="1775"/>
      <c r="AQ55" s="1775"/>
      <c r="AR55" s="1775"/>
      <c r="AS55" s="1233"/>
      <c r="AT55" s="1233"/>
      <c r="AU55" s="1233"/>
    </row>
    <row r="56" spans="1:48" ht="12.75" customHeight="1" x14ac:dyDescent="0.2">
      <c r="B56" s="38"/>
      <c r="C56" s="39"/>
      <c r="D56" s="40"/>
      <c r="E56" s="41"/>
      <c r="F56" s="41"/>
      <c r="G56" s="566"/>
      <c r="H56" s="1371"/>
      <c r="I56" s="1371"/>
      <c r="J56" s="1371"/>
      <c r="K56" s="302"/>
      <c r="L56" s="1371"/>
      <c r="M56" s="302"/>
      <c r="N56" s="1371"/>
      <c r="O56" s="302"/>
      <c r="P56" s="42"/>
      <c r="Q56" s="42"/>
      <c r="R56" s="964"/>
      <c r="S56" s="969"/>
      <c r="T56" s="77"/>
      <c r="U56" s="77"/>
      <c r="V56" s="77"/>
      <c r="W56" s="77"/>
      <c r="X56" s="77"/>
      <c r="Y56" s="77"/>
      <c r="Z56" s="66"/>
      <c r="AA56" s="66"/>
      <c r="AB56" s="77"/>
      <c r="AC56" s="77"/>
      <c r="AD56" s="77"/>
      <c r="AE56" s="77"/>
      <c r="AF56" s="77"/>
      <c r="AG56" s="77"/>
      <c r="AH56" s="77"/>
      <c r="AI56" s="77"/>
      <c r="AJ56" s="77"/>
      <c r="AK56" s="77"/>
      <c r="AL56" s="77"/>
      <c r="AM56" s="77"/>
      <c r="AN56" s="1233"/>
      <c r="AO56" s="1775"/>
      <c r="AP56" s="1775"/>
      <c r="AQ56" s="1775"/>
      <c r="AR56" s="1775"/>
      <c r="AS56" s="1233"/>
      <c r="AT56" s="1233"/>
      <c r="AU56" s="1233"/>
    </row>
    <row r="57" spans="1:48" ht="12.75" customHeight="1" x14ac:dyDescent="0.2">
      <c r="B57" s="38"/>
      <c r="C57" s="39"/>
      <c r="D57" s="40"/>
      <c r="E57" s="41"/>
      <c r="F57" s="41"/>
      <c r="G57" s="566"/>
      <c r="H57" s="1371"/>
      <c r="I57" s="1371"/>
      <c r="J57" s="1371"/>
      <c r="K57" s="302"/>
      <c r="L57" s="1371"/>
      <c r="M57" s="302"/>
      <c r="N57" s="1371"/>
      <c r="O57" s="302"/>
      <c r="P57" s="42"/>
      <c r="Q57" s="42"/>
      <c r="R57" s="964"/>
      <c r="S57" s="969"/>
      <c r="T57" s="77"/>
      <c r="U57" s="77"/>
      <c r="V57" s="77"/>
      <c r="W57" s="77"/>
      <c r="X57" s="77"/>
      <c r="Y57" s="77"/>
      <c r="Z57" s="66"/>
      <c r="AA57" s="66"/>
      <c r="AB57" s="77"/>
      <c r="AC57" s="77"/>
      <c r="AD57" s="77"/>
      <c r="AE57" s="77"/>
      <c r="AF57" s="77"/>
      <c r="AG57" s="77"/>
      <c r="AH57" s="77"/>
      <c r="AI57" s="77"/>
      <c r="AJ57" s="77"/>
      <c r="AK57" s="77"/>
      <c r="AL57" s="77"/>
      <c r="AM57" s="77"/>
      <c r="AN57" s="1233"/>
      <c r="AO57" s="1775"/>
      <c r="AP57" s="1775"/>
      <c r="AQ57" s="1775"/>
      <c r="AR57" s="1775"/>
      <c r="AS57" s="1233"/>
      <c r="AT57" s="1233"/>
      <c r="AU57" s="1233"/>
    </row>
    <row r="58" spans="1:48" ht="12.75" customHeight="1" x14ac:dyDescent="0.2">
      <c r="A58" s="42"/>
      <c r="B58" s="38"/>
      <c r="C58" s="39"/>
      <c r="D58" s="40"/>
      <c r="E58" s="41"/>
      <c r="F58" s="41"/>
      <c r="G58" s="566"/>
      <c r="H58" s="1371"/>
      <c r="I58" s="1371"/>
      <c r="J58" s="1372"/>
      <c r="K58" s="302"/>
      <c r="L58" s="1371"/>
      <c r="M58" s="302"/>
      <c r="N58" s="1371"/>
      <c r="O58" s="302"/>
      <c r="P58" s="42"/>
      <c r="Q58" s="42"/>
      <c r="R58" s="964"/>
      <c r="S58" s="969"/>
      <c r="T58" s="77"/>
      <c r="U58" s="77"/>
      <c r="V58" s="77"/>
      <c r="W58" s="77"/>
      <c r="X58" s="77"/>
      <c r="Y58" s="77"/>
      <c r="Z58" s="66"/>
      <c r="AA58" s="66"/>
      <c r="AB58" s="77"/>
      <c r="AC58" s="77"/>
      <c r="AD58" s="77"/>
      <c r="AE58" s="77"/>
      <c r="AF58" s="77"/>
      <c r="AG58" s="77"/>
      <c r="AH58" s="77"/>
      <c r="AI58" s="77"/>
      <c r="AJ58" s="77"/>
      <c r="AK58" s="77"/>
      <c r="AL58" s="77"/>
      <c r="AM58" s="77"/>
      <c r="AN58" s="1233"/>
      <c r="AO58" s="1775"/>
      <c r="AP58" s="1775"/>
      <c r="AQ58" s="1775"/>
      <c r="AR58" s="1775"/>
      <c r="AS58" s="1233"/>
      <c r="AT58" s="1233"/>
      <c r="AU58" s="1233"/>
    </row>
    <row r="59" spans="1:48" ht="12.75" customHeight="1" x14ac:dyDescent="0.2">
      <c r="B59" s="38"/>
      <c r="C59" s="39"/>
      <c r="D59" s="40"/>
      <c r="E59" s="41"/>
      <c r="F59" s="41"/>
      <c r="G59" s="565"/>
      <c r="H59" s="1371"/>
      <c r="I59" s="1371"/>
      <c r="J59" s="1371"/>
      <c r="K59" s="302"/>
      <c r="L59" s="1371"/>
      <c r="M59" s="302"/>
      <c r="N59" s="1371"/>
      <c r="O59" s="302"/>
      <c r="P59" s="42"/>
      <c r="Q59" s="42"/>
      <c r="R59" s="964"/>
      <c r="S59" s="969"/>
      <c r="T59" s="77"/>
      <c r="U59" s="77"/>
      <c r="V59" s="77"/>
      <c r="W59" s="77"/>
      <c r="X59" s="77"/>
      <c r="Y59" s="77"/>
      <c r="Z59" s="66"/>
      <c r="AA59" s="66"/>
      <c r="AB59" s="77"/>
      <c r="AC59" s="77"/>
      <c r="AD59" s="77"/>
      <c r="AE59" s="77"/>
      <c r="AF59" s="77"/>
      <c r="AG59" s="77"/>
      <c r="AH59" s="77"/>
      <c r="AI59" s="77"/>
      <c r="AJ59" s="77"/>
      <c r="AK59" s="77"/>
      <c r="AL59" s="77"/>
      <c r="AM59" s="77"/>
      <c r="AN59" s="1233"/>
      <c r="AO59" s="1775"/>
      <c r="AP59" s="1775"/>
      <c r="AQ59" s="1775"/>
      <c r="AR59" s="1775"/>
      <c r="AS59" s="1233"/>
      <c r="AT59" s="1233"/>
      <c r="AU59" s="1233"/>
    </row>
    <row r="60" spans="1:48" s="35" customFormat="1" ht="12.75" customHeight="1" x14ac:dyDescent="0.2">
      <c r="B60" s="38"/>
      <c r="C60" s="39"/>
      <c r="D60" s="40"/>
      <c r="E60" s="41"/>
      <c r="F60" s="41"/>
      <c r="G60" s="565"/>
      <c r="H60" s="1371"/>
      <c r="I60" s="1371"/>
      <c r="J60" s="1371"/>
      <c r="K60" s="302"/>
      <c r="L60" s="1371"/>
      <c r="M60" s="302"/>
      <c r="N60" s="1371"/>
      <c r="O60" s="302"/>
      <c r="P60" s="42"/>
      <c r="Q60" s="42"/>
      <c r="R60" s="964"/>
      <c r="S60" s="969"/>
      <c r="T60" s="77"/>
      <c r="U60" s="77"/>
      <c r="V60" s="77"/>
      <c r="W60" s="77"/>
      <c r="X60" s="77"/>
      <c r="Y60" s="77"/>
      <c r="Z60" s="66"/>
      <c r="AA60" s="66"/>
      <c r="AB60" s="77"/>
      <c r="AC60" s="77"/>
      <c r="AD60" s="77"/>
      <c r="AE60" s="77"/>
      <c r="AF60" s="77"/>
      <c r="AG60" s="77"/>
      <c r="AH60" s="77"/>
      <c r="AI60" s="77"/>
      <c r="AJ60" s="77"/>
      <c r="AK60" s="77"/>
      <c r="AL60" s="77"/>
      <c r="AM60" s="77"/>
      <c r="AN60" s="1233"/>
      <c r="AO60" s="1775"/>
      <c r="AP60" s="1775"/>
      <c r="AQ60" s="1775"/>
      <c r="AR60" s="1775"/>
      <c r="AS60" s="1233"/>
      <c r="AT60" s="1233"/>
      <c r="AU60" s="1233"/>
      <c r="AV60" s="1762"/>
    </row>
    <row r="61" spans="1:48" s="35" customFormat="1" ht="12.75" customHeight="1" x14ac:dyDescent="0.2">
      <c r="B61" s="38"/>
      <c r="C61" s="39"/>
      <c r="D61" s="40"/>
      <c r="E61" s="41"/>
      <c r="F61" s="41"/>
      <c r="G61" s="565"/>
      <c r="H61" s="1371"/>
      <c r="I61" s="1371"/>
      <c r="J61" s="1371"/>
      <c r="K61" s="302"/>
      <c r="L61" s="1371"/>
      <c r="M61" s="302"/>
      <c r="N61" s="1371"/>
      <c r="O61" s="302"/>
      <c r="P61" s="42"/>
      <c r="Q61" s="42"/>
      <c r="R61" s="964"/>
      <c r="S61" s="969"/>
      <c r="T61" s="77"/>
      <c r="U61" s="77"/>
      <c r="V61" s="77"/>
      <c r="W61" s="77"/>
      <c r="X61" s="77"/>
      <c r="Y61" s="77"/>
      <c r="Z61" s="66"/>
      <c r="AA61" s="66"/>
      <c r="AB61" s="77"/>
      <c r="AC61" s="77"/>
      <c r="AD61" s="77"/>
      <c r="AE61" s="77"/>
      <c r="AF61" s="77"/>
      <c r="AG61" s="77"/>
      <c r="AH61" s="77"/>
      <c r="AI61" s="77"/>
      <c r="AJ61" s="77"/>
      <c r="AK61" s="77"/>
      <c r="AL61" s="77"/>
      <c r="AM61" s="77"/>
      <c r="AN61" s="1233"/>
      <c r="AO61" s="1775"/>
      <c r="AP61" s="1775"/>
      <c r="AQ61" s="1775"/>
      <c r="AR61" s="1775"/>
      <c r="AS61" s="1233"/>
      <c r="AT61" s="1233"/>
      <c r="AU61" s="1233"/>
      <c r="AV61" s="1762"/>
    </row>
    <row r="62" spans="1:48" s="35" customFormat="1" ht="12.75" customHeight="1" x14ac:dyDescent="0.2">
      <c r="B62" s="38"/>
      <c r="C62" s="39"/>
      <c r="D62" s="40"/>
      <c r="E62" s="41"/>
      <c r="F62" s="41"/>
      <c r="G62" s="565"/>
      <c r="H62" s="1371"/>
      <c r="I62" s="1371"/>
      <c r="J62" s="1371"/>
      <c r="K62" s="302"/>
      <c r="L62" s="1371"/>
      <c r="M62" s="302"/>
      <c r="N62" s="1371"/>
      <c r="O62" s="302"/>
      <c r="P62" s="42"/>
      <c r="Q62" s="42"/>
      <c r="R62" s="964"/>
      <c r="S62" s="969"/>
      <c r="T62" s="77"/>
      <c r="U62" s="77"/>
      <c r="V62" s="77"/>
      <c r="W62" s="77"/>
      <c r="X62" s="77"/>
      <c r="Y62" s="77"/>
      <c r="Z62" s="66"/>
      <c r="AA62" s="66"/>
      <c r="AB62" s="77"/>
      <c r="AC62" s="77"/>
      <c r="AD62" s="77"/>
      <c r="AE62" s="77"/>
      <c r="AF62" s="77"/>
      <c r="AG62" s="77"/>
      <c r="AH62" s="77"/>
      <c r="AI62" s="77"/>
      <c r="AJ62" s="77"/>
      <c r="AK62" s="77"/>
      <c r="AL62" s="77"/>
      <c r="AM62" s="77"/>
      <c r="AN62" s="1233"/>
      <c r="AO62" s="1775"/>
      <c r="AP62" s="1775"/>
      <c r="AQ62" s="1775"/>
      <c r="AR62" s="1775"/>
      <c r="AS62" s="1233"/>
      <c r="AT62" s="1233"/>
      <c r="AU62" s="1233"/>
      <c r="AV62" s="1762"/>
    </row>
    <row r="63" spans="1:48" s="35" customFormat="1" ht="12.75" customHeight="1" x14ac:dyDescent="0.2">
      <c r="B63" s="38"/>
      <c r="C63" s="39"/>
      <c r="D63" s="40"/>
      <c r="E63" s="41"/>
      <c r="F63" s="41"/>
      <c r="G63" s="565"/>
      <c r="H63" s="1371"/>
      <c r="I63" s="1371"/>
      <c r="J63" s="1371"/>
      <c r="K63" s="302"/>
      <c r="L63" s="1371"/>
      <c r="M63" s="302"/>
      <c r="N63" s="1371"/>
      <c r="O63" s="302"/>
      <c r="P63" s="42"/>
      <c r="Q63" s="42"/>
      <c r="R63" s="964"/>
      <c r="S63" s="969"/>
      <c r="T63" s="77"/>
      <c r="U63" s="77"/>
      <c r="V63" s="77"/>
      <c r="W63" s="77"/>
      <c r="X63" s="77"/>
      <c r="Y63" s="77"/>
      <c r="Z63" s="66"/>
      <c r="AA63" s="66"/>
      <c r="AB63" s="77"/>
      <c r="AC63" s="77"/>
      <c r="AD63" s="77"/>
      <c r="AE63" s="77"/>
      <c r="AF63" s="77"/>
      <c r="AG63" s="77"/>
      <c r="AH63" s="77"/>
      <c r="AI63" s="77"/>
      <c r="AJ63" s="77"/>
      <c r="AK63" s="77"/>
      <c r="AL63" s="77"/>
      <c r="AM63" s="77"/>
      <c r="AN63" s="1233"/>
      <c r="AO63" s="1775"/>
      <c r="AP63" s="1775"/>
      <c r="AQ63" s="1775"/>
      <c r="AR63" s="1775"/>
      <c r="AS63" s="1233"/>
      <c r="AT63" s="1233"/>
      <c r="AU63" s="1233"/>
      <c r="AV63" s="1762"/>
    </row>
    <row r="64" spans="1:48" s="35" customFormat="1" ht="12.75" customHeight="1" x14ac:dyDescent="0.2">
      <c r="B64" s="38"/>
      <c r="C64" s="39"/>
      <c r="D64" s="40"/>
      <c r="E64" s="41"/>
      <c r="F64" s="41"/>
      <c r="G64" s="565"/>
      <c r="H64" s="1371"/>
      <c r="I64" s="1371"/>
      <c r="J64" s="1371"/>
      <c r="K64" s="302"/>
      <c r="L64" s="1371"/>
      <c r="M64" s="302"/>
      <c r="N64" s="1371"/>
      <c r="O64" s="302"/>
      <c r="P64" s="42"/>
      <c r="Q64" s="42"/>
      <c r="R64" s="964"/>
      <c r="S64" s="969"/>
      <c r="T64" s="77"/>
      <c r="U64" s="77"/>
      <c r="V64" s="77"/>
      <c r="W64" s="77"/>
      <c r="X64" s="77"/>
      <c r="Y64" s="77"/>
      <c r="Z64" s="66"/>
      <c r="AA64" s="66"/>
      <c r="AB64" s="77"/>
      <c r="AC64" s="77"/>
      <c r="AD64" s="77"/>
      <c r="AE64" s="77"/>
      <c r="AF64" s="77"/>
      <c r="AG64" s="77"/>
      <c r="AH64" s="77"/>
      <c r="AI64" s="77"/>
      <c r="AJ64" s="77"/>
      <c r="AK64" s="77"/>
      <c r="AL64" s="77"/>
      <c r="AM64" s="77"/>
      <c r="AN64" s="1233"/>
      <c r="AO64" s="1775"/>
      <c r="AP64" s="1775"/>
      <c r="AQ64" s="1775"/>
      <c r="AR64" s="1775"/>
      <c r="AS64" s="1233"/>
      <c r="AT64" s="1233"/>
      <c r="AU64" s="1233"/>
      <c r="AV64" s="1762"/>
    </row>
    <row r="65" spans="2:48" s="35" customFormat="1" ht="12.75" customHeight="1" x14ac:dyDescent="0.2">
      <c r="B65" s="38"/>
      <c r="C65" s="39"/>
      <c r="D65" s="40"/>
      <c r="E65" s="41"/>
      <c r="F65" s="41"/>
      <c r="G65" s="565"/>
      <c r="H65" s="1371"/>
      <c r="I65" s="1371"/>
      <c r="J65" s="1371"/>
      <c r="K65" s="302"/>
      <c r="L65" s="1371"/>
      <c r="M65" s="302"/>
      <c r="N65" s="1371"/>
      <c r="O65" s="302"/>
      <c r="P65" s="42"/>
      <c r="Q65" s="42"/>
      <c r="R65" s="964"/>
      <c r="S65" s="969"/>
      <c r="T65" s="77"/>
      <c r="U65" s="77"/>
      <c r="V65" s="77"/>
      <c r="W65" s="77"/>
      <c r="X65" s="77"/>
      <c r="Y65" s="77"/>
      <c r="Z65" s="66"/>
      <c r="AA65" s="66"/>
      <c r="AB65" s="77"/>
      <c r="AC65" s="77"/>
      <c r="AD65" s="77"/>
      <c r="AE65" s="77"/>
      <c r="AF65" s="77"/>
      <c r="AG65" s="77"/>
      <c r="AH65" s="77"/>
      <c r="AI65" s="77"/>
      <c r="AJ65" s="77"/>
      <c r="AK65" s="77"/>
      <c r="AL65" s="77"/>
      <c r="AM65" s="77"/>
      <c r="AN65" s="1233"/>
      <c r="AO65" s="1775"/>
      <c r="AP65" s="1775"/>
      <c r="AQ65" s="1775"/>
      <c r="AR65" s="1775"/>
      <c r="AS65" s="1233"/>
      <c r="AT65" s="1233"/>
      <c r="AU65" s="1233"/>
      <c r="AV65" s="1762"/>
    </row>
    <row r="66" spans="2:48" s="35" customFormat="1" ht="12.75" customHeight="1" x14ac:dyDescent="0.2">
      <c r="B66" s="38"/>
      <c r="C66" s="39"/>
      <c r="D66" s="40"/>
      <c r="E66" s="41"/>
      <c r="F66" s="41"/>
      <c r="G66" s="565"/>
      <c r="H66" s="1371"/>
      <c r="I66" s="1371"/>
      <c r="J66" s="1371"/>
      <c r="K66" s="302"/>
      <c r="L66" s="1371"/>
      <c r="M66" s="302"/>
      <c r="N66" s="1371"/>
      <c r="O66" s="302"/>
      <c r="P66" s="42"/>
      <c r="Q66" s="42"/>
      <c r="R66" s="964"/>
      <c r="S66" s="969"/>
      <c r="T66" s="77"/>
      <c r="U66" s="77"/>
      <c r="V66" s="77"/>
      <c r="W66" s="77"/>
      <c r="X66" s="77"/>
      <c r="Y66" s="77"/>
      <c r="Z66" s="66"/>
      <c r="AA66" s="66"/>
      <c r="AB66" s="77"/>
      <c r="AC66" s="77"/>
      <c r="AD66" s="77"/>
      <c r="AE66" s="77"/>
      <c r="AF66" s="77"/>
      <c r="AG66" s="77"/>
      <c r="AH66" s="77"/>
      <c r="AI66" s="77"/>
      <c r="AJ66" s="77"/>
      <c r="AK66" s="77"/>
      <c r="AL66" s="77"/>
      <c r="AM66" s="77"/>
      <c r="AN66" s="1233"/>
      <c r="AO66" s="1775"/>
      <c r="AP66" s="1775"/>
      <c r="AQ66" s="1775"/>
      <c r="AR66" s="1775"/>
      <c r="AS66" s="1233"/>
      <c r="AT66" s="1233"/>
      <c r="AU66" s="1233"/>
      <c r="AV66" s="1762"/>
    </row>
    <row r="67" spans="2:48" s="35" customFormat="1" ht="12.75" customHeight="1" x14ac:dyDescent="0.2">
      <c r="B67" s="38"/>
      <c r="C67" s="39"/>
      <c r="D67" s="40"/>
      <c r="E67" s="41"/>
      <c r="F67" s="41"/>
      <c r="G67" s="565"/>
      <c r="H67" s="1371"/>
      <c r="I67" s="1371"/>
      <c r="J67" s="1371"/>
      <c r="K67" s="302"/>
      <c r="L67" s="1371"/>
      <c r="M67" s="302"/>
      <c r="N67" s="1371"/>
      <c r="O67" s="302"/>
      <c r="P67" s="42"/>
      <c r="Q67" s="42"/>
      <c r="R67" s="964"/>
      <c r="S67" s="969"/>
      <c r="T67" s="77"/>
      <c r="U67" s="77"/>
      <c r="V67" s="77"/>
      <c r="W67" s="77"/>
      <c r="X67" s="77"/>
      <c r="Y67" s="77"/>
      <c r="Z67" s="66"/>
      <c r="AA67" s="66"/>
      <c r="AB67" s="77"/>
      <c r="AC67" s="77"/>
      <c r="AD67" s="77"/>
      <c r="AE67" s="77"/>
      <c r="AF67" s="77"/>
      <c r="AG67" s="77"/>
      <c r="AH67" s="77"/>
      <c r="AI67" s="77"/>
      <c r="AJ67" s="77"/>
      <c r="AK67" s="77"/>
      <c r="AL67" s="77"/>
      <c r="AM67" s="77"/>
      <c r="AN67" s="1233"/>
      <c r="AO67" s="1775"/>
      <c r="AP67" s="1775"/>
      <c r="AQ67" s="1775"/>
      <c r="AR67" s="1775"/>
      <c r="AS67" s="1233"/>
      <c r="AT67" s="1233"/>
      <c r="AU67" s="1233"/>
      <c r="AV67" s="1762"/>
    </row>
    <row r="68" spans="2:48" s="35" customFormat="1" ht="12.75" customHeight="1" x14ac:dyDescent="0.2">
      <c r="B68" s="38"/>
      <c r="C68" s="39"/>
      <c r="D68" s="40"/>
      <c r="E68" s="41"/>
      <c r="F68" s="41"/>
      <c r="G68" s="565"/>
      <c r="H68" s="1371"/>
      <c r="I68" s="1371"/>
      <c r="J68" s="1371"/>
      <c r="K68" s="302"/>
      <c r="L68" s="1371"/>
      <c r="M68" s="302"/>
      <c r="N68" s="1371"/>
      <c r="O68" s="302"/>
      <c r="P68" s="42"/>
      <c r="Q68" s="42"/>
      <c r="R68" s="964"/>
      <c r="S68" s="969"/>
      <c r="T68" s="77"/>
      <c r="U68" s="77"/>
      <c r="V68" s="77"/>
      <c r="W68" s="77"/>
      <c r="X68" s="77"/>
      <c r="Y68" s="77"/>
      <c r="Z68" s="66"/>
      <c r="AA68" s="66"/>
      <c r="AB68" s="77"/>
      <c r="AC68" s="77"/>
      <c r="AD68" s="77"/>
      <c r="AE68" s="77"/>
      <c r="AF68" s="77"/>
      <c r="AG68" s="77"/>
      <c r="AH68" s="77"/>
      <c r="AI68" s="77"/>
      <c r="AJ68" s="77"/>
      <c r="AK68" s="77"/>
      <c r="AL68" s="77"/>
      <c r="AM68" s="77"/>
      <c r="AN68" s="1233"/>
      <c r="AO68" s="1775"/>
      <c r="AP68" s="1775"/>
      <c r="AQ68" s="1775"/>
      <c r="AR68" s="1775"/>
      <c r="AS68" s="1233"/>
      <c r="AT68" s="233"/>
      <c r="AU68" s="233"/>
      <c r="AV68" s="1762"/>
    </row>
    <row r="69" spans="2:48" s="35" customFormat="1" ht="12.75" customHeight="1" x14ac:dyDescent="0.2">
      <c r="B69" s="38"/>
      <c r="C69" s="39"/>
      <c r="D69" s="40"/>
      <c r="E69" s="41"/>
      <c r="F69" s="41"/>
      <c r="G69" s="565"/>
      <c r="H69" s="1371"/>
      <c r="I69" s="1371"/>
      <c r="J69" s="1371"/>
      <c r="K69" s="302"/>
      <c r="L69" s="1371"/>
      <c r="M69" s="302"/>
      <c r="N69" s="1371"/>
      <c r="O69" s="302"/>
      <c r="P69" s="42"/>
      <c r="Q69" s="42"/>
      <c r="R69" s="964"/>
      <c r="S69" s="969"/>
      <c r="T69" s="77"/>
      <c r="U69" s="77"/>
      <c r="V69" s="77"/>
      <c r="W69" s="77"/>
      <c r="X69" s="77"/>
      <c r="Y69" s="77"/>
      <c r="Z69" s="66"/>
      <c r="AA69" s="66"/>
      <c r="AB69" s="77"/>
      <c r="AC69" s="77"/>
      <c r="AD69" s="77"/>
      <c r="AE69" s="77"/>
      <c r="AF69" s="77"/>
      <c r="AG69" s="77"/>
      <c r="AH69" s="77"/>
      <c r="AI69" s="77"/>
      <c r="AJ69" s="77"/>
      <c r="AK69" s="77"/>
      <c r="AL69" s="77"/>
      <c r="AM69" s="77"/>
      <c r="AN69" s="1233"/>
      <c r="AO69" s="1775"/>
      <c r="AP69" s="1775"/>
      <c r="AQ69" s="1775"/>
      <c r="AR69" s="1775"/>
      <c r="AS69" s="1233"/>
      <c r="AT69" s="233"/>
      <c r="AU69" s="233"/>
      <c r="AV69" s="1762"/>
    </row>
    <row r="70" spans="2:48" s="35" customFormat="1" ht="12.75" customHeight="1" x14ac:dyDescent="0.2">
      <c r="B70" s="38"/>
      <c r="C70" s="39"/>
      <c r="D70" s="40"/>
      <c r="E70" s="41"/>
      <c r="F70" s="41"/>
      <c r="G70" s="565"/>
      <c r="H70" s="1371"/>
      <c r="I70" s="1371"/>
      <c r="J70" s="1371"/>
      <c r="K70" s="302"/>
      <c r="L70" s="1371"/>
      <c r="M70" s="302"/>
      <c r="N70" s="1371"/>
      <c r="O70" s="302"/>
      <c r="P70" s="42"/>
      <c r="Q70" s="42"/>
      <c r="R70" s="964"/>
      <c r="S70" s="969"/>
      <c r="T70" s="77"/>
      <c r="U70" s="77"/>
      <c r="V70" s="77"/>
      <c r="W70" s="77"/>
      <c r="X70" s="77"/>
      <c r="Y70" s="77"/>
      <c r="Z70" s="66"/>
      <c r="AA70" s="66"/>
      <c r="AB70" s="77"/>
      <c r="AC70" s="77"/>
      <c r="AD70" s="77"/>
      <c r="AE70" s="77"/>
      <c r="AF70" s="77"/>
      <c r="AG70" s="77"/>
      <c r="AH70" s="77"/>
      <c r="AI70" s="77"/>
      <c r="AJ70" s="77"/>
      <c r="AK70" s="77"/>
      <c r="AL70" s="77"/>
      <c r="AM70" s="77"/>
      <c r="AN70" s="1231"/>
      <c r="AO70" s="1775"/>
      <c r="AP70" s="1775"/>
      <c r="AQ70" s="1775"/>
      <c r="AR70" s="1775"/>
      <c r="AS70" s="1233"/>
      <c r="AT70" s="233"/>
      <c r="AU70" s="233"/>
      <c r="AV70" s="1762"/>
    </row>
  </sheetData>
  <mergeCells count="21">
    <mergeCell ref="U7:V7"/>
    <mergeCell ref="U6:V6"/>
    <mergeCell ref="AI7:AJ7"/>
    <mergeCell ref="B2:AM2"/>
    <mergeCell ref="B5:AM5"/>
    <mergeCell ref="W7:X7"/>
    <mergeCell ref="W6:X6"/>
    <mergeCell ref="B6:G8"/>
    <mergeCell ref="P6:R6"/>
    <mergeCell ref="H6:O6"/>
    <mergeCell ref="S7:T7"/>
    <mergeCell ref="S6:T6"/>
    <mergeCell ref="Y6:Z6"/>
    <mergeCell ref="Y7:Z7"/>
    <mergeCell ref="AA7:AB7"/>
    <mergeCell ref="AA6:AB6"/>
    <mergeCell ref="AC7:AD7"/>
    <mergeCell ref="AE6:AF6"/>
    <mergeCell ref="AE7:AF7"/>
    <mergeCell ref="AI6:AJ6"/>
    <mergeCell ref="AG7:AH7"/>
  </mergeCells>
  <conditionalFormatting sqref="Q27 I26:J26 H42:J42 H27 H29 I28:J28 I30:J30 H14:J14 L14 AL20:AM20 L18 I18:I19 H37:H39 S14:AA14 AH14:AM14 Y20:AJ20">
    <cfRule type="cellIs" dxfId="123" priority="524" operator="equal">
      <formula>"·¡$S$$P$16"</formula>
    </cfRule>
  </conditionalFormatting>
  <conditionalFormatting sqref="I49">
    <cfRule type="cellIs" dxfId="122" priority="507" operator="equal">
      <formula>"·¡$S$$P$16"</formula>
    </cfRule>
  </conditionalFormatting>
  <conditionalFormatting sqref="I49">
    <cfRule type="cellIs" dxfId="121" priority="506" operator="equal">
      <formula>"·¡$S$$P$16"</formula>
    </cfRule>
  </conditionalFormatting>
  <conditionalFormatting sqref="I20 H24">
    <cfRule type="cellIs" dxfId="120" priority="296" operator="equal">
      <formula>"·¡$S$$P$16"</formula>
    </cfRule>
  </conditionalFormatting>
  <conditionalFormatting sqref="I20">
    <cfRule type="cellIs" dxfId="119" priority="295" operator="equal">
      <formula>"·¡$S$$P$16"</formula>
    </cfRule>
  </conditionalFormatting>
  <conditionalFormatting sqref="Q49">
    <cfRule type="cellIs" dxfId="118" priority="222" operator="equal">
      <formula>"·¡$S$$P$16"</formula>
    </cfRule>
  </conditionalFormatting>
  <conditionalFormatting sqref="Q21:Q25">
    <cfRule type="cellIs" dxfId="117" priority="165" operator="equal">
      <formula>"·¡$S$$P$16"</formula>
    </cfRule>
  </conditionalFormatting>
  <conditionalFormatting sqref="Q21:Q25">
    <cfRule type="cellIs" dxfId="116" priority="164" operator="equal">
      <formula>"·¡$S$$P$16"</formula>
    </cfRule>
  </conditionalFormatting>
  <conditionalFormatting sqref="Q42:Q47">
    <cfRule type="cellIs" dxfId="115" priority="151" operator="equal">
      <formula>"·¡$S$$P$16"</formula>
    </cfRule>
  </conditionalFormatting>
  <conditionalFormatting sqref="Q42:Q47">
    <cfRule type="cellIs" dxfId="114" priority="150" operator="equal">
      <formula>"·¡$S$$P$16"</formula>
    </cfRule>
  </conditionalFormatting>
  <conditionalFormatting sqref="Q15:Q19">
    <cfRule type="cellIs" dxfId="113" priority="145" operator="equal">
      <formula>"·¡$S$$P$16"</formula>
    </cfRule>
  </conditionalFormatting>
  <conditionalFormatting sqref="Q15:Q19">
    <cfRule type="cellIs" dxfId="112" priority="144" operator="equal">
      <formula>"·¡$S$$P$16"</formula>
    </cfRule>
  </conditionalFormatting>
  <conditionalFormatting sqref="J49">
    <cfRule type="cellIs" dxfId="111" priority="142" operator="equal">
      <formula>"·¡$S$$P$16"</formula>
    </cfRule>
  </conditionalFormatting>
  <conditionalFormatting sqref="J21:J23 J25">
    <cfRule type="cellIs" dxfId="110" priority="141" operator="equal">
      <formula>"·¡$S$$P$16"</formula>
    </cfRule>
  </conditionalFormatting>
  <conditionalFormatting sqref="J15:J16">
    <cfRule type="cellIs" dxfId="109" priority="139" operator="equal">
      <formula>"·¡$S$$P$16"</formula>
    </cfRule>
  </conditionalFormatting>
  <conditionalFormatting sqref="J58">
    <cfRule type="cellIs" dxfId="108" priority="101" operator="equal">
      <formula>"·¡$S$$P$16"</formula>
    </cfRule>
  </conditionalFormatting>
  <conditionalFormatting sqref="P15:P19">
    <cfRule type="cellIs" dxfId="107" priority="100" operator="equal">
      <formula>"·¡$S$$P$16"</formula>
    </cfRule>
  </conditionalFormatting>
  <conditionalFormatting sqref="P15:P19">
    <cfRule type="cellIs" dxfId="106" priority="99" operator="equal">
      <formula>"·¡$S$$P$16"</formula>
    </cfRule>
  </conditionalFormatting>
  <conditionalFormatting sqref="J20">
    <cfRule type="cellIs" dxfId="105" priority="90" operator="equal">
      <formula>"·¡$S$$P$16"</formula>
    </cfRule>
  </conditionalFormatting>
  <conditionalFormatting sqref="J20">
    <cfRule type="cellIs" dxfId="104" priority="89" operator="equal">
      <formula>"·¡$S$$P$16"</formula>
    </cfRule>
  </conditionalFormatting>
  <conditionalFormatting sqref="L20">
    <cfRule type="cellIs" dxfId="103" priority="95" operator="equal">
      <formula>"·¡$S$$P$16"</formula>
    </cfRule>
  </conditionalFormatting>
  <conditionalFormatting sqref="L20">
    <cfRule type="cellIs" dxfId="102" priority="94" operator="equal">
      <formula>"·¡$S$$P$16"</formula>
    </cfRule>
  </conditionalFormatting>
  <conditionalFormatting sqref="L30">
    <cfRule type="cellIs" dxfId="101" priority="93" operator="equal">
      <formula>"·¡$S$$P$16"</formula>
    </cfRule>
  </conditionalFormatting>
  <conditionalFormatting sqref="J17:J19">
    <cfRule type="cellIs" dxfId="100" priority="92" operator="equal">
      <formula>"·¡$S$$P$16"</formula>
    </cfRule>
  </conditionalFormatting>
  <conditionalFormatting sqref="J17:J19">
    <cfRule type="cellIs" dxfId="99" priority="91" operator="equal">
      <formula>"·¡$S$$P$16"</formula>
    </cfRule>
  </conditionalFormatting>
  <conditionalFormatting sqref="J24">
    <cfRule type="cellIs" dxfId="98" priority="86" operator="equal">
      <formula>"·¡$S$$P$16"</formula>
    </cfRule>
  </conditionalFormatting>
  <conditionalFormatting sqref="J24">
    <cfRule type="cellIs" dxfId="97" priority="85" operator="equal">
      <formula>"·¡$S$$P$16"</formula>
    </cfRule>
  </conditionalFormatting>
  <conditionalFormatting sqref="N38:N39">
    <cfRule type="cellIs" dxfId="96" priority="74" operator="equal">
      <formula>"·¡$S$$P$16"</formula>
    </cfRule>
  </conditionalFormatting>
  <conditionalFormatting sqref="N38:N39">
    <cfRule type="cellIs" dxfId="95" priority="73" operator="equal">
      <formula>"·¡$S$$P$16"</formula>
    </cfRule>
  </conditionalFormatting>
  <conditionalFormatting sqref="J32:J36">
    <cfRule type="cellIs" dxfId="94" priority="82" operator="equal">
      <formula>"·¡$S$$P$16"</formula>
    </cfRule>
  </conditionalFormatting>
  <conditionalFormatting sqref="J32:J36">
    <cfRule type="cellIs" dxfId="93" priority="81" operator="equal">
      <formula>"·¡$S$$P$16"</formula>
    </cfRule>
  </conditionalFormatting>
  <conditionalFormatting sqref="I38:J39">
    <cfRule type="cellIs" dxfId="92" priority="80" operator="equal">
      <formula>"·¡$S$$P$16"</formula>
    </cfRule>
  </conditionalFormatting>
  <conditionalFormatting sqref="I38:J39">
    <cfRule type="cellIs" dxfId="91" priority="79" operator="equal">
      <formula>"·¡$S$$P$16"</formula>
    </cfRule>
  </conditionalFormatting>
  <conditionalFormatting sqref="L33:L34">
    <cfRule type="cellIs" dxfId="90" priority="75" operator="equal">
      <formula>"·¡$S$$P$16"</formula>
    </cfRule>
  </conditionalFormatting>
  <conditionalFormatting sqref="L33:L34">
    <cfRule type="cellIs" dxfId="89" priority="76" operator="equal">
      <formula>"·¡$S$$P$16"</formula>
    </cfRule>
  </conditionalFormatting>
  <conditionalFormatting sqref="I37:J37">
    <cfRule type="cellIs" dxfId="88" priority="72" operator="equal">
      <formula>"·¡$S$$P$16"</formula>
    </cfRule>
  </conditionalFormatting>
  <conditionalFormatting sqref="L37 N37">
    <cfRule type="cellIs" dxfId="87" priority="71" operator="equal">
      <formula>"·¡$S$$P$16"</formula>
    </cfRule>
  </conditionalFormatting>
  <conditionalFormatting sqref="J29">
    <cfRule type="cellIs" dxfId="86" priority="69" operator="equal">
      <formula>"·¡$S$$P$16"</formula>
    </cfRule>
  </conditionalFormatting>
  <conditionalFormatting sqref="L29">
    <cfRule type="cellIs" dxfId="85" priority="68" operator="equal">
      <formula>"·¡$S$$P$16"</formula>
    </cfRule>
  </conditionalFormatting>
  <conditionalFormatting sqref="L29">
    <cfRule type="cellIs" dxfId="84" priority="67" operator="equal">
      <formula>"·¡$S$$P$16"</formula>
    </cfRule>
  </conditionalFormatting>
  <conditionalFormatting sqref="L28">
    <cfRule type="cellIs" dxfId="83" priority="66" operator="equal">
      <formula>"·¡$S$$P$16"</formula>
    </cfRule>
  </conditionalFormatting>
  <conditionalFormatting sqref="P27">
    <cfRule type="cellIs" dxfId="82" priority="45" operator="equal">
      <formula>"·¡$S$$P$16"</formula>
    </cfRule>
  </conditionalFormatting>
  <conditionalFormatting sqref="P27">
    <cfRule type="cellIs" dxfId="81" priority="44" operator="equal">
      <formula>"·¡$S$$P$16"</formula>
    </cfRule>
  </conditionalFormatting>
  <conditionalFormatting sqref="P21:P25">
    <cfRule type="cellIs" dxfId="80" priority="47" operator="equal">
      <formula>"·¡$S$$P$16"</formula>
    </cfRule>
  </conditionalFormatting>
  <conditionalFormatting sqref="P21:P25">
    <cfRule type="cellIs" dxfId="79" priority="46" operator="equal">
      <formula>"·¡$S$$P$16"</formula>
    </cfRule>
  </conditionalFormatting>
  <conditionalFormatting sqref="P29">
    <cfRule type="cellIs" dxfId="78" priority="43" operator="equal">
      <formula>"·¡$S$$P$16"</formula>
    </cfRule>
  </conditionalFormatting>
  <conditionalFormatting sqref="P29">
    <cfRule type="cellIs" dxfId="77" priority="42" operator="equal">
      <formula>"·¡$S$$P$16"</formula>
    </cfRule>
  </conditionalFormatting>
  <conditionalFormatting sqref="P31:P33 P35:P36">
    <cfRule type="cellIs" dxfId="76" priority="41" operator="equal">
      <formula>"·¡$S$$P$16"</formula>
    </cfRule>
  </conditionalFormatting>
  <conditionalFormatting sqref="P31:P33 P35:P36">
    <cfRule type="cellIs" dxfId="75" priority="40" operator="equal">
      <formula>"·¡$S$$P$16"</formula>
    </cfRule>
  </conditionalFormatting>
  <conditionalFormatting sqref="N15:N19">
    <cfRule type="cellIs" dxfId="74" priority="39" operator="equal">
      <formula>"·¡$S$$P$16"</formula>
    </cfRule>
  </conditionalFormatting>
  <conditionalFormatting sqref="N15:N19">
    <cfRule type="cellIs" dxfId="73" priority="38" operator="equal">
      <formula>"·¡$S$$P$16"</formula>
    </cfRule>
  </conditionalFormatting>
  <conditionalFormatting sqref="I29">
    <cfRule type="cellIs" dxfId="72" priority="35" operator="equal">
      <formula>"·¡$S$$P$16"</formula>
    </cfRule>
  </conditionalFormatting>
  <conditionalFormatting sqref="I29">
    <cfRule type="cellIs" dxfId="71" priority="34" operator="equal">
      <formula>"·¡$S$$P$16"</formula>
    </cfRule>
  </conditionalFormatting>
  <conditionalFormatting sqref="L26 N26:N27">
    <cfRule type="cellIs" dxfId="70" priority="31" operator="equal">
      <formula>"·¡$S$$P$16"</formula>
    </cfRule>
  </conditionalFormatting>
  <conditionalFormatting sqref="N28">
    <cfRule type="cellIs" dxfId="69" priority="30" operator="equal">
      <formula>"·¡$S$$P$16"</formula>
    </cfRule>
  </conditionalFormatting>
  <conditionalFormatting sqref="N29">
    <cfRule type="cellIs" dxfId="68" priority="29" operator="equal">
      <formula>"·¡$S$$P$16"</formula>
    </cfRule>
  </conditionalFormatting>
  <conditionalFormatting sqref="N29">
    <cfRule type="cellIs" dxfId="67" priority="28" operator="equal">
      <formula>"·¡$S$$P$16"</formula>
    </cfRule>
  </conditionalFormatting>
  <conditionalFormatting sqref="N43:N47">
    <cfRule type="cellIs" dxfId="66" priority="23" operator="equal">
      <formula>"·¡$S$$P$16"</formula>
    </cfRule>
  </conditionalFormatting>
  <conditionalFormatting sqref="N43:N47">
    <cfRule type="cellIs" dxfId="65" priority="22" operator="equal">
      <formula>"·¡$S$$P$16"</formula>
    </cfRule>
  </conditionalFormatting>
  <conditionalFormatting sqref="J43:J47 L43:L47">
    <cfRule type="cellIs" dxfId="64" priority="15" operator="equal">
      <formula>"·¡$S$$P$16"</formula>
    </cfRule>
  </conditionalFormatting>
  <conditionalFormatting sqref="J43:J47 L43:L47">
    <cfRule type="cellIs" dxfId="63" priority="16" operator="equal">
      <formula>"·¡$S$$P$16"</formula>
    </cfRule>
  </conditionalFormatting>
  <conditionalFormatting sqref="P38:P39">
    <cfRule type="cellIs" dxfId="62" priority="14" operator="equal">
      <formula>"·¡$S$$P$16"</formula>
    </cfRule>
  </conditionalFormatting>
  <conditionalFormatting sqref="P38:P39">
    <cfRule type="cellIs" dxfId="61" priority="13" operator="equal">
      <formula>"·¡$S$$P$16"</formula>
    </cfRule>
  </conditionalFormatting>
  <conditionalFormatting sqref="Q38:Q39">
    <cfRule type="cellIs" dxfId="60" priority="12" operator="equal">
      <formula>"·¡$S$$P$16"</formula>
    </cfRule>
  </conditionalFormatting>
  <conditionalFormatting sqref="Q38:Q39">
    <cfRule type="cellIs" dxfId="59" priority="11" operator="equal">
      <formula>"·¡$S$$P$16"</formula>
    </cfRule>
  </conditionalFormatting>
  <conditionalFormatting sqref="P34:Q34">
    <cfRule type="cellIs" dxfId="58" priority="10" operator="equal">
      <formula>"·¡$S$$P$16"</formula>
    </cfRule>
  </conditionalFormatting>
  <conditionalFormatting sqref="P34:Q34">
    <cfRule type="cellIs" dxfId="57" priority="9" operator="equal">
      <formula>"·¡$S$$P$16"</formula>
    </cfRule>
  </conditionalFormatting>
  <conditionalFormatting sqref="Q32">
    <cfRule type="cellIs" dxfId="56" priority="8" operator="equal">
      <formula>"·¡$S$$P$16"</formula>
    </cfRule>
  </conditionalFormatting>
  <conditionalFormatting sqref="Q32">
    <cfRule type="cellIs" dxfId="55" priority="7" operator="equal">
      <formula>"·¡$S$$P$16"</formula>
    </cfRule>
  </conditionalFormatting>
  <conditionalFormatting sqref="Q29">
    <cfRule type="cellIs" dxfId="54" priority="6" operator="equal">
      <formula>"·¡$S$$P$16"</formula>
    </cfRule>
  </conditionalFormatting>
  <conditionalFormatting sqref="Q29">
    <cfRule type="cellIs" dxfId="53" priority="5" operator="equal">
      <formula>"·¡$S$$P$16"</formula>
    </cfRule>
  </conditionalFormatting>
  <printOptions horizontalCentered="1"/>
  <pageMargins left="1" right="1" top="1" bottom="1" header="0.5" footer="0.5"/>
  <pageSetup paperSize="5" scale="48" fitToHeight="0" orientation="landscape" r:id="rId1"/>
  <ignoredErrors>
    <ignoredError sqref="K9 K14 K13 L13 T13 K11 U13 M13:R13 L14:R14 W13:X13 K10:R10 T14:W14 U15:W16 L18 N18 U10 W10 N15 N17 U17:X18 K12 M12:X12 M11:X11" formula="1"/>
    <ignoredError sqref="AL10 AL13 AL19:AL26 AL15:AL17 AL40:AL50 AM15:AM19 H26 H27:H28 H15:H16 J16:J18 S9:T9 V9 J20 H40:H50 AA10:AA13 Y9:AB9 AB10:AB18 AC9:AD18 H25 H30:H38 AL28:AL38 AE9:AE13 H21 H22 H23 H24 AG9:AH18 AH51 AF9:AF18 H17:H20 AJ10 AJ13 AI9:AJ9 AI14:AI18 AI13 AI11:AJ12 AI10 J39:K39 J44 I26 J45:J50 J41:J43 J21 J22 J23 J24 J25 I21 K26 I25 K25 I24 I23 I22 K22 K21 K29 K27 K28 K30 N22 N23 N24 N25 N21 P22 P23 P24 P25 P21:Q21 L21 L22 L23 L24 L25 AB21:AB26 AC21:AD26 AG21:AH26 AF21:AF26 AJ21:AJ26 AI21:AI26 AI19:AI20 AF19:AF20 AG19:AH20 AC19:AD20 AB19:AB20 L19 P19" unlockedFormula="1"/>
    <ignoredError sqref="AL27 AL14 AM21:AM23 AM25 AM33 AM35 AM38 AM27:AM29 AM31 AM41 AM43:AM50 Y11:Z13 Y14:AA18 O15:O18 V10 S10:T10 M15:M18 X14:X16 X10:Z10 V13 T15:T18 Q15:R18 K15:K20 S13:S18 AE14:AE18 AJ14:AJ18 K31:K38 K49 K43:K47 J40 K48 K40:K42 K50 J26:J38 K23:K24 Y21:AA26 U21:U26 W21:X26 T21:T26 Q22:R25 N26:R26 S21:S26 V21:V26 O21 O22:O25 AE21:AE26 L26 M21 M26 M22:M25 R21 AJ19:AJ20 M19 M20 L20 AE19:AE20 S19:S20 N20:R20 Q19:R19 N19:O19 T19:T20 U19:X20 Y19:AA20 AI27:AI29 M39 L47 AF28 AF39 AG27 AG28 AG29 AG35 AG38 AG37 AG36 AG39:AH39 AG50 AG47 AG49 AG33 AG34 AG46 AG48 AG41 AG31 AG30 AG32 AG44 AG43 AG45 AG40 AG42 AC28:AC38 AC40:AC50 AA47:AA50 L39 L46 L45 L44 N39:AD39 P35:P36 L43 P43 P46 P45 P44 P47 Y40:Z40 Y41:Z42 P31 P29 Y32:Z34 Y37:Z38 Y35:Z36 Y31:Z31 Y30:Z30 Y48:Z50 Y43:Z43 Y46:Z46 Y45:Z45 Y44:Z44 Y47:Z47 L49 P49 P27 P33 P32 L27 L32 L35:L36 L31 L33 N38 N49 AA45 AJ27:AJ29 M35:M36 M33 M27:M31 M40:M49 M38 M50 M37 M32 M34 L34 L28:L30 L37 L38 L48 L40:L42 L50 AE27:AE50 AF46 AF43 AF44 AF41 AF40 AF42 AF33 AF30 AF31 AF49 AF47 AF45 AF50 AF48 AF36 AF37 AF38 AF35 AF32 AF34 AF29 AF27 AH40 AH43 AH44 AH30 AH31 AH41 AH42 AH46 AH33 AH49 AH47 AH45 AH50 AH48 AH36 AH37 AH38 AH35 AH32 AH34 AH29 AH28 AH27 V27:V38 AB27:AB38 S27:S38 W27:AA27 AC27:AD27 AD40:AD50 AD28:AD38 AA40:AA44 AA28:AA38 AA46 N34:P34 N32:O32 N37:R37 AB40:AB50 Y28:Z29 N50:R50 Q43:R49 Q27:R36 O38:R38 N33:O33 N48:P48 N28:P28 N27:O27 O49 T27:U38 S40:X50 W28:X38 P30 N29:O31 N40:R42 N43:O47 N35:O36 I49 I33 I34 I31 I35:I36 I32 I43 I44 I47 I45 I46 I27 I29 I39 I37:I38 I30 I41:I42 I40 I28 I50 I48" formula="1" unlockedFormula="1"/>
    <ignoredError sqref="AJ30:AJ38 AJ40:AJ50 AI39:AJ39 AI40:AI50 AI30:AI38" formula="1" formulaRange="1" unlockedFormula="1"/>
    <ignoredError sqref="E4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DFDD"/>
  </sheetPr>
  <dimension ref="A1:FN55"/>
  <sheetViews>
    <sheetView topLeftCell="EQ1" zoomScale="80" zoomScaleNormal="80" workbookViewId="0">
      <selection activeCell="FP54" sqref="FP54"/>
    </sheetView>
  </sheetViews>
  <sheetFormatPr baseColWidth="10" defaultRowHeight="16.5" x14ac:dyDescent="0.35"/>
  <cols>
    <col min="2" max="2" width="24.7109375" customWidth="1"/>
    <col min="5" max="5" width="30.28515625" hidden="1" customWidth="1"/>
    <col min="6" max="8" width="0" hidden="1" customWidth="1"/>
    <col min="14" max="14" width="37" customWidth="1"/>
    <col min="16" max="16" width="16.7109375" customWidth="1"/>
    <col min="24" max="24" width="28.42578125" style="69" customWidth="1"/>
    <col min="25" max="27" width="0" hidden="1" customWidth="1"/>
    <col min="34" max="34" width="31.5703125" customWidth="1"/>
    <col min="36" max="36" width="22.85546875" customWidth="1"/>
    <col min="42" max="42" width="11.42578125" style="69"/>
    <col min="44" max="44" width="11.42578125" style="69"/>
    <col min="45" max="47" width="0" hidden="1" customWidth="1"/>
    <col min="53" max="53" width="9" customWidth="1"/>
    <col min="54" max="54" width="24.42578125" customWidth="1"/>
    <col min="56" max="56" width="19.5703125" customWidth="1"/>
    <col min="57" max="57" width="17.28515625" customWidth="1"/>
    <col min="61" max="61" width="15.7109375" style="1138" bestFit="1" customWidth="1"/>
    <col min="62" max="62" width="47.140625" style="1315" bestFit="1" customWidth="1"/>
    <col min="63" max="63" width="10.140625" style="1138" bestFit="1" customWidth="1"/>
    <col min="64" max="64" width="45.42578125" style="1315" bestFit="1" customWidth="1"/>
    <col min="65" max="67" width="0" hidden="1" customWidth="1"/>
    <col min="74" max="74" width="29" customWidth="1"/>
    <col min="77" max="77" width="13" hidden="1" customWidth="1"/>
    <col min="81" max="81" width="34.140625" customWidth="1"/>
    <col min="82" max="82" width="15.7109375" customWidth="1"/>
    <col min="83" max="83" width="34.42578125" customWidth="1"/>
    <col min="84" max="86" width="0" hidden="1" customWidth="1"/>
    <col min="87" max="87" width="15.28515625" customWidth="1"/>
    <col min="93" max="93" width="26" customWidth="1"/>
    <col min="94" max="94" width="17.140625" customWidth="1"/>
    <col min="95" max="95" width="31.28515625" customWidth="1"/>
    <col min="96" max="96" width="14.28515625" style="166" hidden="1" customWidth="1"/>
    <col min="101" max="101" width="25" customWidth="1"/>
    <col min="104" max="104" width="13.5703125" style="166" hidden="1" customWidth="1"/>
    <col min="105" max="106" width="12" style="166" hidden="1" customWidth="1"/>
    <col min="113" max="113" width="29.7109375" customWidth="1"/>
    <col min="116" max="116" width="14.42578125" customWidth="1"/>
    <col min="119" max="119" width="11.42578125" style="80"/>
    <col min="120" max="120" width="25.140625" style="1474" customWidth="1"/>
    <col min="121" max="121" width="11.42578125" style="1474"/>
    <col min="122" max="122" width="35.7109375" style="1474" customWidth="1"/>
    <col min="123" max="125" width="0" hidden="1" customWidth="1"/>
    <col min="131" max="131" width="11.42578125" style="1206"/>
    <col min="132" max="132" width="40.7109375" style="1206" customWidth="1"/>
    <col min="133" max="133" width="9.85546875" style="1206" customWidth="1"/>
    <col min="134" max="134" width="41.140625" style="1206" customWidth="1"/>
    <col min="135" max="136" width="11.42578125" style="1206" hidden="1" customWidth="1"/>
    <col min="137" max="137" width="11.5703125" style="1206" bestFit="1" customWidth="1"/>
    <col min="138" max="138" width="11.42578125" style="1206"/>
    <col min="139" max="139" width="8.85546875" style="1690" customWidth="1"/>
    <col min="140" max="140" width="29.42578125" style="1690" customWidth="1"/>
    <col min="141" max="141" width="12.28515625" style="1575" customWidth="1"/>
    <col min="142" max="142" width="23.7109375" style="1690" customWidth="1"/>
    <col min="143" max="145" width="11.5703125" style="1206" hidden="1" customWidth="1"/>
    <col min="146" max="146" width="22.42578125" style="1206" customWidth="1"/>
    <col min="147" max="148" width="11.5703125" style="1206" bestFit="1" customWidth="1"/>
    <col min="151" max="151" width="15.7109375" customWidth="1"/>
    <col min="152" max="152" width="29.85546875" customWidth="1"/>
    <col min="153" max="155" width="15.7109375" customWidth="1"/>
    <col min="156" max="156" width="0" hidden="1" customWidth="1"/>
    <col min="157" max="157" width="14.7109375" customWidth="1"/>
    <col min="165" max="167" width="0" hidden="1" customWidth="1"/>
  </cols>
  <sheetData>
    <row r="1" spans="1:170" x14ac:dyDescent="0.35">
      <c r="A1" s="1909" t="s">
        <v>528</v>
      </c>
      <c r="B1" s="1909"/>
      <c r="C1" s="1909"/>
      <c r="D1" s="1909"/>
      <c r="E1" s="1909"/>
      <c r="J1">
        <v>1000</v>
      </c>
      <c r="K1">
        <v>1</v>
      </c>
      <c r="M1" s="1909" t="s">
        <v>137</v>
      </c>
      <c r="N1" s="1909"/>
      <c r="O1" s="1909"/>
      <c r="P1" s="1909"/>
      <c r="Q1" s="1909"/>
      <c r="R1">
        <v>1000</v>
      </c>
      <c r="S1">
        <v>1</v>
      </c>
      <c r="U1" s="1909" t="s">
        <v>1009</v>
      </c>
      <c r="V1" s="1909"/>
      <c r="W1" s="1909"/>
      <c r="X1" s="1909"/>
      <c r="Y1" s="1909"/>
      <c r="Z1" s="1909"/>
      <c r="AA1" s="1909"/>
      <c r="AC1">
        <v>1000</v>
      </c>
      <c r="AD1">
        <v>1</v>
      </c>
      <c r="AG1" s="1907" t="s">
        <v>1013</v>
      </c>
      <c r="AH1" s="1908"/>
      <c r="AI1" s="1908"/>
      <c r="AJ1" s="1908"/>
      <c r="AK1" s="1908"/>
      <c r="AL1">
        <v>1000</v>
      </c>
      <c r="AM1">
        <v>1</v>
      </c>
      <c r="AO1" s="1908" t="s">
        <v>1012</v>
      </c>
      <c r="AP1" s="1908"/>
      <c r="AQ1" s="1908"/>
      <c r="AR1" s="1908"/>
      <c r="AS1" s="1908"/>
      <c r="AT1" s="1908"/>
      <c r="AU1" s="1908"/>
      <c r="AV1" s="1908"/>
      <c r="AW1">
        <v>1000</v>
      </c>
      <c r="AX1">
        <v>1</v>
      </c>
      <c r="BA1" t="s">
        <v>7</v>
      </c>
      <c r="BD1">
        <v>1000</v>
      </c>
      <c r="BE1">
        <v>1</v>
      </c>
      <c r="BI1" s="1138" t="s">
        <v>1019</v>
      </c>
      <c r="BP1">
        <v>1000</v>
      </c>
      <c r="BR1">
        <v>1</v>
      </c>
      <c r="BU1" s="73" t="s">
        <v>8</v>
      </c>
      <c r="BZ1" s="73">
        <v>1000</v>
      </c>
      <c r="CB1" s="73" t="s">
        <v>1026</v>
      </c>
      <c r="CC1" s="73"/>
      <c r="CD1" s="73"/>
      <c r="CE1" s="73"/>
      <c r="CF1" s="73"/>
      <c r="CG1" s="73"/>
      <c r="CH1" s="73"/>
      <c r="CI1" s="73"/>
      <c r="CJ1" s="73"/>
      <c r="CK1" s="73">
        <v>1000</v>
      </c>
      <c r="CN1" s="1904" t="s">
        <v>9</v>
      </c>
      <c r="CO1" s="1904"/>
      <c r="CP1" s="1904"/>
      <c r="CQ1" s="1904"/>
      <c r="CR1" s="1384"/>
      <c r="CS1" s="1384">
        <v>1000</v>
      </c>
      <c r="CT1" s="73">
        <v>1</v>
      </c>
      <c r="CV1" s="1904" t="s">
        <v>1041</v>
      </c>
      <c r="CW1" s="1904"/>
      <c r="CX1" s="1904"/>
      <c r="CY1" s="1904"/>
      <c r="CZ1" s="1904"/>
      <c r="DA1" s="1904"/>
      <c r="DB1" s="1904"/>
      <c r="DC1" s="1904"/>
      <c r="DD1" s="73">
        <v>1000</v>
      </c>
      <c r="DE1" s="73">
        <v>1</v>
      </c>
      <c r="DH1" s="1911" t="s">
        <v>1051</v>
      </c>
      <c r="DI1" s="1911"/>
      <c r="DJ1" s="1911"/>
      <c r="DK1" s="1911"/>
      <c r="DL1" s="73">
        <v>1000</v>
      </c>
      <c r="DM1" s="73">
        <v>1</v>
      </c>
      <c r="DN1" s="73"/>
      <c r="DO1" s="1910" t="s">
        <v>864</v>
      </c>
      <c r="DP1" s="1910"/>
      <c r="DQ1" s="1910"/>
      <c r="DR1" s="1910"/>
      <c r="DS1" s="73"/>
      <c r="DT1" s="73"/>
      <c r="DU1" s="73"/>
      <c r="DV1" s="73"/>
      <c r="DW1" s="73">
        <v>1000</v>
      </c>
      <c r="DX1" s="73">
        <v>1</v>
      </c>
      <c r="DY1" s="73"/>
      <c r="EA1" s="1905" t="s">
        <v>10</v>
      </c>
      <c r="EB1" s="1905"/>
      <c r="EC1" s="1905"/>
      <c r="ED1" s="1905"/>
      <c r="EE1" s="1905"/>
      <c r="EF1" s="1605">
        <v>1000</v>
      </c>
      <c r="EG1" s="1605">
        <v>1</v>
      </c>
      <c r="EH1" s="1605"/>
      <c r="EI1" s="1906" t="s">
        <v>870</v>
      </c>
      <c r="EJ1" s="1906"/>
      <c r="EK1" s="1906"/>
      <c r="EL1" s="1906"/>
      <c r="EM1" s="1906"/>
      <c r="EN1" s="1906"/>
      <c r="EO1" s="1906"/>
      <c r="EP1" s="1906"/>
      <c r="EQ1" s="1605">
        <v>1000</v>
      </c>
      <c r="ER1" s="1605">
        <v>1</v>
      </c>
      <c r="EU1" s="1904" t="s">
        <v>11</v>
      </c>
      <c r="EV1" s="1904"/>
      <c r="EW1" s="1904"/>
      <c r="EX1" s="1904"/>
      <c r="EY1" s="1904"/>
      <c r="EZ1" s="73"/>
      <c r="FA1" s="73">
        <v>1000</v>
      </c>
      <c r="FB1">
        <v>1</v>
      </c>
      <c r="FD1" s="1904" t="s">
        <v>1070</v>
      </c>
      <c r="FE1" s="1904"/>
      <c r="FF1" s="1904"/>
      <c r="FG1" s="1904"/>
      <c r="FH1" s="1904"/>
      <c r="FI1" s="1904"/>
      <c r="FJ1" s="1904"/>
      <c r="FK1" s="1904"/>
      <c r="FL1" s="1904"/>
      <c r="FM1">
        <v>1000</v>
      </c>
      <c r="FN1">
        <v>1</v>
      </c>
    </row>
    <row r="2" spans="1:170" ht="45" x14ac:dyDescent="0.35">
      <c r="A2" s="954" t="s">
        <v>425</v>
      </c>
      <c r="B2" s="954" t="s">
        <v>453</v>
      </c>
      <c r="C2" s="954" t="s">
        <v>426</v>
      </c>
      <c r="D2" s="954" t="s">
        <v>535</v>
      </c>
      <c r="E2" s="954" t="s">
        <v>427</v>
      </c>
      <c r="F2" s="954" t="s">
        <v>467</v>
      </c>
      <c r="G2" s="954" t="s">
        <v>487</v>
      </c>
      <c r="H2" s="954" t="s">
        <v>429</v>
      </c>
      <c r="I2" s="954" t="s">
        <v>467</v>
      </c>
      <c r="J2" s="954" t="s">
        <v>487</v>
      </c>
      <c r="K2" s="954" t="s">
        <v>429</v>
      </c>
      <c r="M2" s="954" t="s">
        <v>425</v>
      </c>
      <c r="N2" s="954" t="s">
        <v>453</v>
      </c>
      <c r="O2" s="954" t="s">
        <v>426</v>
      </c>
      <c r="P2" s="954" t="s">
        <v>535</v>
      </c>
      <c r="Q2" s="954" t="s">
        <v>429</v>
      </c>
      <c r="R2" s="954" t="s">
        <v>429</v>
      </c>
      <c r="U2" s="954" t="s">
        <v>425</v>
      </c>
      <c r="V2" s="954" t="s">
        <v>453</v>
      </c>
      <c r="W2" s="954" t="s">
        <v>426</v>
      </c>
      <c r="X2" s="600" t="s">
        <v>535</v>
      </c>
      <c r="Y2" s="954" t="s">
        <v>467</v>
      </c>
      <c r="Z2" s="954" t="s">
        <v>487</v>
      </c>
      <c r="AA2" s="954" t="s">
        <v>429</v>
      </c>
      <c r="AB2" s="954" t="s">
        <v>467</v>
      </c>
      <c r="AC2" s="954" t="s">
        <v>487</v>
      </c>
      <c r="AD2" s="954" t="s">
        <v>429</v>
      </c>
      <c r="AG2" s="954" t="s">
        <v>425</v>
      </c>
      <c r="AH2" s="954" t="s">
        <v>453</v>
      </c>
      <c r="AI2" s="954" t="s">
        <v>426</v>
      </c>
      <c r="AJ2" s="954" t="s">
        <v>535</v>
      </c>
      <c r="AK2" s="954" t="s">
        <v>429</v>
      </c>
      <c r="AL2" s="954" t="s">
        <v>429</v>
      </c>
      <c r="AO2" s="954" t="s">
        <v>425</v>
      </c>
      <c r="AP2" s="954" t="s">
        <v>453</v>
      </c>
      <c r="AQ2" s="954" t="s">
        <v>426</v>
      </c>
      <c r="AR2" s="954" t="s">
        <v>535</v>
      </c>
      <c r="AS2" s="954" t="s">
        <v>467</v>
      </c>
      <c r="AT2" s="954" t="s">
        <v>487</v>
      </c>
      <c r="AU2" s="954" t="s">
        <v>429</v>
      </c>
      <c r="AV2" s="954" t="s">
        <v>467</v>
      </c>
      <c r="AW2" s="954" t="s">
        <v>487</v>
      </c>
      <c r="AX2" s="954" t="s">
        <v>429</v>
      </c>
      <c r="BA2" s="954" t="s">
        <v>425</v>
      </c>
      <c r="BB2" s="954" t="s">
        <v>453</v>
      </c>
      <c r="BC2" s="954" t="s">
        <v>426</v>
      </c>
      <c r="BD2" s="954" t="s">
        <v>535</v>
      </c>
      <c r="BE2" s="954" t="s">
        <v>429</v>
      </c>
      <c r="BF2" s="954" t="str">
        <f>+BE2</f>
        <v>Monto Devengo</v>
      </c>
      <c r="BI2" s="954" t="s">
        <v>425</v>
      </c>
      <c r="BJ2" s="954" t="s">
        <v>453</v>
      </c>
      <c r="BK2" s="954" t="s">
        <v>426</v>
      </c>
      <c r="BL2" s="954" t="s">
        <v>535</v>
      </c>
      <c r="BM2" s="954" t="s">
        <v>467</v>
      </c>
      <c r="BN2" s="954" t="s">
        <v>487</v>
      </c>
      <c r="BO2" s="954" t="s">
        <v>429</v>
      </c>
      <c r="BP2" s="954" t="s">
        <v>467</v>
      </c>
      <c r="BQ2" s="954" t="s">
        <v>487</v>
      </c>
      <c r="BR2" s="954" t="s">
        <v>429</v>
      </c>
      <c r="BU2" s="954" t="s">
        <v>425</v>
      </c>
      <c r="BV2" s="954" t="s">
        <v>453</v>
      </c>
      <c r="BW2" s="954" t="s">
        <v>426</v>
      </c>
      <c r="BX2" s="954" t="s">
        <v>535</v>
      </c>
      <c r="BY2" s="954" t="s">
        <v>429</v>
      </c>
      <c r="BZ2" s="954" t="s">
        <v>1029</v>
      </c>
      <c r="CB2" s="954" t="s">
        <v>425</v>
      </c>
      <c r="CC2" s="954" t="s">
        <v>453</v>
      </c>
      <c r="CD2" s="954" t="s">
        <v>426</v>
      </c>
      <c r="CE2" s="954" t="s">
        <v>535</v>
      </c>
      <c r="CF2" s="954" t="s">
        <v>467</v>
      </c>
      <c r="CG2" s="954" t="s">
        <v>487</v>
      </c>
      <c r="CH2" s="954" t="s">
        <v>429</v>
      </c>
      <c r="CI2" s="954" t="s">
        <v>357</v>
      </c>
      <c r="CJ2" s="954" t="s">
        <v>1030</v>
      </c>
      <c r="CK2" s="954" t="s">
        <v>1029</v>
      </c>
      <c r="CN2" s="954" t="s">
        <v>425</v>
      </c>
      <c r="CO2" s="954" t="s">
        <v>453</v>
      </c>
      <c r="CP2" s="954" t="s">
        <v>426</v>
      </c>
      <c r="CQ2" s="954" t="s">
        <v>535</v>
      </c>
      <c r="CR2" s="954" t="s">
        <v>429</v>
      </c>
      <c r="CS2" s="954" t="s">
        <v>429</v>
      </c>
      <c r="CV2" s="954" t="s">
        <v>425</v>
      </c>
      <c r="CW2" s="954" t="s">
        <v>453</v>
      </c>
      <c r="CX2" s="954" t="s">
        <v>426</v>
      </c>
      <c r="CY2" s="954" t="s">
        <v>535</v>
      </c>
      <c r="CZ2" s="954" t="s">
        <v>467</v>
      </c>
      <c r="DA2" s="954" t="s">
        <v>487</v>
      </c>
      <c r="DB2" s="954" t="s">
        <v>429</v>
      </c>
      <c r="DC2" s="954" t="s">
        <v>467</v>
      </c>
      <c r="DD2" s="954" t="s">
        <v>487</v>
      </c>
      <c r="DE2" s="954" t="s">
        <v>429</v>
      </c>
      <c r="DH2" s="954" t="s">
        <v>425</v>
      </c>
      <c r="DI2" s="954" t="s">
        <v>453</v>
      </c>
      <c r="DJ2" s="954" t="s">
        <v>426</v>
      </c>
      <c r="DK2" s="954" t="s">
        <v>535</v>
      </c>
      <c r="DL2" s="954" t="s">
        <v>429</v>
      </c>
      <c r="DM2" s="954" t="s">
        <v>429</v>
      </c>
      <c r="DO2" s="954" t="s">
        <v>425</v>
      </c>
      <c r="DP2" s="954" t="s">
        <v>453</v>
      </c>
      <c r="DQ2" s="954" t="s">
        <v>426</v>
      </c>
      <c r="DR2" s="954" t="s">
        <v>535</v>
      </c>
      <c r="DS2" s="954" t="s">
        <v>467</v>
      </c>
      <c r="DT2" s="954" t="s">
        <v>487</v>
      </c>
      <c r="DU2" s="954" t="s">
        <v>429</v>
      </c>
      <c r="DV2" s="954" t="s">
        <v>467</v>
      </c>
      <c r="DW2" s="954" t="s">
        <v>487</v>
      </c>
      <c r="DX2" s="954" t="s">
        <v>429</v>
      </c>
      <c r="EA2" s="954" t="s">
        <v>425</v>
      </c>
      <c r="EB2" s="954" t="s">
        <v>453</v>
      </c>
      <c r="EC2" s="954" t="s">
        <v>426</v>
      </c>
      <c r="ED2" s="954" t="s">
        <v>535</v>
      </c>
      <c r="EE2" s="954" t="s">
        <v>427</v>
      </c>
      <c r="EF2" s="954" t="s">
        <v>429</v>
      </c>
      <c r="EG2" s="954" t="s">
        <v>429</v>
      </c>
      <c r="EI2" s="954" t="s">
        <v>425</v>
      </c>
      <c r="EJ2" s="954" t="s">
        <v>453</v>
      </c>
      <c r="EK2" s="954" t="s">
        <v>426</v>
      </c>
      <c r="EL2" s="954" t="s">
        <v>535</v>
      </c>
      <c r="EM2" s="954" t="s">
        <v>467</v>
      </c>
      <c r="EN2" s="954" t="s">
        <v>487</v>
      </c>
      <c r="EO2" s="954" t="s">
        <v>429</v>
      </c>
      <c r="EP2" s="954" t="s">
        <v>467</v>
      </c>
      <c r="EQ2" s="954" t="s">
        <v>487</v>
      </c>
      <c r="ER2" s="954" t="s">
        <v>429</v>
      </c>
      <c r="EU2" s="1760" t="s">
        <v>425</v>
      </c>
      <c r="EV2" s="1760" t="s">
        <v>453</v>
      </c>
      <c r="EW2" s="1760" t="s">
        <v>426</v>
      </c>
      <c r="EX2" s="1760" t="s">
        <v>535</v>
      </c>
      <c r="EY2" s="1760" t="s">
        <v>427</v>
      </c>
      <c r="EZ2" s="1760" t="s">
        <v>429</v>
      </c>
      <c r="FA2" s="1760" t="s">
        <v>429</v>
      </c>
      <c r="FD2" s="1760" t="s">
        <v>425</v>
      </c>
      <c r="FE2" s="1760" t="s">
        <v>453</v>
      </c>
      <c r="FF2" s="1760" t="s">
        <v>426</v>
      </c>
      <c r="FG2" s="1760" t="s">
        <v>535</v>
      </c>
      <c r="FH2" s="1760" t="s">
        <v>427</v>
      </c>
      <c r="FI2" s="1760" t="s">
        <v>467</v>
      </c>
      <c r="FJ2" s="1760" t="s">
        <v>487</v>
      </c>
      <c r="FK2" s="1760" t="s">
        <v>429</v>
      </c>
      <c r="FL2" s="1760" t="s">
        <v>467</v>
      </c>
      <c r="FM2" s="1760" t="s">
        <v>487</v>
      </c>
      <c r="FN2" s="1760" t="s">
        <v>429</v>
      </c>
    </row>
    <row r="3" spans="1:170" x14ac:dyDescent="0.35">
      <c r="A3" s="350" t="s">
        <v>987</v>
      </c>
      <c r="B3" s="638" t="s">
        <v>988</v>
      </c>
      <c r="C3" s="350" t="s">
        <v>447</v>
      </c>
      <c r="D3" s="638" t="s">
        <v>447</v>
      </c>
      <c r="E3" s="638" t="s">
        <v>433</v>
      </c>
      <c r="F3" s="244">
        <v>192906000</v>
      </c>
      <c r="G3" s="244">
        <v>0</v>
      </c>
      <c r="H3" s="244">
        <v>0</v>
      </c>
      <c r="I3" s="244">
        <f>+F3/$J$1*$K$1</f>
        <v>192906</v>
      </c>
      <c r="J3" s="244">
        <f t="shared" ref="J3:K3" si="0">+G3/$J$1*$K$1</f>
        <v>0</v>
      </c>
      <c r="K3" s="244">
        <f t="shared" si="0"/>
        <v>0</v>
      </c>
      <c r="M3" s="350" t="s">
        <v>430</v>
      </c>
      <c r="N3" s="638" t="s">
        <v>454</v>
      </c>
      <c r="O3" s="350" t="s">
        <v>715</v>
      </c>
      <c r="P3" s="638" t="s">
        <v>716</v>
      </c>
      <c r="Q3" s="244">
        <v>0</v>
      </c>
      <c r="R3" s="1123">
        <f>+Q3/$R$1*$S$1</f>
        <v>0</v>
      </c>
      <c r="U3" s="350" t="s">
        <v>987</v>
      </c>
      <c r="V3" s="350" t="s">
        <v>988</v>
      </c>
      <c r="W3" s="350" t="s">
        <v>447</v>
      </c>
      <c r="X3" s="638" t="s">
        <v>447</v>
      </c>
      <c r="Y3" s="244">
        <v>192906000</v>
      </c>
      <c r="Z3" s="244">
        <v>0</v>
      </c>
      <c r="AA3" s="244">
        <v>0</v>
      </c>
      <c r="AB3" s="244">
        <f>+Y3/$AC$1*$AD$1</f>
        <v>192906</v>
      </c>
      <c r="AC3" s="244">
        <f t="shared" ref="AC3:AD3" si="1">+Z3/$AC$1*$AD$1</f>
        <v>0</v>
      </c>
      <c r="AD3" s="244">
        <f t="shared" si="1"/>
        <v>0</v>
      </c>
      <c r="AG3" s="1229" t="s">
        <v>430</v>
      </c>
      <c r="AH3" s="1229" t="s">
        <v>454</v>
      </c>
      <c r="AI3" s="1229" t="s">
        <v>457</v>
      </c>
      <c r="AJ3" s="1229" t="s">
        <v>274</v>
      </c>
      <c r="AK3" s="1230">
        <v>7800000</v>
      </c>
      <c r="AL3" s="1230">
        <f>+AK3/$AL$1*$AM$1</f>
        <v>7800</v>
      </c>
      <c r="AO3" s="1238" t="s">
        <v>987</v>
      </c>
      <c r="AP3" s="1239" t="s">
        <v>988</v>
      </c>
      <c r="AQ3" s="1238" t="s">
        <v>447</v>
      </c>
      <c r="AR3" s="1239" t="s">
        <v>447</v>
      </c>
      <c r="AS3" s="1240">
        <v>192906000</v>
      </c>
      <c r="AT3" s="1240">
        <v>0</v>
      </c>
      <c r="AU3" s="1240">
        <v>0</v>
      </c>
      <c r="AV3" s="1240">
        <f>+AS3/$AW$1*$AX$1</f>
        <v>192906</v>
      </c>
      <c r="AW3" s="1240">
        <f t="shared" ref="AW3:AX3" si="2">+AT3/$AW$1*$AX$1</f>
        <v>0</v>
      </c>
      <c r="AX3" s="1240">
        <f t="shared" si="2"/>
        <v>0</v>
      </c>
      <c r="BA3" s="536" t="s">
        <v>987</v>
      </c>
      <c r="BB3" s="536" t="s">
        <v>988</v>
      </c>
      <c r="BC3" s="536" t="s">
        <v>447</v>
      </c>
      <c r="BD3" s="536" t="s">
        <v>447</v>
      </c>
      <c r="BE3" s="1317">
        <v>192906000</v>
      </c>
      <c r="BF3" s="1318">
        <f>+BE3/$BD$1*$BE$1</f>
        <v>192906</v>
      </c>
      <c r="BI3" s="1314" t="s">
        <v>987</v>
      </c>
      <c r="BJ3" s="1316" t="s">
        <v>988</v>
      </c>
      <c r="BK3" s="1314" t="s">
        <v>447</v>
      </c>
      <c r="BL3" s="1316" t="s">
        <v>447</v>
      </c>
      <c r="BM3" s="244">
        <v>192906000</v>
      </c>
      <c r="BN3" s="244">
        <v>0</v>
      </c>
      <c r="BO3" s="244">
        <v>0</v>
      </c>
      <c r="BP3" s="166">
        <f>+BM3/$BP$1*$BR$1</f>
        <v>192906</v>
      </c>
      <c r="BQ3" s="166">
        <f t="shared" ref="BQ3:BR3" si="3">+BN3/$BP$1*$BR$1</f>
        <v>0</v>
      </c>
      <c r="BR3" s="166">
        <f t="shared" si="3"/>
        <v>0</v>
      </c>
      <c r="BU3" s="1316" t="s">
        <v>430</v>
      </c>
      <c r="BV3" s="1316" t="s">
        <v>454</v>
      </c>
      <c r="BW3" s="1316" t="s">
        <v>447</v>
      </c>
      <c r="BX3" s="1316" t="s">
        <v>447</v>
      </c>
      <c r="BY3" s="1353">
        <v>0</v>
      </c>
      <c r="BZ3" s="166">
        <f>+BY3/$BZ$1</f>
        <v>0</v>
      </c>
      <c r="CB3" s="1316" t="s">
        <v>987</v>
      </c>
      <c r="CC3" s="1316" t="s">
        <v>988</v>
      </c>
      <c r="CD3" s="1316" t="s">
        <v>447</v>
      </c>
      <c r="CE3" s="1316" t="s">
        <v>447</v>
      </c>
      <c r="CF3" s="244">
        <v>192906000</v>
      </c>
      <c r="CG3" s="244">
        <v>0</v>
      </c>
      <c r="CH3" s="244">
        <v>0</v>
      </c>
      <c r="CI3" s="537">
        <f>+CF3/$CK$1</f>
        <v>192906</v>
      </c>
      <c r="CJ3" s="537">
        <f t="shared" ref="CJ3:CK3" si="4">+CG3/$CK$1</f>
        <v>0</v>
      </c>
      <c r="CK3" s="537">
        <f t="shared" si="4"/>
        <v>0</v>
      </c>
      <c r="CN3" t="s">
        <v>430</v>
      </c>
      <c r="CO3" t="s">
        <v>454</v>
      </c>
      <c r="CP3" t="s">
        <v>431</v>
      </c>
      <c r="CQ3" t="s">
        <v>432</v>
      </c>
      <c r="CR3" s="166">
        <v>72000000</v>
      </c>
      <c r="CS3" s="283">
        <f>+CR3/$CS$1*$CT$1</f>
        <v>72000</v>
      </c>
      <c r="CV3" t="s">
        <v>987</v>
      </c>
      <c r="CW3" t="s">
        <v>988</v>
      </c>
      <c r="CX3" t="s">
        <v>447</v>
      </c>
      <c r="CY3" t="s">
        <v>447</v>
      </c>
      <c r="CZ3" s="166">
        <v>192906000</v>
      </c>
      <c r="DA3" s="166">
        <v>0</v>
      </c>
      <c r="DB3" s="166">
        <v>0</v>
      </c>
      <c r="DC3" s="166">
        <f>+CZ3/$DD$1*$DE$1</f>
        <v>192906</v>
      </c>
      <c r="DD3" s="166">
        <f t="shared" ref="DD3:DE3" si="5">+DA3/$DD$1*$DE$1</f>
        <v>0</v>
      </c>
      <c r="DE3" s="166">
        <f t="shared" si="5"/>
        <v>0</v>
      </c>
      <c r="DH3" t="s">
        <v>430</v>
      </c>
      <c r="DI3" t="s">
        <v>454</v>
      </c>
      <c r="DJ3" t="s">
        <v>715</v>
      </c>
      <c r="DK3" t="s">
        <v>716</v>
      </c>
      <c r="DL3" s="166">
        <v>648187</v>
      </c>
      <c r="DM3" s="166">
        <f t="shared" ref="DM3:DM10" si="6">+DL3/$DL$1*$DM$1</f>
        <v>648.18700000000001</v>
      </c>
      <c r="DO3" s="1472" t="s">
        <v>987</v>
      </c>
      <c r="DP3" s="1473" t="s">
        <v>988</v>
      </c>
      <c r="DQ3" s="1473" t="s">
        <v>447</v>
      </c>
      <c r="DR3" s="1473" t="s">
        <v>447</v>
      </c>
      <c r="DS3" s="1230">
        <v>192906000</v>
      </c>
      <c r="DT3" s="1230">
        <v>0</v>
      </c>
      <c r="DU3" s="1230">
        <v>0</v>
      </c>
      <c r="DV3" s="166">
        <f t="shared" ref="DV3:DV34" si="7">+DS3/$DW$1*$DX$1</f>
        <v>192906</v>
      </c>
      <c r="DW3" s="166">
        <f t="shared" ref="DW3:DW34" si="8">+DT3/$DW$1*$DX$1</f>
        <v>0</v>
      </c>
      <c r="DX3" s="166">
        <f t="shared" ref="DX3:DX34" si="9">+DU3/$DW$1*$DX$1</f>
        <v>0</v>
      </c>
      <c r="EA3" s="1262" t="s">
        <v>430</v>
      </c>
      <c r="EB3" s="1262" t="s">
        <v>454</v>
      </c>
      <c r="EC3" s="1262" t="s">
        <v>457</v>
      </c>
      <c r="ED3" s="1262" t="s">
        <v>274</v>
      </c>
      <c r="EE3" s="1262" t="s">
        <v>433</v>
      </c>
      <c r="EF3" s="1688">
        <v>51500000</v>
      </c>
      <c r="EG3" s="1687">
        <f t="shared" ref="EG3:EG11" si="10">+EF3/$EF$1*$EG$1</f>
        <v>51500</v>
      </c>
      <c r="EI3" s="1262" t="s">
        <v>987</v>
      </c>
      <c r="EJ3" s="1262" t="s">
        <v>988</v>
      </c>
      <c r="EK3" s="1266" t="s">
        <v>447</v>
      </c>
      <c r="EL3" s="1262" t="s">
        <v>447</v>
      </c>
      <c r="EM3" s="355">
        <v>192906000</v>
      </c>
      <c r="EN3" s="355">
        <v>0</v>
      </c>
      <c r="EO3" s="355">
        <v>0</v>
      </c>
      <c r="EP3" s="1687">
        <f t="shared" ref="EP3:EP34" si="11">+EM3/$EQ$1*$ER$1</f>
        <v>192906</v>
      </c>
      <c r="EQ3" s="1687">
        <f t="shared" ref="EQ3:EQ34" si="12">+EN3/$EQ$1*$ER$1</f>
        <v>0</v>
      </c>
      <c r="ER3" s="1687">
        <f t="shared" ref="ER3:ER34" si="13">+EO3/$EQ$1*$ER$1</f>
        <v>0</v>
      </c>
      <c r="EU3" s="1314" t="s">
        <v>430</v>
      </c>
      <c r="EV3" s="1314" t="s">
        <v>454</v>
      </c>
      <c r="EW3" s="1314" t="s">
        <v>457</v>
      </c>
      <c r="EX3" s="1314" t="s">
        <v>274</v>
      </c>
      <c r="EY3" s="1316" t="s">
        <v>433</v>
      </c>
      <c r="EZ3" s="1353">
        <v>33000000</v>
      </c>
      <c r="FA3" s="1759">
        <f>+EZ3/$FA$1*$FB$1</f>
        <v>33000</v>
      </c>
      <c r="FD3" s="1266" t="s">
        <v>987</v>
      </c>
      <c r="FE3" s="1266" t="s">
        <v>988</v>
      </c>
      <c r="FF3" s="1266" t="s">
        <v>447</v>
      </c>
      <c r="FG3" s="1266" t="s">
        <v>447</v>
      </c>
      <c r="FH3" s="1262" t="s">
        <v>433</v>
      </c>
      <c r="FI3" s="355">
        <v>192906000</v>
      </c>
      <c r="FJ3" s="355">
        <v>0</v>
      </c>
      <c r="FK3" s="355">
        <v>0</v>
      </c>
      <c r="FL3" s="166">
        <f>+FI3/$FM$1*$FN$1</f>
        <v>192906</v>
      </c>
      <c r="FM3" s="166">
        <f t="shared" ref="FM3:FN3" si="14">+FJ3/$FM$1*$FN$1</f>
        <v>0</v>
      </c>
      <c r="FN3" s="166">
        <f t="shared" si="14"/>
        <v>0</v>
      </c>
    </row>
    <row r="4" spans="1:170" x14ac:dyDescent="0.35">
      <c r="A4" s="350" t="s">
        <v>430</v>
      </c>
      <c r="B4" s="638" t="s">
        <v>454</v>
      </c>
      <c r="C4" s="350" t="s">
        <v>457</v>
      </c>
      <c r="D4" s="638" t="s">
        <v>274</v>
      </c>
      <c r="E4" s="638" t="s">
        <v>433</v>
      </c>
      <c r="F4" s="244">
        <v>1074172000</v>
      </c>
      <c r="G4" s="244">
        <v>0</v>
      </c>
      <c r="H4" s="244">
        <v>0</v>
      </c>
      <c r="I4" s="244">
        <f t="shared" ref="I4:I36" si="15">+F4/$J$1*$K$1</f>
        <v>1074172</v>
      </c>
      <c r="J4" s="244">
        <f t="shared" ref="J4:J36" si="16">+G4/$J$1*$K$1</f>
        <v>0</v>
      </c>
      <c r="K4" s="244">
        <f t="shared" ref="K4:K36" si="17">+H4/$J$1*$K$1</f>
        <v>0</v>
      </c>
      <c r="M4" s="350" t="s">
        <v>430</v>
      </c>
      <c r="N4" s="638" t="s">
        <v>454</v>
      </c>
      <c r="O4" s="350" t="s">
        <v>628</v>
      </c>
      <c r="P4" s="638" t="s">
        <v>331</v>
      </c>
      <c r="Q4" s="244">
        <v>0</v>
      </c>
      <c r="R4" s="1123">
        <f t="shared" ref="R4:R20" si="18">+Q4/$R$1*$S$1</f>
        <v>0</v>
      </c>
      <c r="U4" s="350" t="s">
        <v>430</v>
      </c>
      <c r="V4" s="350" t="s">
        <v>454</v>
      </c>
      <c r="W4" s="350" t="s">
        <v>457</v>
      </c>
      <c r="X4" s="638" t="s">
        <v>274</v>
      </c>
      <c r="Y4" s="244">
        <v>1075022000</v>
      </c>
      <c r="Z4" s="244">
        <v>0</v>
      </c>
      <c r="AA4" s="244">
        <v>0</v>
      </c>
      <c r="AB4" s="244">
        <f t="shared" ref="AB4:AB41" si="19">+Y4/$AC$1*$AD$1</f>
        <v>1075022</v>
      </c>
      <c r="AC4" s="244">
        <f t="shared" ref="AC4:AC41" si="20">+Z4/$AC$1*$AD$1</f>
        <v>0</v>
      </c>
      <c r="AD4" s="244">
        <f t="shared" ref="AD4:AD41" si="21">+AA4/$AC$1*$AD$1</f>
        <v>0</v>
      </c>
      <c r="AG4" s="1229" t="s">
        <v>430</v>
      </c>
      <c r="AH4" s="1229" t="s">
        <v>454</v>
      </c>
      <c r="AI4" s="1229" t="s">
        <v>715</v>
      </c>
      <c r="AJ4" s="1229" t="s">
        <v>716</v>
      </c>
      <c r="AK4" s="1230">
        <v>0</v>
      </c>
      <c r="AL4" s="1230">
        <f t="shared" ref="AL4:AL16" si="22">+AK4/$AL$1*$AM$1</f>
        <v>0</v>
      </c>
      <c r="AO4" s="1238" t="s">
        <v>430</v>
      </c>
      <c r="AP4" s="1239" t="s">
        <v>454</v>
      </c>
      <c r="AQ4" s="1238" t="s">
        <v>457</v>
      </c>
      <c r="AR4" s="1239" t="s">
        <v>274</v>
      </c>
      <c r="AS4" s="1240">
        <v>1075022000</v>
      </c>
      <c r="AT4" s="1240">
        <v>0</v>
      </c>
      <c r="AU4" s="1240">
        <v>0</v>
      </c>
      <c r="AV4" s="1240">
        <f t="shared" ref="AV4:AV43" si="23">+AS4/$AW$1*$AX$1</f>
        <v>1075022</v>
      </c>
      <c r="AW4" s="1240">
        <f t="shared" ref="AW4:AW43" si="24">+AT4/$AW$1*$AX$1</f>
        <v>0</v>
      </c>
      <c r="AX4" s="1240">
        <f t="shared" ref="AX4:AX43" si="25">+AU4/$AW$1*$AX$1</f>
        <v>0</v>
      </c>
      <c r="BA4" s="536" t="s">
        <v>430</v>
      </c>
      <c r="BB4" s="536" t="s">
        <v>454</v>
      </c>
      <c r="BC4" s="536" t="s">
        <v>715</v>
      </c>
      <c r="BD4" s="536" t="s">
        <v>716</v>
      </c>
      <c r="BE4" s="1317">
        <v>2450000</v>
      </c>
      <c r="BF4" s="1318">
        <f t="shared" ref="BF4:BF10" si="26">+BE4/$BD$1*$BE$1</f>
        <v>2450</v>
      </c>
      <c r="BI4" s="1314" t="s">
        <v>987</v>
      </c>
      <c r="BJ4" s="1316" t="s">
        <v>988</v>
      </c>
      <c r="BK4" s="1314" t="s">
        <v>447</v>
      </c>
      <c r="BL4" s="1316" t="s">
        <v>447</v>
      </c>
      <c r="BM4" s="244">
        <v>0</v>
      </c>
      <c r="BN4" s="244">
        <v>192906000</v>
      </c>
      <c r="BO4" s="244">
        <v>192906000</v>
      </c>
      <c r="BP4" s="166">
        <f t="shared" ref="BP4:BP46" si="27">+BM4/$BP$1*$BR$1</f>
        <v>0</v>
      </c>
      <c r="BQ4" s="166">
        <f t="shared" ref="BQ4:BQ46" si="28">+BN4/$BP$1*$BR$1</f>
        <v>192906</v>
      </c>
      <c r="BR4" s="166">
        <f t="shared" ref="BR4:BR46" si="29">+BO4/$BP$1*$BR$1</f>
        <v>192906</v>
      </c>
      <c r="BU4" s="1316" t="s">
        <v>430</v>
      </c>
      <c r="BV4" s="1316" t="s">
        <v>454</v>
      </c>
      <c r="BW4" s="1316" t="s">
        <v>431</v>
      </c>
      <c r="BX4" s="1316" t="s">
        <v>432</v>
      </c>
      <c r="BY4" s="1353">
        <v>154360000</v>
      </c>
      <c r="BZ4" s="166">
        <f t="shared" ref="BZ4:BZ22" si="30">+BY4/$BZ$1</f>
        <v>154360</v>
      </c>
      <c r="CB4" s="1316" t="s">
        <v>987</v>
      </c>
      <c r="CC4" s="1316" t="s">
        <v>988</v>
      </c>
      <c r="CD4" s="1316" t="s">
        <v>447</v>
      </c>
      <c r="CE4" s="1316" t="s">
        <v>447</v>
      </c>
      <c r="CF4" s="244">
        <v>0</v>
      </c>
      <c r="CG4" s="244">
        <v>192906000</v>
      </c>
      <c r="CH4" s="244">
        <v>192906000</v>
      </c>
      <c r="CI4" s="537">
        <f t="shared" ref="CI4:CI49" si="31">+CF4/$CK$1</f>
        <v>0</v>
      </c>
      <c r="CJ4" s="537">
        <f t="shared" ref="CJ4:CJ49" si="32">+CG4/$CK$1</f>
        <v>192906</v>
      </c>
      <c r="CK4" s="537">
        <f t="shared" ref="CK4:CK49" si="33">+CH4/$CK$1</f>
        <v>192906</v>
      </c>
      <c r="CN4" t="s">
        <v>430</v>
      </c>
      <c r="CO4" t="s">
        <v>454</v>
      </c>
      <c r="CP4" t="s">
        <v>715</v>
      </c>
      <c r="CQ4" t="s">
        <v>716</v>
      </c>
      <c r="CR4" s="166">
        <v>547376</v>
      </c>
      <c r="CS4" s="283">
        <f t="shared" ref="CS4:CS11" si="34">+CR4/$CS$1*$CT$1</f>
        <v>547.37599999999998</v>
      </c>
      <c r="CV4" t="s">
        <v>987</v>
      </c>
      <c r="CW4" t="s">
        <v>988</v>
      </c>
      <c r="CX4" t="s">
        <v>447</v>
      </c>
      <c r="CY4" t="s">
        <v>447</v>
      </c>
      <c r="CZ4" s="166">
        <v>0</v>
      </c>
      <c r="DA4" s="166">
        <v>192906000</v>
      </c>
      <c r="DB4" s="166">
        <v>192906000</v>
      </c>
      <c r="DC4" s="166">
        <f t="shared" ref="DC4:DC50" si="35">+CZ4/$DD$1*$DE$1</f>
        <v>0</v>
      </c>
      <c r="DD4" s="166">
        <f t="shared" ref="DD4:DD50" si="36">+DA4/$DD$1*$DE$1</f>
        <v>192906</v>
      </c>
      <c r="DE4" s="166">
        <f t="shared" ref="DE4:DE50" si="37">+DB4/$DD$1*$DE$1</f>
        <v>192906</v>
      </c>
      <c r="DH4" t="s">
        <v>434</v>
      </c>
      <c r="DI4" t="s">
        <v>307</v>
      </c>
      <c r="DJ4" t="s">
        <v>437</v>
      </c>
      <c r="DK4" t="s">
        <v>329</v>
      </c>
      <c r="DL4" s="166">
        <v>3990000</v>
      </c>
      <c r="DM4" s="166">
        <f t="shared" si="6"/>
        <v>3990</v>
      </c>
      <c r="DO4" s="1472" t="s">
        <v>987</v>
      </c>
      <c r="DP4" s="1473" t="s">
        <v>988</v>
      </c>
      <c r="DQ4" s="1473" t="s">
        <v>447</v>
      </c>
      <c r="DR4" s="1473" t="s">
        <v>447</v>
      </c>
      <c r="DS4" s="1230">
        <v>0</v>
      </c>
      <c r="DT4" s="1230">
        <v>192906000</v>
      </c>
      <c r="DU4" s="1230">
        <v>192906000</v>
      </c>
      <c r="DV4" s="166">
        <f t="shared" si="7"/>
        <v>0</v>
      </c>
      <c r="DW4" s="166">
        <f t="shared" si="8"/>
        <v>192906</v>
      </c>
      <c r="DX4" s="166">
        <f t="shared" si="9"/>
        <v>192906</v>
      </c>
      <c r="EA4" s="1262" t="s">
        <v>434</v>
      </c>
      <c r="EB4" s="1262" t="s">
        <v>307</v>
      </c>
      <c r="EC4" s="1262" t="s">
        <v>436</v>
      </c>
      <c r="ED4" s="1262" t="s">
        <v>339</v>
      </c>
      <c r="EE4" s="1262" t="s">
        <v>433</v>
      </c>
      <c r="EF4" s="1688">
        <v>3830086</v>
      </c>
      <c r="EG4" s="1687">
        <f t="shared" si="10"/>
        <v>3830.0859999999998</v>
      </c>
      <c r="EI4" s="1262" t="s">
        <v>987</v>
      </c>
      <c r="EJ4" s="1262" t="s">
        <v>988</v>
      </c>
      <c r="EK4" s="1266" t="s">
        <v>447</v>
      </c>
      <c r="EL4" s="1262" t="s">
        <v>447</v>
      </c>
      <c r="EM4" s="355">
        <v>0</v>
      </c>
      <c r="EN4" s="355">
        <v>192906000</v>
      </c>
      <c r="EO4" s="355">
        <v>192906000</v>
      </c>
      <c r="EP4" s="1687">
        <f t="shared" si="11"/>
        <v>0</v>
      </c>
      <c r="EQ4" s="1687">
        <f t="shared" si="12"/>
        <v>192906</v>
      </c>
      <c r="ER4" s="1687">
        <f t="shared" si="13"/>
        <v>192906</v>
      </c>
      <c r="EU4" s="1314" t="s">
        <v>430</v>
      </c>
      <c r="EV4" s="1314" t="s">
        <v>454</v>
      </c>
      <c r="EW4" s="1314" t="s">
        <v>455</v>
      </c>
      <c r="EX4" s="1314" t="s">
        <v>456</v>
      </c>
      <c r="EY4" s="1316" t="s">
        <v>433</v>
      </c>
      <c r="EZ4" s="1353">
        <v>50000000</v>
      </c>
      <c r="FA4" s="1759">
        <f t="shared" ref="FA4:FA9" si="38">+EZ4/$FA$1*$FB$1</f>
        <v>50000</v>
      </c>
      <c r="FD4" s="1266" t="s">
        <v>987</v>
      </c>
      <c r="FE4" s="1266" t="s">
        <v>988</v>
      </c>
      <c r="FF4" s="1266" t="s">
        <v>447</v>
      </c>
      <c r="FG4" s="1266" t="s">
        <v>447</v>
      </c>
      <c r="FH4" s="1262" t="s">
        <v>433</v>
      </c>
      <c r="FI4" s="355">
        <v>0</v>
      </c>
      <c r="FJ4" s="355">
        <v>192906000</v>
      </c>
      <c r="FK4" s="355">
        <v>192906000</v>
      </c>
      <c r="FL4" s="166">
        <f t="shared" ref="FL4:FL54" si="39">+FI4/$FM$1*$FN$1</f>
        <v>0</v>
      </c>
      <c r="FM4" s="166">
        <f t="shared" ref="FM4:FM54" si="40">+FJ4/$FM$1*$FN$1</f>
        <v>192906</v>
      </c>
      <c r="FN4" s="166">
        <f t="shared" ref="FN4:FN54" si="41">+FK4/$FM$1*$FN$1</f>
        <v>192906</v>
      </c>
    </row>
    <row r="5" spans="1:170" x14ac:dyDescent="0.35">
      <c r="A5" s="350" t="s">
        <v>430</v>
      </c>
      <c r="B5" s="638" t="s">
        <v>454</v>
      </c>
      <c r="C5" s="350" t="s">
        <v>431</v>
      </c>
      <c r="D5" s="638" t="s">
        <v>432</v>
      </c>
      <c r="E5" s="638" t="s">
        <v>433</v>
      </c>
      <c r="F5" s="244">
        <v>339360000</v>
      </c>
      <c r="G5" s="244">
        <v>0</v>
      </c>
      <c r="H5" s="244">
        <v>0</v>
      </c>
      <c r="I5" s="244">
        <f t="shared" si="15"/>
        <v>339360</v>
      </c>
      <c r="J5" s="244">
        <f t="shared" si="16"/>
        <v>0</v>
      </c>
      <c r="K5" s="244">
        <f t="shared" si="17"/>
        <v>0</v>
      </c>
      <c r="M5" s="350" t="s">
        <v>430</v>
      </c>
      <c r="N5" s="638" t="s">
        <v>454</v>
      </c>
      <c r="O5" s="350" t="s">
        <v>457</v>
      </c>
      <c r="P5" s="638" t="s">
        <v>274</v>
      </c>
      <c r="Q5" s="244">
        <v>0</v>
      </c>
      <c r="R5" s="1123">
        <f t="shared" si="18"/>
        <v>0</v>
      </c>
      <c r="U5" s="350" t="s">
        <v>430</v>
      </c>
      <c r="V5" s="350" t="s">
        <v>454</v>
      </c>
      <c r="W5" s="350" t="s">
        <v>431</v>
      </c>
      <c r="X5" s="638" t="s">
        <v>432</v>
      </c>
      <c r="Y5" s="244">
        <v>315360000</v>
      </c>
      <c r="Z5" s="244">
        <v>0</v>
      </c>
      <c r="AA5" s="244">
        <v>0</v>
      </c>
      <c r="AB5" s="244">
        <f t="shared" si="19"/>
        <v>315360</v>
      </c>
      <c r="AC5" s="244">
        <f t="shared" si="20"/>
        <v>0</v>
      </c>
      <c r="AD5" s="244">
        <f t="shared" si="21"/>
        <v>0</v>
      </c>
      <c r="AG5" s="1229" t="s">
        <v>430</v>
      </c>
      <c r="AH5" s="1229" t="s">
        <v>454</v>
      </c>
      <c r="AI5" s="1229" t="s">
        <v>447</v>
      </c>
      <c r="AJ5" s="1229" t="s">
        <v>447</v>
      </c>
      <c r="AK5" s="1230">
        <v>0</v>
      </c>
      <c r="AL5" s="1230">
        <f t="shared" si="22"/>
        <v>0</v>
      </c>
      <c r="AO5" s="1238" t="s">
        <v>430</v>
      </c>
      <c r="AP5" s="1239" t="s">
        <v>454</v>
      </c>
      <c r="AQ5" s="1238" t="s">
        <v>431</v>
      </c>
      <c r="AR5" s="1239" t="s">
        <v>432</v>
      </c>
      <c r="AS5" s="1240">
        <v>315360000</v>
      </c>
      <c r="AT5" s="1240">
        <v>0</v>
      </c>
      <c r="AU5" s="1240">
        <v>0</v>
      </c>
      <c r="AV5" s="1240">
        <f t="shared" si="23"/>
        <v>315360</v>
      </c>
      <c r="AW5" s="1240">
        <f t="shared" si="24"/>
        <v>0</v>
      </c>
      <c r="AX5" s="1240">
        <f t="shared" si="25"/>
        <v>0</v>
      </c>
      <c r="BA5" s="536" t="s">
        <v>434</v>
      </c>
      <c r="BB5" s="536" t="s">
        <v>307</v>
      </c>
      <c r="BC5" s="536" t="s">
        <v>435</v>
      </c>
      <c r="BD5" s="536" t="s">
        <v>328</v>
      </c>
      <c r="BE5" s="1317">
        <v>53485571</v>
      </c>
      <c r="BF5" s="1318">
        <f t="shared" si="26"/>
        <v>53485.571000000004</v>
      </c>
      <c r="BI5" s="1314" t="s">
        <v>430</v>
      </c>
      <c r="BJ5" s="1316" t="s">
        <v>454</v>
      </c>
      <c r="BK5" s="1314" t="s">
        <v>457</v>
      </c>
      <c r="BL5" s="1316" t="s">
        <v>274</v>
      </c>
      <c r="BM5" s="244">
        <v>1075022000</v>
      </c>
      <c r="BN5" s="244">
        <v>0</v>
      </c>
      <c r="BO5" s="244">
        <v>0</v>
      </c>
      <c r="BP5" s="166">
        <f t="shared" si="27"/>
        <v>1075022</v>
      </c>
      <c r="BQ5" s="166">
        <f t="shared" si="28"/>
        <v>0</v>
      </c>
      <c r="BR5" s="166">
        <f t="shared" si="29"/>
        <v>0</v>
      </c>
      <c r="BU5" s="1316" t="s">
        <v>430</v>
      </c>
      <c r="BV5" s="1316" t="s">
        <v>454</v>
      </c>
      <c r="BW5" s="1316" t="s">
        <v>457</v>
      </c>
      <c r="BX5" s="1316" t="s">
        <v>274</v>
      </c>
      <c r="BY5" s="1353">
        <v>38172000</v>
      </c>
      <c r="BZ5" s="166">
        <f t="shared" si="30"/>
        <v>38172</v>
      </c>
      <c r="CB5" s="1316" t="s">
        <v>430</v>
      </c>
      <c r="CC5" s="1316" t="s">
        <v>454</v>
      </c>
      <c r="CD5" s="1316" t="s">
        <v>457</v>
      </c>
      <c r="CE5" s="1316" t="s">
        <v>274</v>
      </c>
      <c r="CF5" s="244">
        <v>1075022000</v>
      </c>
      <c r="CG5" s="244">
        <v>0</v>
      </c>
      <c r="CH5" s="244">
        <v>0</v>
      </c>
      <c r="CI5" s="537">
        <f t="shared" si="31"/>
        <v>1075022</v>
      </c>
      <c r="CJ5" s="537">
        <f t="shared" si="32"/>
        <v>0</v>
      </c>
      <c r="CK5" s="537">
        <f t="shared" si="33"/>
        <v>0</v>
      </c>
      <c r="CN5" t="s">
        <v>434</v>
      </c>
      <c r="CO5" t="s">
        <v>307</v>
      </c>
      <c r="CP5" t="s">
        <v>435</v>
      </c>
      <c r="CQ5" t="s">
        <v>328</v>
      </c>
      <c r="CR5" s="166">
        <v>311934584</v>
      </c>
      <c r="CS5" s="283">
        <f t="shared" si="34"/>
        <v>311934.58399999997</v>
      </c>
      <c r="CV5" t="s">
        <v>430</v>
      </c>
      <c r="CW5" t="s">
        <v>454</v>
      </c>
      <c r="CX5" t="s">
        <v>457</v>
      </c>
      <c r="CY5" t="s">
        <v>274</v>
      </c>
      <c r="CZ5" s="166">
        <v>1077322000</v>
      </c>
      <c r="DA5" s="166">
        <v>0</v>
      </c>
      <c r="DB5" s="166">
        <v>0</v>
      </c>
      <c r="DC5" s="166">
        <f t="shared" si="35"/>
        <v>1077322</v>
      </c>
      <c r="DD5" s="166">
        <f t="shared" si="36"/>
        <v>0</v>
      </c>
      <c r="DE5" s="166">
        <f t="shared" si="37"/>
        <v>0</v>
      </c>
      <c r="DH5" t="s">
        <v>434</v>
      </c>
      <c r="DI5" t="s">
        <v>307</v>
      </c>
      <c r="DJ5" t="s">
        <v>436</v>
      </c>
      <c r="DK5" t="s">
        <v>339</v>
      </c>
      <c r="DL5" s="166">
        <v>10992922</v>
      </c>
      <c r="DM5" s="166">
        <f t="shared" si="6"/>
        <v>10992.922</v>
      </c>
      <c r="DO5" s="1472" t="s">
        <v>430</v>
      </c>
      <c r="DP5" s="1473" t="s">
        <v>454</v>
      </c>
      <c r="DQ5" s="1473" t="s">
        <v>457</v>
      </c>
      <c r="DR5" s="1473" t="s">
        <v>274</v>
      </c>
      <c r="DS5" s="1230">
        <v>1077322000</v>
      </c>
      <c r="DT5" s="1230">
        <v>0</v>
      </c>
      <c r="DU5" s="1230">
        <v>0</v>
      </c>
      <c r="DV5" s="166">
        <f t="shared" si="7"/>
        <v>1077322</v>
      </c>
      <c r="DW5" s="166">
        <f t="shared" si="8"/>
        <v>0</v>
      </c>
      <c r="DX5" s="166">
        <f t="shared" si="9"/>
        <v>0</v>
      </c>
      <c r="EA5" s="1262" t="s">
        <v>434</v>
      </c>
      <c r="EB5" s="1262" t="s">
        <v>307</v>
      </c>
      <c r="EC5" s="1262" t="s">
        <v>437</v>
      </c>
      <c r="ED5" s="1262" t="s">
        <v>329</v>
      </c>
      <c r="EE5" s="1262" t="s">
        <v>433</v>
      </c>
      <c r="EF5" s="1688">
        <v>3990000</v>
      </c>
      <c r="EG5" s="1687">
        <f t="shared" si="10"/>
        <v>3990</v>
      </c>
      <c r="EI5" s="1262" t="s">
        <v>430</v>
      </c>
      <c r="EJ5" s="1262" t="s">
        <v>454</v>
      </c>
      <c r="EK5" s="1266" t="s">
        <v>457</v>
      </c>
      <c r="EL5" s="1262" t="s">
        <v>274</v>
      </c>
      <c r="EM5" s="355">
        <v>1164954907</v>
      </c>
      <c r="EN5" s="355">
        <v>0</v>
      </c>
      <c r="EO5" s="355">
        <v>0</v>
      </c>
      <c r="EP5" s="1687">
        <f t="shared" si="11"/>
        <v>1164954.9069999999</v>
      </c>
      <c r="EQ5" s="1687">
        <f t="shared" si="12"/>
        <v>0</v>
      </c>
      <c r="ER5" s="1687">
        <f t="shared" si="13"/>
        <v>0</v>
      </c>
      <c r="EU5" s="1314" t="s">
        <v>434</v>
      </c>
      <c r="EV5" s="1314" t="s">
        <v>307</v>
      </c>
      <c r="EW5" s="1314" t="s">
        <v>435</v>
      </c>
      <c r="EX5" s="1314" t="s">
        <v>328</v>
      </c>
      <c r="EY5" s="1316" t="s">
        <v>433</v>
      </c>
      <c r="EZ5" s="1353">
        <v>99253664</v>
      </c>
      <c r="FA5" s="1759">
        <f t="shared" si="38"/>
        <v>99253.664000000004</v>
      </c>
      <c r="FD5" s="1266" t="s">
        <v>430</v>
      </c>
      <c r="FE5" s="1266" t="s">
        <v>454</v>
      </c>
      <c r="FF5" s="1266" t="s">
        <v>457</v>
      </c>
      <c r="FG5" s="1266" t="s">
        <v>274</v>
      </c>
      <c r="FH5" s="1262" t="s">
        <v>433</v>
      </c>
      <c r="FI5" s="355">
        <v>1181604907</v>
      </c>
      <c r="FJ5" s="355">
        <v>0</v>
      </c>
      <c r="FK5" s="355">
        <v>0</v>
      </c>
      <c r="FL5" s="166">
        <f t="shared" si="39"/>
        <v>1181604.9069999999</v>
      </c>
      <c r="FM5" s="166">
        <f t="shared" si="40"/>
        <v>0</v>
      </c>
      <c r="FN5" s="166">
        <f t="shared" si="41"/>
        <v>0</v>
      </c>
    </row>
    <row r="6" spans="1:170" x14ac:dyDescent="0.35">
      <c r="A6" s="350" t="s">
        <v>430</v>
      </c>
      <c r="B6" s="638" t="s">
        <v>454</v>
      </c>
      <c r="C6" s="350" t="s">
        <v>455</v>
      </c>
      <c r="D6" s="638" t="s">
        <v>456</v>
      </c>
      <c r="E6" s="638" t="s">
        <v>433</v>
      </c>
      <c r="F6" s="244">
        <v>70000000</v>
      </c>
      <c r="G6" s="244">
        <v>0</v>
      </c>
      <c r="H6" s="244">
        <v>0</v>
      </c>
      <c r="I6" s="244">
        <f t="shared" si="15"/>
        <v>70000</v>
      </c>
      <c r="J6" s="244">
        <f t="shared" si="16"/>
        <v>0</v>
      </c>
      <c r="K6" s="244">
        <f t="shared" si="17"/>
        <v>0</v>
      </c>
      <c r="M6" s="350" t="s">
        <v>430</v>
      </c>
      <c r="N6" s="638" t="s">
        <v>454</v>
      </c>
      <c r="O6" s="350" t="s">
        <v>457</v>
      </c>
      <c r="P6" s="638" t="s">
        <v>274</v>
      </c>
      <c r="Q6" s="244">
        <v>0</v>
      </c>
      <c r="R6" s="1123">
        <f t="shared" si="18"/>
        <v>0</v>
      </c>
      <c r="U6" s="350" t="s">
        <v>430</v>
      </c>
      <c r="V6" s="350" t="s">
        <v>454</v>
      </c>
      <c r="W6" s="350" t="s">
        <v>455</v>
      </c>
      <c r="X6" s="638" t="s">
        <v>456</v>
      </c>
      <c r="Y6" s="244">
        <v>70000000</v>
      </c>
      <c r="Z6" s="244">
        <v>0</v>
      </c>
      <c r="AA6" s="244">
        <v>0</v>
      </c>
      <c r="AB6" s="244">
        <f t="shared" si="19"/>
        <v>70000</v>
      </c>
      <c r="AC6" s="244">
        <f t="shared" si="20"/>
        <v>0</v>
      </c>
      <c r="AD6" s="244">
        <f t="shared" si="21"/>
        <v>0</v>
      </c>
      <c r="AG6" s="1229" t="s">
        <v>434</v>
      </c>
      <c r="AH6" s="1229" t="s">
        <v>307</v>
      </c>
      <c r="AI6" s="1229" t="s">
        <v>459</v>
      </c>
      <c r="AJ6" s="1229" t="s">
        <v>331</v>
      </c>
      <c r="AK6" s="1230">
        <v>0</v>
      </c>
      <c r="AL6" s="1230">
        <f t="shared" si="22"/>
        <v>0</v>
      </c>
      <c r="AO6" s="1238" t="s">
        <v>430</v>
      </c>
      <c r="AP6" s="1239" t="s">
        <v>454</v>
      </c>
      <c r="AQ6" s="1238" t="s">
        <v>455</v>
      </c>
      <c r="AR6" s="1239" t="s">
        <v>456</v>
      </c>
      <c r="AS6" s="1240">
        <v>70000000</v>
      </c>
      <c r="AT6" s="1240">
        <v>0</v>
      </c>
      <c r="AU6" s="1240">
        <v>0</v>
      </c>
      <c r="AV6" s="1240">
        <f t="shared" si="23"/>
        <v>70000</v>
      </c>
      <c r="AW6" s="1240">
        <f t="shared" si="24"/>
        <v>0</v>
      </c>
      <c r="AX6" s="1240">
        <f t="shared" si="25"/>
        <v>0</v>
      </c>
      <c r="BA6" s="536" t="s">
        <v>434</v>
      </c>
      <c r="BB6" s="536" t="s">
        <v>307</v>
      </c>
      <c r="BC6" s="536" t="s">
        <v>437</v>
      </c>
      <c r="BD6" s="536" t="s">
        <v>329</v>
      </c>
      <c r="BE6" s="1317">
        <v>10200000</v>
      </c>
      <c r="BF6" s="1318">
        <f t="shared" si="26"/>
        <v>10200</v>
      </c>
      <c r="BI6" s="1314" t="s">
        <v>430</v>
      </c>
      <c r="BJ6" s="1316" t="s">
        <v>454</v>
      </c>
      <c r="BK6" s="1314" t="s">
        <v>431</v>
      </c>
      <c r="BL6" s="1316" t="s">
        <v>432</v>
      </c>
      <c r="BM6" s="244">
        <v>315360000</v>
      </c>
      <c r="BN6" s="244">
        <v>0</v>
      </c>
      <c r="BO6" s="244">
        <v>0</v>
      </c>
      <c r="BP6" s="166">
        <f t="shared" si="27"/>
        <v>315360</v>
      </c>
      <c r="BQ6" s="166">
        <f t="shared" si="28"/>
        <v>0</v>
      </c>
      <c r="BR6" s="166">
        <f t="shared" si="29"/>
        <v>0</v>
      </c>
      <c r="BU6" s="1316" t="s">
        <v>430</v>
      </c>
      <c r="BV6" s="1316" t="s">
        <v>454</v>
      </c>
      <c r="BW6" s="1316" t="s">
        <v>715</v>
      </c>
      <c r="BX6" s="1316" t="s">
        <v>716</v>
      </c>
      <c r="BY6" s="1353">
        <v>2851030</v>
      </c>
      <c r="BZ6" s="166">
        <f t="shared" si="30"/>
        <v>2851.03</v>
      </c>
      <c r="CB6" s="1316" t="s">
        <v>430</v>
      </c>
      <c r="CC6" s="1316" t="s">
        <v>454</v>
      </c>
      <c r="CD6" s="1316" t="s">
        <v>431</v>
      </c>
      <c r="CE6" s="1316" t="s">
        <v>432</v>
      </c>
      <c r="CF6" s="244">
        <v>315360000</v>
      </c>
      <c r="CG6" s="244">
        <v>0</v>
      </c>
      <c r="CH6" s="244">
        <v>0</v>
      </c>
      <c r="CI6" s="537">
        <f t="shared" si="31"/>
        <v>315360</v>
      </c>
      <c r="CJ6" s="537">
        <f t="shared" si="32"/>
        <v>0</v>
      </c>
      <c r="CK6" s="537">
        <f t="shared" si="33"/>
        <v>0</v>
      </c>
      <c r="CN6" t="s">
        <v>434</v>
      </c>
      <c r="CO6" t="s">
        <v>307</v>
      </c>
      <c r="CP6" t="s">
        <v>437</v>
      </c>
      <c r="CQ6" t="s">
        <v>329</v>
      </c>
      <c r="CR6" s="166">
        <v>3990000</v>
      </c>
      <c r="CS6" s="283">
        <f t="shared" si="34"/>
        <v>3990</v>
      </c>
      <c r="CV6" t="s">
        <v>430</v>
      </c>
      <c r="CW6" t="s">
        <v>454</v>
      </c>
      <c r="CX6" t="s">
        <v>431</v>
      </c>
      <c r="CY6" t="s">
        <v>432</v>
      </c>
      <c r="CZ6" s="166">
        <v>286360000</v>
      </c>
      <c r="DA6" s="166">
        <v>0</v>
      </c>
      <c r="DB6" s="166">
        <v>0</v>
      </c>
      <c r="DC6" s="166">
        <f t="shared" si="35"/>
        <v>286360</v>
      </c>
      <c r="DD6" s="166">
        <f t="shared" si="36"/>
        <v>0</v>
      </c>
      <c r="DE6" s="166">
        <f t="shared" si="37"/>
        <v>0</v>
      </c>
      <c r="DH6" t="s">
        <v>434</v>
      </c>
      <c r="DI6" t="s">
        <v>307</v>
      </c>
      <c r="DJ6" t="s">
        <v>459</v>
      </c>
      <c r="DK6" t="s">
        <v>331</v>
      </c>
      <c r="DL6" s="166">
        <v>3750000</v>
      </c>
      <c r="DM6" s="166">
        <f t="shared" si="6"/>
        <v>3750</v>
      </c>
      <c r="DO6" s="1472" t="s">
        <v>430</v>
      </c>
      <c r="DP6" s="1473" t="s">
        <v>454</v>
      </c>
      <c r="DQ6" s="1473" t="s">
        <v>431</v>
      </c>
      <c r="DR6" s="1473" t="s">
        <v>432</v>
      </c>
      <c r="DS6" s="1230">
        <v>286360000</v>
      </c>
      <c r="DT6" s="1230">
        <v>0</v>
      </c>
      <c r="DU6" s="1230">
        <v>0</v>
      </c>
      <c r="DV6" s="166">
        <f t="shared" si="7"/>
        <v>286360</v>
      </c>
      <c r="DW6" s="166">
        <f t="shared" si="8"/>
        <v>0</v>
      </c>
      <c r="DX6" s="166">
        <f t="shared" si="9"/>
        <v>0</v>
      </c>
      <c r="EA6" s="1262" t="s">
        <v>434</v>
      </c>
      <c r="EB6" s="1262" t="s">
        <v>307</v>
      </c>
      <c r="EC6" s="1262" t="s">
        <v>435</v>
      </c>
      <c r="ED6" s="1262" t="s">
        <v>328</v>
      </c>
      <c r="EE6" s="1262" t="s">
        <v>433</v>
      </c>
      <c r="EF6" s="1688">
        <v>148627920</v>
      </c>
      <c r="EG6" s="1687">
        <f t="shared" si="10"/>
        <v>148627.92000000001</v>
      </c>
      <c r="EI6" s="1262" t="s">
        <v>430</v>
      </c>
      <c r="EJ6" s="1262" t="s">
        <v>454</v>
      </c>
      <c r="EK6" s="1266" t="s">
        <v>431</v>
      </c>
      <c r="EL6" s="1262" t="s">
        <v>432</v>
      </c>
      <c r="EM6" s="355">
        <v>226360000</v>
      </c>
      <c r="EN6" s="355">
        <v>0</v>
      </c>
      <c r="EO6" s="355">
        <v>0</v>
      </c>
      <c r="EP6" s="1687">
        <f t="shared" si="11"/>
        <v>226360</v>
      </c>
      <c r="EQ6" s="1687">
        <f t="shared" si="12"/>
        <v>0</v>
      </c>
      <c r="ER6" s="1687">
        <f t="shared" si="13"/>
        <v>0</v>
      </c>
      <c r="EU6" s="1314" t="s">
        <v>434</v>
      </c>
      <c r="EV6" s="1314" t="s">
        <v>307</v>
      </c>
      <c r="EW6" s="1314" t="s">
        <v>437</v>
      </c>
      <c r="EX6" s="1314" t="s">
        <v>329</v>
      </c>
      <c r="EY6" s="1316" t="s">
        <v>433</v>
      </c>
      <c r="EZ6" s="1353">
        <v>4046365</v>
      </c>
      <c r="FA6" s="1759">
        <f t="shared" si="38"/>
        <v>4046.3649999999998</v>
      </c>
      <c r="FD6" s="1266" t="s">
        <v>430</v>
      </c>
      <c r="FE6" s="1266" t="s">
        <v>454</v>
      </c>
      <c r="FF6" s="1266" t="s">
        <v>431</v>
      </c>
      <c r="FG6" s="1266" t="s">
        <v>432</v>
      </c>
      <c r="FH6" s="1262" t="s">
        <v>433</v>
      </c>
      <c r="FI6" s="355">
        <v>226360000</v>
      </c>
      <c r="FJ6" s="355">
        <v>0</v>
      </c>
      <c r="FK6" s="355">
        <v>0</v>
      </c>
      <c r="FL6" s="166">
        <f t="shared" si="39"/>
        <v>226360</v>
      </c>
      <c r="FM6" s="166">
        <f t="shared" si="40"/>
        <v>0</v>
      </c>
      <c r="FN6" s="166">
        <f t="shared" si="41"/>
        <v>0</v>
      </c>
    </row>
    <row r="7" spans="1:170" x14ac:dyDescent="0.35">
      <c r="A7" s="350" t="s">
        <v>430</v>
      </c>
      <c r="B7" s="638" t="s">
        <v>454</v>
      </c>
      <c r="C7" s="350" t="s">
        <v>715</v>
      </c>
      <c r="D7" s="638" t="s">
        <v>716</v>
      </c>
      <c r="E7" s="638" t="s">
        <v>433</v>
      </c>
      <c r="F7" s="244">
        <v>44436000</v>
      </c>
      <c r="G7" s="244">
        <v>0</v>
      </c>
      <c r="H7" s="244">
        <v>0</v>
      </c>
      <c r="I7" s="244">
        <f t="shared" si="15"/>
        <v>44436</v>
      </c>
      <c r="J7" s="244">
        <f t="shared" si="16"/>
        <v>0</v>
      </c>
      <c r="K7" s="244">
        <f t="shared" si="17"/>
        <v>0</v>
      </c>
      <c r="M7" s="350" t="s">
        <v>430</v>
      </c>
      <c r="N7" s="638" t="s">
        <v>454</v>
      </c>
      <c r="O7" s="350" t="s">
        <v>447</v>
      </c>
      <c r="P7" s="638" t="s">
        <v>447</v>
      </c>
      <c r="Q7" s="244">
        <v>0</v>
      </c>
      <c r="R7" s="1123">
        <f t="shared" si="18"/>
        <v>0</v>
      </c>
      <c r="U7" s="350" t="s">
        <v>430</v>
      </c>
      <c r="V7" s="350" t="s">
        <v>454</v>
      </c>
      <c r="W7" s="350" t="s">
        <v>715</v>
      </c>
      <c r="X7" s="638" t="s">
        <v>716</v>
      </c>
      <c r="Y7" s="244">
        <v>66586000</v>
      </c>
      <c r="Z7" s="244">
        <v>0</v>
      </c>
      <c r="AA7" s="244">
        <v>0</v>
      </c>
      <c r="AB7" s="244">
        <f t="shared" si="19"/>
        <v>66586</v>
      </c>
      <c r="AC7" s="244">
        <f t="shared" si="20"/>
        <v>0</v>
      </c>
      <c r="AD7" s="244">
        <f t="shared" si="21"/>
        <v>0</v>
      </c>
      <c r="AG7" s="1229" t="s">
        <v>434</v>
      </c>
      <c r="AH7" s="1229" t="s">
        <v>307</v>
      </c>
      <c r="AI7" s="1229" t="s">
        <v>437</v>
      </c>
      <c r="AJ7" s="1229" t="s">
        <v>329</v>
      </c>
      <c r="AK7" s="1230">
        <v>1920000</v>
      </c>
      <c r="AL7" s="1230">
        <f t="shared" si="22"/>
        <v>1920</v>
      </c>
      <c r="AO7" s="1238" t="s">
        <v>430</v>
      </c>
      <c r="AP7" s="1239" t="s">
        <v>454</v>
      </c>
      <c r="AQ7" s="1238" t="s">
        <v>715</v>
      </c>
      <c r="AR7" s="1239" t="s">
        <v>716</v>
      </c>
      <c r="AS7" s="1240">
        <v>66586000</v>
      </c>
      <c r="AT7" s="1240">
        <v>0</v>
      </c>
      <c r="AU7" s="1240">
        <v>0</v>
      </c>
      <c r="AV7" s="1240">
        <f t="shared" si="23"/>
        <v>66586</v>
      </c>
      <c r="AW7" s="1240">
        <f t="shared" si="24"/>
        <v>0</v>
      </c>
      <c r="AX7" s="1240">
        <f t="shared" si="25"/>
        <v>0</v>
      </c>
      <c r="BA7" s="536" t="s">
        <v>434</v>
      </c>
      <c r="BB7" s="536" t="s">
        <v>307</v>
      </c>
      <c r="BC7" s="536" t="s">
        <v>436</v>
      </c>
      <c r="BD7" s="536" t="s">
        <v>339</v>
      </c>
      <c r="BE7" s="1317">
        <v>7473302</v>
      </c>
      <c r="BF7" s="1318">
        <f t="shared" si="26"/>
        <v>7473.3019999999997</v>
      </c>
      <c r="BI7" s="1314" t="s">
        <v>430</v>
      </c>
      <c r="BJ7" s="1316" t="s">
        <v>454</v>
      </c>
      <c r="BK7" s="1314" t="s">
        <v>455</v>
      </c>
      <c r="BL7" s="1316" t="s">
        <v>456</v>
      </c>
      <c r="BM7" s="244">
        <v>70000000</v>
      </c>
      <c r="BN7" s="244">
        <v>0</v>
      </c>
      <c r="BO7" s="244">
        <v>0</v>
      </c>
      <c r="BP7" s="166">
        <f t="shared" si="27"/>
        <v>70000</v>
      </c>
      <c r="BQ7" s="166">
        <f t="shared" si="28"/>
        <v>0</v>
      </c>
      <c r="BR7" s="166">
        <f t="shared" si="29"/>
        <v>0</v>
      </c>
      <c r="BU7" s="1316" t="s">
        <v>434</v>
      </c>
      <c r="BV7" s="1316" t="s">
        <v>307</v>
      </c>
      <c r="BW7" s="1316" t="s">
        <v>435</v>
      </c>
      <c r="BX7" s="1316" t="s">
        <v>328</v>
      </c>
      <c r="BY7" s="1353">
        <v>189632937</v>
      </c>
      <c r="BZ7" s="166">
        <f t="shared" si="30"/>
        <v>189632.93700000001</v>
      </c>
      <c r="CB7" s="1316" t="s">
        <v>430</v>
      </c>
      <c r="CC7" s="1316" t="s">
        <v>454</v>
      </c>
      <c r="CD7" s="1316" t="s">
        <v>455</v>
      </c>
      <c r="CE7" s="1316" t="s">
        <v>456</v>
      </c>
      <c r="CF7" s="244">
        <v>70000000</v>
      </c>
      <c r="CG7" s="244">
        <v>0</v>
      </c>
      <c r="CH7" s="244">
        <v>0</v>
      </c>
      <c r="CI7" s="537">
        <f t="shared" si="31"/>
        <v>70000</v>
      </c>
      <c r="CJ7" s="537">
        <f t="shared" si="32"/>
        <v>0</v>
      </c>
      <c r="CK7" s="537">
        <f t="shared" si="33"/>
        <v>0</v>
      </c>
      <c r="CN7" t="s">
        <v>434</v>
      </c>
      <c r="CO7" t="s">
        <v>307</v>
      </c>
      <c r="CP7" t="s">
        <v>459</v>
      </c>
      <c r="CQ7" t="s">
        <v>331</v>
      </c>
      <c r="CR7" s="166">
        <v>1157160</v>
      </c>
      <c r="CS7" s="283">
        <f t="shared" si="34"/>
        <v>1157.1600000000001</v>
      </c>
      <c r="CV7" t="s">
        <v>430</v>
      </c>
      <c r="CW7" t="s">
        <v>454</v>
      </c>
      <c r="CX7" t="s">
        <v>455</v>
      </c>
      <c r="CY7" t="s">
        <v>456</v>
      </c>
      <c r="CZ7" s="166">
        <v>101122500</v>
      </c>
      <c r="DA7" s="166">
        <v>0</v>
      </c>
      <c r="DB7" s="166">
        <v>0</v>
      </c>
      <c r="DC7" s="166">
        <f t="shared" si="35"/>
        <v>101122.5</v>
      </c>
      <c r="DD7" s="166">
        <f t="shared" si="36"/>
        <v>0</v>
      </c>
      <c r="DE7" s="166">
        <f t="shared" si="37"/>
        <v>0</v>
      </c>
      <c r="DH7" t="s">
        <v>434</v>
      </c>
      <c r="DI7" t="s">
        <v>307</v>
      </c>
      <c r="DJ7" t="s">
        <v>435</v>
      </c>
      <c r="DK7" t="s">
        <v>328</v>
      </c>
      <c r="DL7" s="166">
        <v>52006280</v>
      </c>
      <c r="DM7" s="166">
        <f t="shared" si="6"/>
        <v>52006.28</v>
      </c>
      <c r="DO7" s="1472" t="s">
        <v>430</v>
      </c>
      <c r="DP7" s="1473" t="s">
        <v>454</v>
      </c>
      <c r="DQ7" s="1473" t="s">
        <v>455</v>
      </c>
      <c r="DR7" s="1473" t="s">
        <v>456</v>
      </c>
      <c r="DS7" s="1230">
        <v>101122500</v>
      </c>
      <c r="DT7" s="1230">
        <v>0</v>
      </c>
      <c r="DU7" s="1230">
        <v>0</v>
      </c>
      <c r="DV7" s="166">
        <f t="shared" si="7"/>
        <v>101122.5</v>
      </c>
      <c r="DW7" s="166">
        <f t="shared" si="8"/>
        <v>0</v>
      </c>
      <c r="DX7" s="166">
        <f t="shared" si="9"/>
        <v>0</v>
      </c>
      <c r="EA7" s="1262" t="s">
        <v>438</v>
      </c>
      <c r="EB7" s="1262" t="s">
        <v>335</v>
      </c>
      <c r="EC7" s="1262" t="s">
        <v>488</v>
      </c>
      <c r="ED7" s="1262" t="s">
        <v>631</v>
      </c>
      <c r="EE7" s="1262" t="s">
        <v>433</v>
      </c>
      <c r="EF7" s="1688">
        <v>150000000</v>
      </c>
      <c r="EG7" s="1687">
        <f t="shared" si="10"/>
        <v>150000</v>
      </c>
      <c r="EI7" s="1262" t="s">
        <v>430</v>
      </c>
      <c r="EJ7" s="1262" t="s">
        <v>454</v>
      </c>
      <c r="EK7" s="1266" t="s">
        <v>455</v>
      </c>
      <c r="EL7" s="1262" t="s">
        <v>456</v>
      </c>
      <c r="EM7" s="355">
        <v>101122500</v>
      </c>
      <c r="EN7" s="355">
        <v>0</v>
      </c>
      <c r="EO7" s="355">
        <v>0</v>
      </c>
      <c r="EP7" s="1687">
        <f t="shared" si="11"/>
        <v>101122.5</v>
      </c>
      <c r="EQ7" s="1687">
        <f t="shared" si="12"/>
        <v>0</v>
      </c>
      <c r="ER7" s="1687">
        <f t="shared" si="13"/>
        <v>0</v>
      </c>
      <c r="EU7" s="1314" t="s">
        <v>434</v>
      </c>
      <c r="EV7" s="1314" t="s">
        <v>307</v>
      </c>
      <c r="EW7" s="1314" t="s">
        <v>459</v>
      </c>
      <c r="EX7" s="1314" t="s">
        <v>331</v>
      </c>
      <c r="EY7" s="1316" t="s">
        <v>433</v>
      </c>
      <c r="EZ7" s="1353">
        <v>5625000</v>
      </c>
      <c r="FA7" s="1759">
        <f t="shared" si="38"/>
        <v>5625</v>
      </c>
      <c r="FD7" s="1266" t="s">
        <v>430</v>
      </c>
      <c r="FE7" s="1266" t="s">
        <v>454</v>
      </c>
      <c r="FF7" s="1266" t="s">
        <v>455</v>
      </c>
      <c r="FG7" s="1266" t="s">
        <v>456</v>
      </c>
      <c r="FH7" s="1262" t="s">
        <v>433</v>
      </c>
      <c r="FI7" s="355">
        <v>101122500</v>
      </c>
      <c r="FJ7" s="355">
        <v>0</v>
      </c>
      <c r="FK7" s="355">
        <v>0</v>
      </c>
      <c r="FL7" s="166">
        <f t="shared" si="39"/>
        <v>101122.5</v>
      </c>
      <c r="FM7" s="166">
        <f t="shared" si="40"/>
        <v>0</v>
      </c>
      <c r="FN7" s="166">
        <f t="shared" si="41"/>
        <v>0</v>
      </c>
    </row>
    <row r="8" spans="1:170" x14ac:dyDescent="0.35">
      <c r="A8" s="350" t="s">
        <v>430</v>
      </c>
      <c r="B8" s="638" t="s">
        <v>454</v>
      </c>
      <c r="C8" s="350" t="s">
        <v>628</v>
      </c>
      <c r="D8" s="638" t="s">
        <v>331</v>
      </c>
      <c r="E8" s="638" t="s">
        <v>433</v>
      </c>
      <c r="F8" s="244">
        <v>6034000</v>
      </c>
      <c r="G8" s="244">
        <v>0</v>
      </c>
      <c r="H8" s="244">
        <v>0</v>
      </c>
      <c r="I8" s="244">
        <f t="shared" si="15"/>
        <v>6034</v>
      </c>
      <c r="J8" s="244">
        <f t="shared" si="16"/>
        <v>0</v>
      </c>
      <c r="K8" s="244">
        <f t="shared" si="17"/>
        <v>0</v>
      </c>
      <c r="M8" s="350" t="s">
        <v>430</v>
      </c>
      <c r="N8" s="638" t="s">
        <v>454</v>
      </c>
      <c r="O8" s="350" t="s">
        <v>431</v>
      </c>
      <c r="P8" s="638" t="s">
        <v>432</v>
      </c>
      <c r="Q8" s="244">
        <v>0</v>
      </c>
      <c r="R8" s="1123">
        <f t="shared" si="18"/>
        <v>0</v>
      </c>
      <c r="U8" s="350" t="s">
        <v>430</v>
      </c>
      <c r="V8" s="350" t="s">
        <v>454</v>
      </c>
      <c r="W8" s="350" t="s">
        <v>628</v>
      </c>
      <c r="X8" s="638" t="s">
        <v>331</v>
      </c>
      <c r="Y8" s="244">
        <v>7034000</v>
      </c>
      <c r="Z8" s="244">
        <v>0</v>
      </c>
      <c r="AA8" s="244">
        <v>0</v>
      </c>
      <c r="AB8" s="244">
        <f t="shared" si="19"/>
        <v>7034</v>
      </c>
      <c r="AC8" s="244">
        <f t="shared" si="20"/>
        <v>0</v>
      </c>
      <c r="AD8" s="244">
        <f t="shared" si="21"/>
        <v>0</v>
      </c>
      <c r="AG8" s="1229" t="s">
        <v>434</v>
      </c>
      <c r="AH8" s="1229" t="s">
        <v>307</v>
      </c>
      <c r="AI8" s="1229" t="s">
        <v>447</v>
      </c>
      <c r="AJ8" s="1229" t="s">
        <v>447</v>
      </c>
      <c r="AK8" s="1230">
        <v>0</v>
      </c>
      <c r="AL8" s="1230">
        <f t="shared" si="22"/>
        <v>0</v>
      </c>
      <c r="AO8" s="1238" t="s">
        <v>430</v>
      </c>
      <c r="AP8" s="1239" t="s">
        <v>454</v>
      </c>
      <c r="AQ8" s="1238" t="s">
        <v>628</v>
      </c>
      <c r="AR8" s="1239" t="s">
        <v>331</v>
      </c>
      <c r="AS8" s="1240">
        <v>7034000</v>
      </c>
      <c r="AT8" s="1240">
        <v>0</v>
      </c>
      <c r="AU8" s="1240">
        <v>0</v>
      </c>
      <c r="AV8" s="1240">
        <f t="shared" si="23"/>
        <v>7034</v>
      </c>
      <c r="AW8" s="1240">
        <f t="shared" si="24"/>
        <v>0</v>
      </c>
      <c r="AX8" s="1240">
        <f t="shared" si="25"/>
        <v>0</v>
      </c>
      <c r="BA8" s="536" t="s">
        <v>434</v>
      </c>
      <c r="BB8" s="536" t="s">
        <v>307</v>
      </c>
      <c r="BC8" s="536" t="s">
        <v>458</v>
      </c>
      <c r="BD8" s="536" t="s">
        <v>330</v>
      </c>
      <c r="BE8" s="1317">
        <v>28928</v>
      </c>
      <c r="BF8" s="1318">
        <f t="shared" si="26"/>
        <v>28.928000000000001</v>
      </c>
      <c r="BI8" s="1314" t="s">
        <v>430</v>
      </c>
      <c r="BJ8" s="1316" t="s">
        <v>454</v>
      </c>
      <c r="BK8" s="1314" t="s">
        <v>715</v>
      </c>
      <c r="BL8" s="1316" t="s">
        <v>716</v>
      </c>
      <c r="BM8" s="244">
        <v>66586000</v>
      </c>
      <c r="BN8" s="244">
        <v>0</v>
      </c>
      <c r="BO8" s="244">
        <v>0</v>
      </c>
      <c r="BP8" s="166">
        <f t="shared" si="27"/>
        <v>66586</v>
      </c>
      <c r="BQ8" s="166">
        <f t="shared" si="28"/>
        <v>0</v>
      </c>
      <c r="BR8" s="166">
        <f t="shared" si="29"/>
        <v>0</v>
      </c>
      <c r="BU8" s="1316" t="s">
        <v>434</v>
      </c>
      <c r="BV8" s="1316" t="s">
        <v>307</v>
      </c>
      <c r="BW8" s="1316" t="s">
        <v>459</v>
      </c>
      <c r="BX8" s="1316" t="s">
        <v>331</v>
      </c>
      <c r="BY8" s="1353">
        <v>8649913</v>
      </c>
      <c r="BZ8" s="166">
        <f t="shared" si="30"/>
        <v>8649.9130000000005</v>
      </c>
      <c r="CB8" s="1316" t="s">
        <v>430</v>
      </c>
      <c r="CC8" s="1316" t="s">
        <v>454</v>
      </c>
      <c r="CD8" s="1316" t="s">
        <v>715</v>
      </c>
      <c r="CE8" s="1316" t="s">
        <v>716</v>
      </c>
      <c r="CF8" s="244">
        <v>66586000</v>
      </c>
      <c r="CG8" s="244">
        <v>0</v>
      </c>
      <c r="CH8" s="244">
        <v>0</v>
      </c>
      <c r="CI8" s="537">
        <f t="shared" si="31"/>
        <v>66586</v>
      </c>
      <c r="CJ8" s="537">
        <f t="shared" si="32"/>
        <v>0</v>
      </c>
      <c r="CK8" s="537">
        <f t="shared" si="33"/>
        <v>0</v>
      </c>
      <c r="CN8" t="s">
        <v>508</v>
      </c>
      <c r="CO8" t="s">
        <v>523</v>
      </c>
      <c r="CP8" t="s">
        <v>447</v>
      </c>
      <c r="CQ8" t="s">
        <v>447</v>
      </c>
      <c r="CR8" s="166">
        <v>9375466</v>
      </c>
      <c r="CS8" s="283">
        <f t="shared" si="34"/>
        <v>9375.4660000000003</v>
      </c>
      <c r="CV8" t="s">
        <v>430</v>
      </c>
      <c r="CW8" t="s">
        <v>454</v>
      </c>
      <c r="CX8" t="s">
        <v>715</v>
      </c>
      <c r="CY8" t="s">
        <v>716</v>
      </c>
      <c r="CZ8" s="166">
        <v>66586000</v>
      </c>
      <c r="DA8" s="166">
        <v>0</v>
      </c>
      <c r="DB8" s="166">
        <v>0</v>
      </c>
      <c r="DC8" s="166">
        <f t="shared" si="35"/>
        <v>66586</v>
      </c>
      <c r="DD8" s="166">
        <f t="shared" si="36"/>
        <v>0</v>
      </c>
      <c r="DE8" s="166">
        <f t="shared" si="37"/>
        <v>0</v>
      </c>
      <c r="DH8" t="s">
        <v>438</v>
      </c>
      <c r="DI8" t="s">
        <v>335</v>
      </c>
      <c r="DJ8" t="s">
        <v>499</v>
      </c>
      <c r="DK8" t="s">
        <v>632</v>
      </c>
      <c r="DL8" s="166">
        <v>40000000</v>
      </c>
      <c r="DM8" s="166">
        <f t="shared" si="6"/>
        <v>40000</v>
      </c>
      <c r="DO8" s="1472" t="s">
        <v>430</v>
      </c>
      <c r="DP8" s="1473" t="s">
        <v>454</v>
      </c>
      <c r="DQ8" s="1473" t="s">
        <v>715</v>
      </c>
      <c r="DR8" s="1473" t="s">
        <v>716</v>
      </c>
      <c r="DS8" s="1230">
        <v>66586000</v>
      </c>
      <c r="DT8" s="1230">
        <v>0</v>
      </c>
      <c r="DU8" s="1230">
        <v>0</v>
      </c>
      <c r="DV8" s="166">
        <f t="shared" si="7"/>
        <v>66586</v>
      </c>
      <c r="DW8" s="166">
        <f t="shared" si="8"/>
        <v>0</v>
      </c>
      <c r="DX8" s="166">
        <f t="shared" si="9"/>
        <v>0</v>
      </c>
      <c r="EA8" s="1262" t="s">
        <v>438</v>
      </c>
      <c r="EB8" s="1262" t="s">
        <v>335</v>
      </c>
      <c r="EC8" s="1262" t="s">
        <v>629</v>
      </c>
      <c r="ED8" s="1262" t="s">
        <v>630</v>
      </c>
      <c r="EE8" s="1262" t="s">
        <v>433</v>
      </c>
      <c r="EF8" s="1688">
        <v>780000</v>
      </c>
      <c r="EG8" s="1687">
        <f t="shared" si="10"/>
        <v>780</v>
      </c>
      <c r="EI8" s="1262" t="s">
        <v>430</v>
      </c>
      <c r="EJ8" s="1262" t="s">
        <v>454</v>
      </c>
      <c r="EK8" s="1266" t="s">
        <v>715</v>
      </c>
      <c r="EL8" s="1262" t="s">
        <v>716</v>
      </c>
      <c r="EM8" s="355">
        <v>41564593</v>
      </c>
      <c r="EN8" s="355">
        <v>0</v>
      </c>
      <c r="EO8" s="355">
        <v>0</v>
      </c>
      <c r="EP8" s="1687">
        <f t="shared" si="11"/>
        <v>41564.593000000001</v>
      </c>
      <c r="EQ8" s="1687">
        <f t="shared" si="12"/>
        <v>0</v>
      </c>
      <c r="ER8" s="1687">
        <f t="shared" si="13"/>
        <v>0</v>
      </c>
      <c r="EU8" s="1314" t="s">
        <v>465</v>
      </c>
      <c r="EV8" s="1314" t="s">
        <v>466</v>
      </c>
      <c r="EW8" s="1314" t="s">
        <v>447</v>
      </c>
      <c r="EX8" s="1314" t="s">
        <v>447</v>
      </c>
      <c r="EY8" s="1316" t="s">
        <v>433</v>
      </c>
      <c r="EZ8" s="1353">
        <v>31074851</v>
      </c>
      <c r="FA8" s="1759">
        <f t="shared" si="38"/>
        <v>31074.850999999999</v>
      </c>
      <c r="FD8" s="1266" t="s">
        <v>430</v>
      </c>
      <c r="FE8" s="1266" t="s">
        <v>454</v>
      </c>
      <c r="FF8" s="1266" t="s">
        <v>715</v>
      </c>
      <c r="FG8" s="1266" t="s">
        <v>716</v>
      </c>
      <c r="FH8" s="1262" t="s">
        <v>433</v>
      </c>
      <c r="FI8" s="355">
        <v>24914593</v>
      </c>
      <c r="FJ8" s="355">
        <v>0</v>
      </c>
      <c r="FK8" s="355">
        <v>0</v>
      </c>
      <c r="FL8" s="166">
        <f t="shared" si="39"/>
        <v>24914.593000000001</v>
      </c>
      <c r="FM8" s="166">
        <f t="shared" si="40"/>
        <v>0</v>
      </c>
      <c r="FN8" s="166">
        <f t="shared" si="41"/>
        <v>0</v>
      </c>
    </row>
    <row r="9" spans="1:170" x14ac:dyDescent="0.35">
      <c r="A9" s="350" t="s">
        <v>430</v>
      </c>
      <c r="B9" s="638" t="s">
        <v>454</v>
      </c>
      <c r="C9" s="350" t="s">
        <v>715</v>
      </c>
      <c r="D9" s="638" t="s">
        <v>716</v>
      </c>
      <c r="E9" s="638" t="s">
        <v>433</v>
      </c>
      <c r="F9" s="244">
        <v>0</v>
      </c>
      <c r="G9" s="244">
        <v>1768000</v>
      </c>
      <c r="H9" s="244">
        <v>1768000</v>
      </c>
      <c r="I9" s="244">
        <f t="shared" si="15"/>
        <v>0</v>
      </c>
      <c r="J9" s="244">
        <f t="shared" si="16"/>
        <v>1768</v>
      </c>
      <c r="K9" s="244">
        <f t="shared" si="17"/>
        <v>1768</v>
      </c>
      <c r="M9" s="350" t="s">
        <v>434</v>
      </c>
      <c r="N9" s="638" t="s">
        <v>307</v>
      </c>
      <c r="O9" s="350" t="s">
        <v>435</v>
      </c>
      <c r="P9" s="638" t="s">
        <v>328</v>
      </c>
      <c r="Q9" s="244">
        <v>0</v>
      </c>
      <c r="R9" s="1123">
        <f t="shared" si="18"/>
        <v>0</v>
      </c>
      <c r="U9" s="350" t="s">
        <v>430</v>
      </c>
      <c r="V9" s="350" t="s">
        <v>454</v>
      </c>
      <c r="W9" s="350" t="s">
        <v>715</v>
      </c>
      <c r="X9" s="638" t="s">
        <v>716</v>
      </c>
      <c r="Y9" s="244">
        <v>0</v>
      </c>
      <c r="Z9" s="244">
        <v>1768000</v>
      </c>
      <c r="AA9" s="244">
        <v>1768000</v>
      </c>
      <c r="AB9" s="244">
        <f t="shared" si="19"/>
        <v>0</v>
      </c>
      <c r="AC9" s="244">
        <f t="shared" si="20"/>
        <v>1768</v>
      </c>
      <c r="AD9" s="244">
        <f t="shared" si="21"/>
        <v>1768</v>
      </c>
      <c r="AG9" s="1229" t="s">
        <v>434</v>
      </c>
      <c r="AH9" s="1229" t="s">
        <v>307</v>
      </c>
      <c r="AI9" s="1229" t="s">
        <v>435</v>
      </c>
      <c r="AJ9" s="1229" t="s">
        <v>328</v>
      </c>
      <c r="AK9" s="1230">
        <v>53670473</v>
      </c>
      <c r="AL9" s="1230">
        <f t="shared" si="22"/>
        <v>53670.472999999998</v>
      </c>
      <c r="AO9" s="1238" t="s">
        <v>430</v>
      </c>
      <c r="AP9" s="1239" t="s">
        <v>454</v>
      </c>
      <c r="AQ9" s="1238" t="s">
        <v>715</v>
      </c>
      <c r="AR9" s="1239" t="s">
        <v>716</v>
      </c>
      <c r="AS9" s="1240">
        <v>0</v>
      </c>
      <c r="AT9" s="1240">
        <v>7069030</v>
      </c>
      <c r="AU9" s="1240">
        <v>1768000</v>
      </c>
      <c r="AV9" s="1240">
        <f t="shared" si="23"/>
        <v>0</v>
      </c>
      <c r="AW9" s="1240">
        <f t="shared" si="24"/>
        <v>7069.03</v>
      </c>
      <c r="AX9" s="1240">
        <f t="shared" si="25"/>
        <v>1768</v>
      </c>
      <c r="BA9" s="536" t="s">
        <v>508</v>
      </c>
      <c r="BB9" s="536" t="s">
        <v>523</v>
      </c>
      <c r="BC9" s="536" t="s">
        <v>447</v>
      </c>
      <c r="BD9" s="536" t="s">
        <v>447</v>
      </c>
      <c r="BE9" s="1317">
        <v>18221000</v>
      </c>
      <c r="BF9" s="1318">
        <f t="shared" si="26"/>
        <v>18221</v>
      </c>
      <c r="BI9" s="1314" t="s">
        <v>430</v>
      </c>
      <c r="BJ9" s="1316" t="s">
        <v>454</v>
      </c>
      <c r="BK9" s="1314" t="s">
        <v>628</v>
      </c>
      <c r="BL9" s="1316" t="s">
        <v>331</v>
      </c>
      <c r="BM9" s="244">
        <v>7034000</v>
      </c>
      <c r="BN9" s="244">
        <v>0</v>
      </c>
      <c r="BO9" s="244">
        <v>0</v>
      </c>
      <c r="BP9" s="166">
        <f t="shared" si="27"/>
        <v>7034</v>
      </c>
      <c r="BQ9" s="166">
        <f t="shared" si="28"/>
        <v>0</v>
      </c>
      <c r="BR9" s="166">
        <f t="shared" si="29"/>
        <v>0</v>
      </c>
      <c r="BU9" s="1316" t="s">
        <v>434</v>
      </c>
      <c r="BV9" s="1316" t="s">
        <v>307</v>
      </c>
      <c r="BW9" s="1316" t="s">
        <v>436</v>
      </c>
      <c r="BX9" s="1316" t="s">
        <v>339</v>
      </c>
      <c r="BY9" s="1353">
        <v>0</v>
      </c>
      <c r="BZ9" s="166">
        <f t="shared" si="30"/>
        <v>0</v>
      </c>
      <c r="CB9" s="1316" t="s">
        <v>430</v>
      </c>
      <c r="CC9" s="1316" t="s">
        <v>454</v>
      </c>
      <c r="CD9" s="1316" t="s">
        <v>628</v>
      </c>
      <c r="CE9" s="1316" t="s">
        <v>331</v>
      </c>
      <c r="CF9" s="244">
        <v>7034000</v>
      </c>
      <c r="CG9" s="244">
        <v>0</v>
      </c>
      <c r="CH9" s="244">
        <v>0</v>
      </c>
      <c r="CI9" s="537">
        <f t="shared" si="31"/>
        <v>7034</v>
      </c>
      <c r="CJ9" s="537">
        <f t="shared" si="32"/>
        <v>0</v>
      </c>
      <c r="CK9" s="537">
        <f t="shared" si="33"/>
        <v>0</v>
      </c>
      <c r="CN9" t="s">
        <v>438</v>
      </c>
      <c r="CO9" t="s">
        <v>335</v>
      </c>
      <c r="CP9" t="s">
        <v>499</v>
      </c>
      <c r="CQ9" t="s">
        <v>632</v>
      </c>
      <c r="CR9" s="166">
        <v>-108000000</v>
      </c>
      <c r="CS9" s="283">
        <f t="shared" si="34"/>
        <v>-108000</v>
      </c>
      <c r="CV9" t="s">
        <v>430</v>
      </c>
      <c r="CW9" t="s">
        <v>454</v>
      </c>
      <c r="CX9" t="s">
        <v>628</v>
      </c>
      <c r="CY9" t="s">
        <v>331</v>
      </c>
      <c r="CZ9" s="166">
        <v>2611500</v>
      </c>
      <c r="DA9" s="166">
        <v>0</v>
      </c>
      <c r="DB9" s="166">
        <v>0</v>
      </c>
      <c r="DC9" s="166">
        <f t="shared" si="35"/>
        <v>2611.5</v>
      </c>
      <c r="DD9" s="166">
        <f t="shared" si="36"/>
        <v>0</v>
      </c>
      <c r="DE9" s="166">
        <f t="shared" si="37"/>
        <v>0</v>
      </c>
      <c r="DH9" t="s">
        <v>1050</v>
      </c>
      <c r="DI9" t="s">
        <v>51</v>
      </c>
      <c r="DJ9" t="s">
        <v>447</v>
      </c>
      <c r="DK9" t="s">
        <v>447</v>
      </c>
      <c r="DL9" s="166">
        <v>464100</v>
      </c>
      <c r="DM9" s="166">
        <f t="shared" si="6"/>
        <v>464.1</v>
      </c>
      <c r="DO9" s="1472" t="s">
        <v>430</v>
      </c>
      <c r="DP9" s="1473" t="s">
        <v>454</v>
      </c>
      <c r="DQ9" s="1473" t="s">
        <v>628</v>
      </c>
      <c r="DR9" s="1473" t="s">
        <v>331</v>
      </c>
      <c r="DS9" s="1230">
        <v>2611500</v>
      </c>
      <c r="DT9" s="1230">
        <v>0</v>
      </c>
      <c r="DU9" s="1230">
        <v>0</v>
      </c>
      <c r="DV9" s="166">
        <f t="shared" si="7"/>
        <v>2611.5</v>
      </c>
      <c r="DW9" s="166">
        <f t="shared" si="8"/>
        <v>0</v>
      </c>
      <c r="DX9" s="166">
        <f t="shared" si="9"/>
        <v>0</v>
      </c>
      <c r="EA9" s="1262" t="s">
        <v>438</v>
      </c>
      <c r="EB9" s="1262" t="s">
        <v>335</v>
      </c>
      <c r="EC9" s="1262" t="s">
        <v>499</v>
      </c>
      <c r="ED9" s="1262" t="s">
        <v>632</v>
      </c>
      <c r="EE9" s="1262" t="s">
        <v>433</v>
      </c>
      <c r="EF9" s="1688">
        <v>30000000</v>
      </c>
      <c r="EG9" s="1687">
        <f t="shared" si="10"/>
        <v>30000</v>
      </c>
      <c r="EI9" s="1262" t="s">
        <v>430</v>
      </c>
      <c r="EJ9" s="1262" t="s">
        <v>454</v>
      </c>
      <c r="EK9" s="1266" t="s">
        <v>628</v>
      </c>
      <c r="EL9" s="1262" t="s">
        <v>331</v>
      </c>
      <c r="EM9" s="355">
        <v>0</v>
      </c>
      <c r="EN9" s="355">
        <v>0</v>
      </c>
      <c r="EO9" s="355">
        <v>0</v>
      </c>
      <c r="EP9" s="1687">
        <f t="shared" si="11"/>
        <v>0</v>
      </c>
      <c r="EQ9" s="1687">
        <f t="shared" si="12"/>
        <v>0</v>
      </c>
      <c r="ER9" s="1687">
        <f t="shared" si="13"/>
        <v>0</v>
      </c>
      <c r="EU9" s="1314" t="s">
        <v>534</v>
      </c>
      <c r="EV9" s="1314" t="s">
        <v>537</v>
      </c>
      <c r="EW9" s="1314" t="s">
        <v>447</v>
      </c>
      <c r="EX9" s="1314" t="s">
        <v>447</v>
      </c>
      <c r="EY9" s="1316" t="s">
        <v>433</v>
      </c>
      <c r="EZ9" s="1353">
        <v>43011212</v>
      </c>
      <c r="FA9" s="1759">
        <f t="shared" si="38"/>
        <v>43011.212</v>
      </c>
      <c r="FD9" s="1266" t="s">
        <v>430</v>
      </c>
      <c r="FE9" s="1266" t="s">
        <v>454</v>
      </c>
      <c r="FF9" s="1266" t="s">
        <v>715</v>
      </c>
      <c r="FG9" s="1266" t="s">
        <v>716</v>
      </c>
      <c r="FH9" s="1262" t="s">
        <v>433</v>
      </c>
      <c r="FI9" s="355">
        <v>0</v>
      </c>
      <c r="FJ9" s="355">
        <v>24914593</v>
      </c>
      <c r="FK9" s="355">
        <v>8264593</v>
      </c>
      <c r="FL9" s="166">
        <f t="shared" si="39"/>
        <v>0</v>
      </c>
      <c r="FM9" s="166">
        <f t="shared" si="40"/>
        <v>24914.593000000001</v>
      </c>
      <c r="FN9" s="166">
        <f t="shared" si="41"/>
        <v>8264.5930000000008</v>
      </c>
    </row>
    <row r="10" spans="1:170" x14ac:dyDescent="0.35">
      <c r="A10" s="350" t="s">
        <v>434</v>
      </c>
      <c r="B10" s="638" t="s">
        <v>307</v>
      </c>
      <c r="C10" s="350" t="s">
        <v>435</v>
      </c>
      <c r="D10" s="638" t="s">
        <v>328</v>
      </c>
      <c r="E10" s="638" t="s">
        <v>433</v>
      </c>
      <c r="F10" s="244">
        <v>2086968000</v>
      </c>
      <c r="G10" s="244">
        <v>0</v>
      </c>
      <c r="H10" s="244">
        <v>0</v>
      </c>
      <c r="I10" s="244">
        <f t="shared" si="15"/>
        <v>2086968</v>
      </c>
      <c r="J10" s="244">
        <f t="shared" si="16"/>
        <v>0</v>
      </c>
      <c r="K10" s="244">
        <f t="shared" si="17"/>
        <v>0</v>
      </c>
      <c r="M10" s="350" t="s">
        <v>434</v>
      </c>
      <c r="N10" s="638" t="s">
        <v>307</v>
      </c>
      <c r="O10" s="350" t="s">
        <v>459</v>
      </c>
      <c r="P10" s="638" t="s">
        <v>331</v>
      </c>
      <c r="Q10" s="244">
        <v>5237464</v>
      </c>
      <c r="R10" s="1123">
        <f t="shared" si="18"/>
        <v>5237.4639999999999</v>
      </c>
      <c r="U10" s="350" t="s">
        <v>430</v>
      </c>
      <c r="V10" s="350" t="s">
        <v>454</v>
      </c>
      <c r="W10" s="350" t="s">
        <v>457</v>
      </c>
      <c r="X10" s="638" t="s">
        <v>274</v>
      </c>
      <c r="Y10" s="244">
        <v>0</v>
      </c>
      <c r="Z10" s="244">
        <v>11700000</v>
      </c>
      <c r="AA10" s="244">
        <v>0</v>
      </c>
      <c r="AB10" s="244">
        <f t="shared" si="19"/>
        <v>0</v>
      </c>
      <c r="AC10" s="244">
        <f t="shared" si="20"/>
        <v>11700</v>
      </c>
      <c r="AD10" s="244">
        <f t="shared" si="21"/>
        <v>0</v>
      </c>
      <c r="AG10" s="1229" t="s">
        <v>434</v>
      </c>
      <c r="AH10" s="1229" t="s">
        <v>307</v>
      </c>
      <c r="AI10" s="1229" t="s">
        <v>436</v>
      </c>
      <c r="AJ10" s="1229" t="s">
        <v>339</v>
      </c>
      <c r="AK10" s="1230">
        <v>4830280</v>
      </c>
      <c r="AL10" s="1230">
        <f t="shared" si="22"/>
        <v>4830.28</v>
      </c>
      <c r="AO10" s="1238" t="s">
        <v>430</v>
      </c>
      <c r="AP10" s="1239" t="s">
        <v>454</v>
      </c>
      <c r="AQ10" s="1238" t="s">
        <v>457</v>
      </c>
      <c r="AR10" s="1239" t="s">
        <v>274</v>
      </c>
      <c r="AS10" s="1240">
        <v>0</v>
      </c>
      <c r="AT10" s="1240">
        <v>11700000</v>
      </c>
      <c r="AU10" s="1240">
        <v>7800000</v>
      </c>
      <c r="AV10" s="1240">
        <f t="shared" si="23"/>
        <v>0</v>
      </c>
      <c r="AW10" s="1240">
        <f t="shared" si="24"/>
        <v>11700</v>
      </c>
      <c r="AX10" s="1240">
        <f t="shared" si="25"/>
        <v>7800</v>
      </c>
      <c r="BE10" s="78">
        <f>SUM(BE3:BE9)</f>
        <v>284764801</v>
      </c>
      <c r="BF10" s="166">
        <f t="shared" si="26"/>
        <v>284764.80099999998</v>
      </c>
      <c r="BI10" s="1314" t="s">
        <v>430</v>
      </c>
      <c r="BJ10" s="1316" t="s">
        <v>454</v>
      </c>
      <c r="BK10" s="1314" t="s">
        <v>447</v>
      </c>
      <c r="BL10" s="1316" t="s">
        <v>447</v>
      </c>
      <c r="BM10" s="244">
        <v>0</v>
      </c>
      <c r="BN10" s="244">
        <v>0</v>
      </c>
      <c r="BO10" s="244">
        <v>0</v>
      </c>
      <c r="BP10" s="166">
        <f t="shared" si="27"/>
        <v>0</v>
      </c>
      <c r="BQ10" s="166">
        <f t="shared" si="28"/>
        <v>0</v>
      </c>
      <c r="BR10" s="166">
        <f t="shared" si="29"/>
        <v>0</v>
      </c>
      <c r="BU10" s="1316" t="s">
        <v>434</v>
      </c>
      <c r="BV10" s="1316" t="s">
        <v>307</v>
      </c>
      <c r="BW10" s="1316" t="s">
        <v>437</v>
      </c>
      <c r="BX10" s="1316" t="s">
        <v>329</v>
      </c>
      <c r="BY10" s="1353">
        <v>3990000</v>
      </c>
      <c r="BZ10" s="166">
        <f t="shared" si="30"/>
        <v>3990</v>
      </c>
      <c r="CB10" s="1316" t="s">
        <v>430</v>
      </c>
      <c r="CC10" s="1316" t="s">
        <v>454</v>
      </c>
      <c r="CD10" s="1316" t="s">
        <v>715</v>
      </c>
      <c r="CE10" s="1316" t="s">
        <v>716</v>
      </c>
      <c r="CF10" s="244">
        <v>0</v>
      </c>
      <c r="CG10" s="244">
        <v>7616406</v>
      </c>
      <c r="CH10" s="244">
        <v>7069030</v>
      </c>
      <c r="CI10" s="537">
        <f t="shared" si="31"/>
        <v>0</v>
      </c>
      <c r="CJ10" s="537">
        <f t="shared" si="32"/>
        <v>7616.4059999999999</v>
      </c>
      <c r="CK10" s="537">
        <f t="shared" si="33"/>
        <v>7069.03</v>
      </c>
      <c r="CN10" t="s">
        <v>438</v>
      </c>
      <c r="CO10" t="s">
        <v>335</v>
      </c>
      <c r="CP10" t="s">
        <v>439</v>
      </c>
      <c r="CQ10" t="s">
        <v>492</v>
      </c>
      <c r="CR10" s="166">
        <v>120000000</v>
      </c>
      <c r="CS10" s="283">
        <f t="shared" si="34"/>
        <v>120000</v>
      </c>
      <c r="CV10" t="s">
        <v>430</v>
      </c>
      <c r="CW10" t="s">
        <v>454</v>
      </c>
      <c r="CX10" t="s">
        <v>715</v>
      </c>
      <c r="CY10" t="s">
        <v>716</v>
      </c>
      <c r="CZ10" s="166">
        <v>0</v>
      </c>
      <c r="DA10" s="166">
        <v>7616406</v>
      </c>
      <c r="DB10" s="166">
        <v>7616406</v>
      </c>
      <c r="DC10" s="166">
        <f t="shared" si="35"/>
        <v>0</v>
      </c>
      <c r="DD10" s="166">
        <f t="shared" si="36"/>
        <v>7616.4059999999999</v>
      </c>
      <c r="DE10" s="166">
        <f t="shared" si="37"/>
        <v>7616.4059999999999</v>
      </c>
      <c r="DH10" t="s">
        <v>465</v>
      </c>
      <c r="DI10" t="s">
        <v>466</v>
      </c>
      <c r="DJ10" t="s">
        <v>447</v>
      </c>
      <c r="DK10" t="s">
        <v>447</v>
      </c>
      <c r="DL10" s="166">
        <v>9717275</v>
      </c>
      <c r="DM10" s="166">
        <f t="shared" si="6"/>
        <v>9717.2749999999996</v>
      </c>
      <c r="DO10" s="1472" t="s">
        <v>430</v>
      </c>
      <c r="DP10" s="1473" t="s">
        <v>454</v>
      </c>
      <c r="DQ10" s="1473" t="s">
        <v>431</v>
      </c>
      <c r="DR10" s="1473" t="s">
        <v>432</v>
      </c>
      <c r="DS10" s="1230">
        <v>0</v>
      </c>
      <c r="DT10" s="1230">
        <v>226360000</v>
      </c>
      <c r="DU10" s="1230">
        <v>226360000</v>
      </c>
      <c r="DV10" s="166">
        <f t="shared" si="7"/>
        <v>0</v>
      </c>
      <c r="DW10" s="166">
        <f t="shared" si="8"/>
        <v>226360</v>
      </c>
      <c r="DX10" s="166">
        <f t="shared" si="9"/>
        <v>226360</v>
      </c>
      <c r="EA10" s="1262" t="s">
        <v>463</v>
      </c>
      <c r="EB10" s="1262" t="s">
        <v>464</v>
      </c>
      <c r="EC10" s="1262" t="s">
        <v>447</v>
      </c>
      <c r="ED10" s="1262" t="s">
        <v>447</v>
      </c>
      <c r="EE10" s="1262" t="s">
        <v>433</v>
      </c>
      <c r="EF10" s="1688">
        <v>7298845</v>
      </c>
      <c r="EG10" s="1687">
        <f t="shared" si="10"/>
        <v>7298.8450000000003</v>
      </c>
      <c r="EI10" s="1262" t="s">
        <v>430</v>
      </c>
      <c r="EJ10" s="1262" t="s">
        <v>454</v>
      </c>
      <c r="EK10" s="1266" t="s">
        <v>431</v>
      </c>
      <c r="EL10" s="1262" t="s">
        <v>432</v>
      </c>
      <c r="EM10" s="355">
        <v>0</v>
      </c>
      <c r="EN10" s="355">
        <v>226360000</v>
      </c>
      <c r="EO10" s="355">
        <v>226360000</v>
      </c>
      <c r="EP10" s="1687">
        <f t="shared" si="11"/>
        <v>0</v>
      </c>
      <c r="EQ10" s="1687">
        <f t="shared" si="12"/>
        <v>226360</v>
      </c>
      <c r="ER10" s="1687">
        <f t="shared" si="13"/>
        <v>226360</v>
      </c>
      <c r="FA10" s="283">
        <f>SUM(FA3:FA9)</f>
        <v>266011.09199999995</v>
      </c>
      <c r="FD10" s="1266" t="s">
        <v>430</v>
      </c>
      <c r="FE10" s="1266" t="s">
        <v>454</v>
      </c>
      <c r="FF10" s="1266" t="s">
        <v>457</v>
      </c>
      <c r="FG10" s="1266" t="s">
        <v>274</v>
      </c>
      <c r="FH10" s="1262" t="s">
        <v>433</v>
      </c>
      <c r="FI10" s="355">
        <v>0</v>
      </c>
      <c r="FJ10" s="355">
        <v>748257000</v>
      </c>
      <c r="FK10" s="355">
        <v>130472000</v>
      </c>
      <c r="FL10" s="166">
        <f t="shared" si="39"/>
        <v>0</v>
      </c>
      <c r="FM10" s="166">
        <f t="shared" si="40"/>
        <v>748257</v>
      </c>
      <c r="FN10" s="166">
        <f t="shared" si="41"/>
        <v>130472</v>
      </c>
    </row>
    <row r="11" spans="1:170" x14ac:dyDescent="0.35">
      <c r="A11" s="350" t="s">
        <v>434</v>
      </c>
      <c r="B11" s="638" t="s">
        <v>307</v>
      </c>
      <c r="C11" s="350" t="s">
        <v>436</v>
      </c>
      <c r="D11" s="638" t="s">
        <v>339</v>
      </c>
      <c r="E11" s="638" t="s">
        <v>433</v>
      </c>
      <c r="F11" s="244">
        <v>485936000</v>
      </c>
      <c r="G11" s="244">
        <v>0</v>
      </c>
      <c r="H11" s="244">
        <v>0</v>
      </c>
      <c r="I11" s="244">
        <f t="shared" si="15"/>
        <v>485936</v>
      </c>
      <c r="J11" s="244">
        <f t="shared" si="16"/>
        <v>0</v>
      </c>
      <c r="K11" s="244">
        <f t="shared" si="17"/>
        <v>0</v>
      </c>
      <c r="M11" s="350" t="s">
        <v>434</v>
      </c>
      <c r="N11" s="638" t="s">
        <v>307</v>
      </c>
      <c r="O11" s="350" t="s">
        <v>437</v>
      </c>
      <c r="P11" s="638" t="s">
        <v>329</v>
      </c>
      <c r="Q11" s="244">
        <v>1920000</v>
      </c>
      <c r="R11" s="1123">
        <f t="shared" si="18"/>
        <v>1920</v>
      </c>
      <c r="U11" s="350" t="s">
        <v>430</v>
      </c>
      <c r="V11" s="350" t="s">
        <v>454</v>
      </c>
      <c r="W11" s="350" t="s">
        <v>447</v>
      </c>
      <c r="X11" s="638" t="s">
        <v>447</v>
      </c>
      <c r="Y11" s="244">
        <v>0</v>
      </c>
      <c r="Z11" s="244">
        <v>0</v>
      </c>
      <c r="AA11" s="244">
        <v>0</v>
      </c>
      <c r="AB11" s="244">
        <f t="shared" si="19"/>
        <v>0</v>
      </c>
      <c r="AC11" s="244">
        <f t="shared" si="20"/>
        <v>0</v>
      </c>
      <c r="AD11" s="244">
        <f t="shared" si="21"/>
        <v>0</v>
      </c>
      <c r="AG11" s="1229" t="s">
        <v>508</v>
      </c>
      <c r="AH11" s="1229" t="s">
        <v>523</v>
      </c>
      <c r="AI11" s="1229" t="s">
        <v>447</v>
      </c>
      <c r="AJ11" s="1229" t="s">
        <v>447</v>
      </c>
      <c r="AK11" s="1230">
        <v>1393000</v>
      </c>
      <c r="AL11" s="1230">
        <f t="shared" si="22"/>
        <v>1393</v>
      </c>
      <c r="AO11" s="1238" t="s">
        <v>430</v>
      </c>
      <c r="AP11" s="1239" t="s">
        <v>454</v>
      </c>
      <c r="AQ11" s="1238" t="s">
        <v>447</v>
      </c>
      <c r="AR11" s="1239" t="s">
        <v>447</v>
      </c>
      <c r="AS11" s="1240">
        <v>0</v>
      </c>
      <c r="AT11" s="1240">
        <v>0</v>
      </c>
      <c r="AU11" s="1240">
        <v>0</v>
      </c>
      <c r="AV11" s="1240">
        <f t="shared" si="23"/>
        <v>0</v>
      </c>
      <c r="AW11" s="1240">
        <f t="shared" si="24"/>
        <v>0</v>
      </c>
      <c r="AX11" s="1240">
        <f t="shared" si="25"/>
        <v>0</v>
      </c>
      <c r="BI11" s="1314" t="s">
        <v>430</v>
      </c>
      <c r="BJ11" s="1316" t="s">
        <v>454</v>
      </c>
      <c r="BK11" s="1314" t="s">
        <v>457</v>
      </c>
      <c r="BL11" s="1316" t="s">
        <v>274</v>
      </c>
      <c r="BM11" s="244">
        <v>0</v>
      </c>
      <c r="BN11" s="244">
        <v>45972000</v>
      </c>
      <c r="BO11" s="244">
        <v>7800000</v>
      </c>
      <c r="BP11" s="166">
        <f t="shared" si="27"/>
        <v>0</v>
      </c>
      <c r="BQ11" s="166">
        <f t="shared" si="28"/>
        <v>45972</v>
      </c>
      <c r="BR11" s="166">
        <f t="shared" si="29"/>
        <v>7800</v>
      </c>
      <c r="BU11" s="1316" t="s">
        <v>434</v>
      </c>
      <c r="BV11" s="1316" t="s">
        <v>307</v>
      </c>
      <c r="BW11" s="1316" t="s">
        <v>447</v>
      </c>
      <c r="BX11" s="1316" t="s">
        <v>447</v>
      </c>
      <c r="BY11" s="1353">
        <v>0</v>
      </c>
      <c r="BZ11" s="166">
        <f t="shared" si="30"/>
        <v>0</v>
      </c>
      <c r="CB11" s="1316" t="s">
        <v>430</v>
      </c>
      <c r="CC11" s="1316" t="s">
        <v>454</v>
      </c>
      <c r="CD11" s="1316" t="s">
        <v>431</v>
      </c>
      <c r="CE11" s="1316" t="s">
        <v>432</v>
      </c>
      <c r="CF11" s="244">
        <v>0</v>
      </c>
      <c r="CG11" s="244">
        <v>250360000</v>
      </c>
      <c r="CH11" s="244">
        <v>154360000</v>
      </c>
      <c r="CI11" s="537">
        <f t="shared" si="31"/>
        <v>0</v>
      </c>
      <c r="CJ11" s="537">
        <f t="shared" si="32"/>
        <v>250360</v>
      </c>
      <c r="CK11" s="537">
        <f t="shared" si="33"/>
        <v>154360</v>
      </c>
      <c r="CN11" t="s">
        <v>465</v>
      </c>
      <c r="CO11" t="s">
        <v>466</v>
      </c>
      <c r="CP11" t="s">
        <v>447</v>
      </c>
      <c r="CQ11" t="s">
        <v>447</v>
      </c>
      <c r="CR11" s="166">
        <v>4428639</v>
      </c>
      <c r="CS11" s="283">
        <f t="shared" si="34"/>
        <v>4428.6390000000001</v>
      </c>
      <c r="CV11" t="s">
        <v>430</v>
      </c>
      <c r="CW11" t="s">
        <v>454</v>
      </c>
      <c r="CX11" t="s">
        <v>457</v>
      </c>
      <c r="CY11" t="s">
        <v>274</v>
      </c>
      <c r="CZ11" s="166">
        <v>0</v>
      </c>
      <c r="DA11" s="166">
        <v>45972000</v>
      </c>
      <c r="DB11" s="166">
        <v>45972000</v>
      </c>
      <c r="DC11" s="166">
        <f t="shared" si="35"/>
        <v>0</v>
      </c>
      <c r="DD11" s="166">
        <f t="shared" si="36"/>
        <v>45972</v>
      </c>
      <c r="DE11" s="166">
        <f t="shared" si="37"/>
        <v>45972</v>
      </c>
      <c r="DL11" s="166"/>
      <c r="DM11" s="166"/>
      <c r="DO11" s="1472" t="s">
        <v>430</v>
      </c>
      <c r="DP11" s="1473" t="s">
        <v>454</v>
      </c>
      <c r="DQ11" s="1473" t="s">
        <v>457</v>
      </c>
      <c r="DR11" s="1473" t="s">
        <v>274</v>
      </c>
      <c r="DS11" s="1230">
        <v>0</v>
      </c>
      <c r="DT11" s="1230">
        <v>483572000</v>
      </c>
      <c r="DU11" s="1230">
        <v>45972000</v>
      </c>
      <c r="DV11" s="166">
        <f t="shared" si="7"/>
        <v>0</v>
      </c>
      <c r="DW11" s="166">
        <f t="shared" si="8"/>
        <v>483572</v>
      </c>
      <c r="DX11" s="166">
        <f t="shared" si="9"/>
        <v>45972</v>
      </c>
      <c r="EA11" s="1262" t="s">
        <v>465</v>
      </c>
      <c r="EB11" s="1262" t="s">
        <v>466</v>
      </c>
      <c r="EC11" s="1262" t="s">
        <v>447</v>
      </c>
      <c r="ED11" s="1262" t="s">
        <v>447</v>
      </c>
      <c r="EE11" s="1262" t="s">
        <v>433</v>
      </c>
      <c r="EF11" s="1688">
        <v>4428639</v>
      </c>
      <c r="EG11" s="1687">
        <f t="shared" si="10"/>
        <v>4428.6390000000001</v>
      </c>
      <c r="EI11" s="1262" t="s">
        <v>430</v>
      </c>
      <c r="EJ11" s="1262" t="s">
        <v>454</v>
      </c>
      <c r="EK11" s="1266" t="s">
        <v>447</v>
      </c>
      <c r="EL11" s="1262" t="s">
        <v>447</v>
      </c>
      <c r="EM11" s="355">
        <v>0</v>
      </c>
      <c r="EN11" s="355">
        <v>0</v>
      </c>
      <c r="EO11" s="355">
        <v>0</v>
      </c>
      <c r="EP11" s="1687">
        <f t="shared" si="11"/>
        <v>0</v>
      </c>
      <c r="EQ11" s="1687">
        <f t="shared" si="12"/>
        <v>0</v>
      </c>
      <c r="ER11" s="1687">
        <f t="shared" si="13"/>
        <v>0</v>
      </c>
      <c r="FD11" s="1266" t="s">
        <v>430</v>
      </c>
      <c r="FE11" s="1266" t="s">
        <v>454</v>
      </c>
      <c r="FF11" s="1266" t="s">
        <v>455</v>
      </c>
      <c r="FG11" s="1266" t="s">
        <v>456</v>
      </c>
      <c r="FH11" s="1262" t="s">
        <v>433</v>
      </c>
      <c r="FI11" s="355">
        <v>0</v>
      </c>
      <c r="FJ11" s="355">
        <v>50000000</v>
      </c>
      <c r="FK11" s="355">
        <v>50000000</v>
      </c>
      <c r="FL11" s="166">
        <f t="shared" si="39"/>
        <v>0</v>
      </c>
      <c r="FM11" s="166">
        <f t="shared" si="40"/>
        <v>50000</v>
      </c>
      <c r="FN11" s="166">
        <f t="shared" si="41"/>
        <v>50000</v>
      </c>
    </row>
    <row r="12" spans="1:170" x14ac:dyDescent="0.35">
      <c r="A12" s="350" t="s">
        <v>434</v>
      </c>
      <c r="B12" s="638" t="s">
        <v>307</v>
      </c>
      <c r="C12" s="350" t="s">
        <v>437</v>
      </c>
      <c r="D12" s="638" t="s">
        <v>329</v>
      </c>
      <c r="E12" s="638" t="s">
        <v>433</v>
      </c>
      <c r="F12" s="244">
        <v>62726000</v>
      </c>
      <c r="G12" s="244">
        <v>0</v>
      </c>
      <c r="H12" s="244">
        <v>0</v>
      </c>
      <c r="I12" s="244">
        <f t="shared" si="15"/>
        <v>62726</v>
      </c>
      <c r="J12" s="244">
        <f t="shared" si="16"/>
        <v>0</v>
      </c>
      <c r="K12" s="244">
        <f t="shared" si="17"/>
        <v>0</v>
      </c>
      <c r="M12" s="350" t="s">
        <v>434</v>
      </c>
      <c r="N12" s="638" t="s">
        <v>307</v>
      </c>
      <c r="O12" s="350" t="s">
        <v>447</v>
      </c>
      <c r="P12" s="638" t="s">
        <v>447</v>
      </c>
      <c r="Q12" s="244">
        <v>0</v>
      </c>
      <c r="R12" s="1123">
        <f t="shared" si="18"/>
        <v>0</v>
      </c>
      <c r="U12" s="350" t="s">
        <v>434</v>
      </c>
      <c r="V12" s="350" t="s">
        <v>307</v>
      </c>
      <c r="W12" s="350" t="s">
        <v>435</v>
      </c>
      <c r="X12" s="638" t="s">
        <v>328</v>
      </c>
      <c r="Y12" s="244">
        <v>2086968000</v>
      </c>
      <c r="Z12" s="244">
        <v>0</v>
      </c>
      <c r="AA12" s="244">
        <v>0</v>
      </c>
      <c r="AB12" s="244">
        <f t="shared" si="19"/>
        <v>2086968</v>
      </c>
      <c r="AC12" s="244">
        <f t="shared" si="20"/>
        <v>0</v>
      </c>
      <c r="AD12" s="244">
        <f t="shared" si="21"/>
        <v>0</v>
      </c>
      <c r="AG12" s="1229" t="s">
        <v>438</v>
      </c>
      <c r="AH12" s="1229" t="s">
        <v>335</v>
      </c>
      <c r="AI12" s="1229" t="s">
        <v>447</v>
      </c>
      <c r="AJ12" s="1229" t="s">
        <v>447</v>
      </c>
      <c r="AK12" s="1230">
        <v>0</v>
      </c>
      <c r="AL12" s="1230">
        <f t="shared" si="22"/>
        <v>0</v>
      </c>
      <c r="AO12" s="1238" t="s">
        <v>434</v>
      </c>
      <c r="AP12" s="1239" t="s">
        <v>307</v>
      </c>
      <c r="AQ12" s="1238" t="s">
        <v>435</v>
      </c>
      <c r="AR12" s="1239" t="s">
        <v>328</v>
      </c>
      <c r="AS12" s="1240">
        <v>2086968000</v>
      </c>
      <c r="AT12" s="1240">
        <v>0</v>
      </c>
      <c r="AU12" s="1240">
        <v>0</v>
      </c>
      <c r="AV12" s="1240">
        <f t="shared" si="23"/>
        <v>2086968</v>
      </c>
      <c r="AW12" s="1240">
        <f t="shared" si="24"/>
        <v>0</v>
      </c>
      <c r="AX12" s="1240">
        <f t="shared" si="25"/>
        <v>0</v>
      </c>
      <c r="BI12" s="1314" t="s">
        <v>430</v>
      </c>
      <c r="BJ12" s="1316" t="s">
        <v>454</v>
      </c>
      <c r="BK12" s="1314" t="s">
        <v>715</v>
      </c>
      <c r="BL12" s="1316" t="s">
        <v>716</v>
      </c>
      <c r="BM12" s="244">
        <v>0</v>
      </c>
      <c r="BN12" s="244">
        <v>7069030</v>
      </c>
      <c r="BO12" s="244">
        <v>4218000</v>
      </c>
      <c r="BP12" s="166">
        <f t="shared" si="27"/>
        <v>0</v>
      </c>
      <c r="BQ12" s="166">
        <f t="shared" si="28"/>
        <v>7069.03</v>
      </c>
      <c r="BR12" s="166">
        <f t="shared" si="29"/>
        <v>4218</v>
      </c>
      <c r="BU12" s="1316" t="s">
        <v>508</v>
      </c>
      <c r="BV12" s="1316" t="s">
        <v>523</v>
      </c>
      <c r="BW12" s="1316" t="s">
        <v>447</v>
      </c>
      <c r="BX12" s="1316" t="s">
        <v>447</v>
      </c>
      <c r="BY12" s="1353">
        <v>0</v>
      </c>
      <c r="BZ12" s="166">
        <f t="shared" si="30"/>
        <v>0</v>
      </c>
      <c r="CB12" s="1316" t="s">
        <v>430</v>
      </c>
      <c r="CC12" s="1316" t="s">
        <v>454</v>
      </c>
      <c r="CD12" s="1316" t="s">
        <v>457</v>
      </c>
      <c r="CE12" s="1316" t="s">
        <v>274</v>
      </c>
      <c r="CF12" s="244">
        <v>0</v>
      </c>
      <c r="CG12" s="244">
        <v>45972000</v>
      </c>
      <c r="CH12" s="244">
        <v>45972000</v>
      </c>
      <c r="CI12" s="537">
        <f t="shared" si="31"/>
        <v>0</v>
      </c>
      <c r="CJ12" s="537">
        <f t="shared" si="32"/>
        <v>45972</v>
      </c>
      <c r="CK12" s="537">
        <f t="shared" si="33"/>
        <v>45972</v>
      </c>
      <c r="CV12" t="s">
        <v>430</v>
      </c>
      <c r="CW12" t="s">
        <v>454</v>
      </c>
      <c r="CX12" t="s">
        <v>447</v>
      </c>
      <c r="CY12" t="s">
        <v>447</v>
      </c>
      <c r="CZ12" s="166">
        <v>0</v>
      </c>
      <c r="DA12" s="166">
        <v>0</v>
      </c>
      <c r="DB12" s="166">
        <v>0</v>
      </c>
      <c r="DC12" s="166">
        <f t="shared" si="35"/>
        <v>0</v>
      </c>
      <c r="DD12" s="166">
        <f t="shared" si="36"/>
        <v>0</v>
      </c>
      <c r="DE12" s="166">
        <f t="shared" si="37"/>
        <v>0</v>
      </c>
      <c r="DO12" s="1472" t="s">
        <v>430</v>
      </c>
      <c r="DP12" s="1473" t="s">
        <v>454</v>
      </c>
      <c r="DQ12" s="1473" t="s">
        <v>447</v>
      </c>
      <c r="DR12" s="1473" t="s">
        <v>447</v>
      </c>
      <c r="DS12" s="1230">
        <v>0</v>
      </c>
      <c r="DT12" s="1230">
        <v>0</v>
      </c>
      <c r="DU12" s="1230">
        <v>0</v>
      </c>
      <c r="DV12" s="166">
        <f t="shared" si="7"/>
        <v>0</v>
      </c>
      <c r="DW12" s="166">
        <f t="shared" si="8"/>
        <v>0</v>
      </c>
      <c r="DX12" s="166">
        <f t="shared" si="9"/>
        <v>0</v>
      </c>
      <c r="EG12" s="1694">
        <f>SUM(EG3:EG11)</f>
        <v>400455.49000000005</v>
      </c>
      <c r="EI12" s="1262" t="s">
        <v>430</v>
      </c>
      <c r="EJ12" s="1262" t="s">
        <v>454</v>
      </c>
      <c r="EK12" s="1266" t="s">
        <v>457</v>
      </c>
      <c r="EL12" s="1262" t="s">
        <v>274</v>
      </c>
      <c r="EM12" s="355">
        <v>0</v>
      </c>
      <c r="EN12" s="355">
        <v>748257000</v>
      </c>
      <c r="EO12" s="355">
        <v>97472000</v>
      </c>
      <c r="EP12" s="1687">
        <f t="shared" si="11"/>
        <v>0</v>
      </c>
      <c r="EQ12" s="1687">
        <f t="shared" si="12"/>
        <v>748257</v>
      </c>
      <c r="ER12" s="1687">
        <f t="shared" si="13"/>
        <v>97472</v>
      </c>
      <c r="FD12" s="1266" t="s">
        <v>430</v>
      </c>
      <c r="FE12" s="1266" t="s">
        <v>454</v>
      </c>
      <c r="FF12" s="1266" t="s">
        <v>628</v>
      </c>
      <c r="FG12" s="1266" t="s">
        <v>331</v>
      </c>
      <c r="FH12" s="1262" t="s">
        <v>433</v>
      </c>
      <c r="FI12" s="355">
        <v>0</v>
      </c>
      <c r="FJ12" s="355">
        <v>0</v>
      </c>
      <c r="FK12" s="355">
        <v>0</v>
      </c>
      <c r="FL12" s="166">
        <f t="shared" si="39"/>
        <v>0</v>
      </c>
      <c r="FM12" s="166">
        <f t="shared" si="40"/>
        <v>0</v>
      </c>
      <c r="FN12" s="166">
        <f t="shared" si="41"/>
        <v>0</v>
      </c>
    </row>
    <row r="13" spans="1:170" x14ac:dyDescent="0.35">
      <c r="A13" s="350" t="s">
        <v>434</v>
      </c>
      <c r="B13" s="638" t="s">
        <v>307</v>
      </c>
      <c r="C13" s="350" t="s">
        <v>459</v>
      </c>
      <c r="D13" s="638" t="s">
        <v>331</v>
      </c>
      <c r="E13" s="638" t="s">
        <v>433</v>
      </c>
      <c r="F13" s="244">
        <v>60788000</v>
      </c>
      <c r="G13" s="244">
        <v>0</v>
      </c>
      <c r="H13" s="244">
        <v>0</v>
      </c>
      <c r="I13" s="244">
        <f t="shared" si="15"/>
        <v>60788</v>
      </c>
      <c r="J13" s="244">
        <f t="shared" si="16"/>
        <v>0</v>
      </c>
      <c r="K13" s="244">
        <f t="shared" si="17"/>
        <v>0</v>
      </c>
      <c r="M13" s="350" t="s">
        <v>508</v>
      </c>
      <c r="N13" s="638" t="s">
        <v>523</v>
      </c>
      <c r="O13" s="350" t="s">
        <v>447</v>
      </c>
      <c r="P13" s="638" t="s">
        <v>447</v>
      </c>
      <c r="Q13" s="244">
        <v>5688000</v>
      </c>
      <c r="R13" s="1123">
        <f t="shared" si="18"/>
        <v>5688</v>
      </c>
      <c r="U13" s="350" t="s">
        <v>434</v>
      </c>
      <c r="V13" s="350" t="s">
        <v>307</v>
      </c>
      <c r="W13" s="350" t="s">
        <v>436</v>
      </c>
      <c r="X13" s="638" t="s">
        <v>339</v>
      </c>
      <c r="Y13" s="244">
        <v>485936000</v>
      </c>
      <c r="Z13" s="244">
        <v>0</v>
      </c>
      <c r="AA13" s="244">
        <v>0</v>
      </c>
      <c r="AB13" s="244">
        <f t="shared" si="19"/>
        <v>485936</v>
      </c>
      <c r="AC13" s="244">
        <f t="shared" si="20"/>
        <v>0</v>
      </c>
      <c r="AD13" s="244">
        <f t="shared" si="21"/>
        <v>0</v>
      </c>
      <c r="AG13" s="1229" t="s">
        <v>438</v>
      </c>
      <c r="AH13" s="1229" t="s">
        <v>335</v>
      </c>
      <c r="AI13" s="1229" t="s">
        <v>447</v>
      </c>
      <c r="AJ13" s="1229" t="s">
        <v>447</v>
      </c>
      <c r="AK13" s="1230">
        <v>0</v>
      </c>
      <c r="AL13" s="1230">
        <f t="shared" si="22"/>
        <v>0</v>
      </c>
      <c r="AO13" s="1238" t="s">
        <v>434</v>
      </c>
      <c r="AP13" s="1239" t="s">
        <v>307</v>
      </c>
      <c r="AQ13" s="1238" t="s">
        <v>436</v>
      </c>
      <c r="AR13" s="1239" t="s">
        <v>339</v>
      </c>
      <c r="AS13" s="1240">
        <v>485936000</v>
      </c>
      <c r="AT13" s="1240">
        <v>0</v>
      </c>
      <c r="AU13" s="1240">
        <v>0</v>
      </c>
      <c r="AV13" s="1240">
        <f t="shared" si="23"/>
        <v>485936</v>
      </c>
      <c r="AW13" s="1240">
        <f t="shared" si="24"/>
        <v>0</v>
      </c>
      <c r="AX13" s="1240">
        <f t="shared" si="25"/>
        <v>0</v>
      </c>
      <c r="BI13" s="1314" t="s">
        <v>434</v>
      </c>
      <c r="BJ13" s="1316" t="s">
        <v>307</v>
      </c>
      <c r="BK13" s="1314" t="s">
        <v>435</v>
      </c>
      <c r="BL13" s="1316" t="s">
        <v>328</v>
      </c>
      <c r="BM13" s="244">
        <v>2086968000</v>
      </c>
      <c r="BN13" s="244">
        <v>0</v>
      </c>
      <c r="BO13" s="244">
        <v>0</v>
      </c>
      <c r="BP13" s="166">
        <f t="shared" si="27"/>
        <v>2086968</v>
      </c>
      <c r="BQ13" s="166">
        <f t="shared" si="28"/>
        <v>0</v>
      </c>
      <c r="BR13" s="166">
        <f t="shared" si="29"/>
        <v>0</v>
      </c>
      <c r="BU13" s="1316" t="s">
        <v>438</v>
      </c>
      <c r="BV13" s="1316" t="s">
        <v>335</v>
      </c>
      <c r="BW13" s="1316" t="s">
        <v>447</v>
      </c>
      <c r="BX13" s="1316" t="s">
        <v>447</v>
      </c>
      <c r="BY13" s="1353">
        <v>0</v>
      </c>
      <c r="BZ13" s="166">
        <f t="shared" si="30"/>
        <v>0</v>
      </c>
      <c r="CB13" s="1316" t="s">
        <v>430</v>
      </c>
      <c r="CC13" s="1316" t="s">
        <v>454</v>
      </c>
      <c r="CD13" s="1316" t="s">
        <v>447</v>
      </c>
      <c r="CE13" s="1316" t="s">
        <v>447</v>
      </c>
      <c r="CF13" s="244">
        <v>0</v>
      </c>
      <c r="CG13" s="244">
        <v>0</v>
      </c>
      <c r="CH13" s="244">
        <v>0</v>
      </c>
      <c r="CI13" s="537">
        <f t="shared" si="31"/>
        <v>0</v>
      </c>
      <c r="CJ13" s="537">
        <f t="shared" si="32"/>
        <v>0</v>
      </c>
      <c r="CK13" s="537">
        <f t="shared" si="33"/>
        <v>0</v>
      </c>
      <c r="CV13" t="s">
        <v>430</v>
      </c>
      <c r="CW13" t="s">
        <v>454</v>
      </c>
      <c r="CX13" t="s">
        <v>431</v>
      </c>
      <c r="CY13" t="s">
        <v>432</v>
      </c>
      <c r="CZ13" s="166">
        <v>0</v>
      </c>
      <c r="DA13" s="166">
        <v>226360000</v>
      </c>
      <c r="DB13" s="166">
        <v>226360000</v>
      </c>
      <c r="DC13" s="166">
        <f t="shared" si="35"/>
        <v>0</v>
      </c>
      <c r="DD13" s="166">
        <f t="shared" si="36"/>
        <v>226360</v>
      </c>
      <c r="DE13" s="166">
        <f t="shared" si="37"/>
        <v>226360</v>
      </c>
      <c r="DO13" s="1472" t="s">
        <v>430</v>
      </c>
      <c r="DP13" s="1473" t="s">
        <v>454</v>
      </c>
      <c r="DQ13" s="1473" t="s">
        <v>715</v>
      </c>
      <c r="DR13" s="1473" t="s">
        <v>716</v>
      </c>
      <c r="DS13" s="1230">
        <v>0</v>
      </c>
      <c r="DT13" s="1230">
        <v>8264593</v>
      </c>
      <c r="DU13" s="1230">
        <v>8264593</v>
      </c>
      <c r="DV13" s="166">
        <f t="shared" si="7"/>
        <v>0</v>
      </c>
      <c r="DW13" s="166">
        <f t="shared" si="8"/>
        <v>8264.5930000000008</v>
      </c>
      <c r="DX13" s="166">
        <f t="shared" si="9"/>
        <v>8264.5930000000008</v>
      </c>
      <c r="EI13" s="1262" t="s">
        <v>430</v>
      </c>
      <c r="EJ13" s="1262" t="s">
        <v>454</v>
      </c>
      <c r="EK13" s="1266" t="s">
        <v>715</v>
      </c>
      <c r="EL13" s="1262" t="s">
        <v>716</v>
      </c>
      <c r="EM13" s="355">
        <v>0</v>
      </c>
      <c r="EN13" s="355">
        <v>41564593</v>
      </c>
      <c r="EO13" s="355">
        <v>8264593</v>
      </c>
      <c r="EP13" s="1687">
        <f t="shared" si="11"/>
        <v>0</v>
      </c>
      <c r="EQ13" s="1687">
        <f t="shared" si="12"/>
        <v>41564.593000000001</v>
      </c>
      <c r="ER13" s="1687">
        <f t="shared" si="13"/>
        <v>8264.5930000000008</v>
      </c>
      <c r="FD13" s="1266" t="s">
        <v>430</v>
      </c>
      <c r="FE13" s="1266" t="s">
        <v>454</v>
      </c>
      <c r="FF13" s="1266" t="s">
        <v>447</v>
      </c>
      <c r="FG13" s="1266" t="s">
        <v>447</v>
      </c>
      <c r="FH13" s="1262" t="s">
        <v>433</v>
      </c>
      <c r="FI13" s="355">
        <v>0</v>
      </c>
      <c r="FJ13" s="355">
        <v>0</v>
      </c>
      <c r="FK13" s="355">
        <v>0</v>
      </c>
      <c r="FL13" s="166">
        <f t="shared" si="39"/>
        <v>0</v>
      </c>
      <c r="FM13" s="166">
        <f t="shared" si="40"/>
        <v>0</v>
      </c>
      <c r="FN13" s="166">
        <f t="shared" si="41"/>
        <v>0</v>
      </c>
    </row>
    <row r="14" spans="1:170" x14ac:dyDescent="0.35">
      <c r="A14" s="350" t="s">
        <v>434</v>
      </c>
      <c r="B14" s="638" t="s">
        <v>307</v>
      </c>
      <c r="C14" s="350" t="s">
        <v>437</v>
      </c>
      <c r="D14" s="638" t="s">
        <v>329</v>
      </c>
      <c r="E14" s="638" t="s">
        <v>433</v>
      </c>
      <c r="F14" s="244">
        <v>0</v>
      </c>
      <c r="G14" s="244">
        <v>47880000</v>
      </c>
      <c r="H14" s="244">
        <v>1920000</v>
      </c>
      <c r="I14" s="244">
        <f t="shared" si="15"/>
        <v>0</v>
      </c>
      <c r="J14" s="244">
        <f t="shared" si="16"/>
        <v>47880</v>
      </c>
      <c r="K14" s="244">
        <f t="shared" si="17"/>
        <v>1920</v>
      </c>
      <c r="M14" s="350" t="s">
        <v>438</v>
      </c>
      <c r="N14" s="638" t="s">
        <v>335</v>
      </c>
      <c r="O14" s="350" t="s">
        <v>499</v>
      </c>
      <c r="P14" s="638" t="s">
        <v>632</v>
      </c>
      <c r="Q14" s="244">
        <v>79200000</v>
      </c>
      <c r="R14" s="1123">
        <f t="shared" si="18"/>
        <v>79200</v>
      </c>
      <c r="U14" s="350" t="s">
        <v>434</v>
      </c>
      <c r="V14" s="350" t="s">
        <v>307</v>
      </c>
      <c r="W14" s="350" t="s">
        <v>437</v>
      </c>
      <c r="X14" s="638" t="s">
        <v>329</v>
      </c>
      <c r="Y14" s="244">
        <v>62726000</v>
      </c>
      <c r="Z14" s="244">
        <v>0</v>
      </c>
      <c r="AA14" s="244">
        <v>0</v>
      </c>
      <c r="AB14" s="244">
        <f t="shared" si="19"/>
        <v>62726</v>
      </c>
      <c r="AC14" s="244">
        <f t="shared" si="20"/>
        <v>0</v>
      </c>
      <c r="AD14" s="244">
        <f t="shared" si="21"/>
        <v>0</v>
      </c>
      <c r="AG14" s="1229" t="s">
        <v>438</v>
      </c>
      <c r="AH14" s="1229" t="s">
        <v>335</v>
      </c>
      <c r="AI14" s="1229" t="s">
        <v>499</v>
      </c>
      <c r="AJ14" s="1229" t="s">
        <v>632</v>
      </c>
      <c r="AK14" s="1230">
        <v>70000000</v>
      </c>
      <c r="AL14" s="1230">
        <f t="shared" si="22"/>
        <v>70000</v>
      </c>
      <c r="AO14" s="1238" t="s">
        <v>434</v>
      </c>
      <c r="AP14" s="1239" t="s">
        <v>307</v>
      </c>
      <c r="AQ14" s="1238" t="s">
        <v>437</v>
      </c>
      <c r="AR14" s="1239" t="s">
        <v>329</v>
      </c>
      <c r="AS14" s="1240">
        <v>62726000</v>
      </c>
      <c r="AT14" s="1240">
        <v>0</v>
      </c>
      <c r="AU14" s="1240">
        <v>0</v>
      </c>
      <c r="AV14" s="1240">
        <f t="shared" si="23"/>
        <v>62726</v>
      </c>
      <c r="AW14" s="1240">
        <f t="shared" si="24"/>
        <v>0</v>
      </c>
      <c r="AX14" s="1240">
        <f t="shared" si="25"/>
        <v>0</v>
      </c>
      <c r="BI14" s="1314" t="s">
        <v>434</v>
      </c>
      <c r="BJ14" s="1316" t="s">
        <v>307</v>
      </c>
      <c r="BK14" s="1314" t="s">
        <v>436</v>
      </c>
      <c r="BL14" s="1316" t="s">
        <v>339</v>
      </c>
      <c r="BM14" s="244">
        <v>485936000</v>
      </c>
      <c r="BN14" s="244">
        <v>0</v>
      </c>
      <c r="BO14" s="244">
        <v>0</v>
      </c>
      <c r="BP14" s="166">
        <f t="shared" si="27"/>
        <v>485936</v>
      </c>
      <c r="BQ14" s="166">
        <f t="shared" si="28"/>
        <v>0</v>
      </c>
      <c r="BR14" s="166">
        <f t="shared" si="29"/>
        <v>0</v>
      </c>
      <c r="BU14" s="1316" t="s">
        <v>438</v>
      </c>
      <c r="BV14" s="1316" t="s">
        <v>335</v>
      </c>
      <c r="BW14" s="1316" t="s">
        <v>447</v>
      </c>
      <c r="BX14" s="1316" t="s">
        <v>447</v>
      </c>
      <c r="BY14" s="1353">
        <v>0</v>
      </c>
      <c r="BZ14" s="166">
        <f t="shared" si="30"/>
        <v>0</v>
      </c>
      <c r="CB14" s="1316" t="s">
        <v>434</v>
      </c>
      <c r="CC14" s="1316" t="s">
        <v>307</v>
      </c>
      <c r="CD14" s="1316" t="s">
        <v>435</v>
      </c>
      <c r="CE14" s="1316" t="s">
        <v>328</v>
      </c>
      <c r="CF14" s="244">
        <v>2086968000</v>
      </c>
      <c r="CG14" s="244">
        <v>0</v>
      </c>
      <c r="CH14" s="244">
        <v>0</v>
      </c>
      <c r="CI14" s="537">
        <f t="shared" si="31"/>
        <v>2086968</v>
      </c>
      <c r="CJ14" s="537">
        <f t="shared" si="32"/>
        <v>0</v>
      </c>
      <c r="CK14" s="537">
        <f t="shared" si="33"/>
        <v>0</v>
      </c>
      <c r="CV14" t="s">
        <v>434</v>
      </c>
      <c r="CW14" t="s">
        <v>307</v>
      </c>
      <c r="CX14" t="s">
        <v>435</v>
      </c>
      <c r="CY14" t="s">
        <v>328</v>
      </c>
      <c r="CZ14" s="166">
        <v>2086968000</v>
      </c>
      <c r="DA14" s="166">
        <v>0</v>
      </c>
      <c r="DB14" s="166">
        <v>0</v>
      </c>
      <c r="DC14" s="166">
        <f t="shared" si="35"/>
        <v>2086968</v>
      </c>
      <c r="DD14" s="166">
        <f t="shared" si="36"/>
        <v>0</v>
      </c>
      <c r="DE14" s="166">
        <f t="shared" si="37"/>
        <v>0</v>
      </c>
      <c r="DO14" s="1472" t="s">
        <v>434</v>
      </c>
      <c r="DP14" s="1473" t="s">
        <v>307</v>
      </c>
      <c r="DQ14" s="1473" t="s">
        <v>435</v>
      </c>
      <c r="DR14" s="1473" t="s">
        <v>328</v>
      </c>
      <c r="DS14" s="1230">
        <v>2086968000</v>
      </c>
      <c r="DT14" s="1230">
        <v>0</v>
      </c>
      <c r="DU14" s="1230">
        <v>0</v>
      </c>
      <c r="DV14" s="166">
        <f t="shared" si="7"/>
        <v>2086968</v>
      </c>
      <c r="DW14" s="166">
        <f t="shared" si="8"/>
        <v>0</v>
      </c>
      <c r="DX14" s="166">
        <f t="shared" si="9"/>
        <v>0</v>
      </c>
      <c r="EI14" s="1262" t="s">
        <v>430</v>
      </c>
      <c r="EJ14" s="1262" t="s">
        <v>454</v>
      </c>
      <c r="EK14" s="1266" t="s">
        <v>455</v>
      </c>
      <c r="EL14" s="1262" t="s">
        <v>456</v>
      </c>
      <c r="EM14" s="355">
        <v>0</v>
      </c>
      <c r="EN14" s="355">
        <v>50000000</v>
      </c>
      <c r="EO14" s="355">
        <v>0</v>
      </c>
      <c r="EP14" s="1687">
        <f t="shared" si="11"/>
        <v>0</v>
      </c>
      <c r="EQ14" s="1687">
        <f t="shared" si="12"/>
        <v>50000</v>
      </c>
      <c r="ER14" s="1687">
        <f t="shared" si="13"/>
        <v>0</v>
      </c>
      <c r="FD14" s="1266" t="s">
        <v>430</v>
      </c>
      <c r="FE14" s="1266" t="s">
        <v>454</v>
      </c>
      <c r="FF14" s="1266" t="s">
        <v>431</v>
      </c>
      <c r="FG14" s="1266" t="s">
        <v>432</v>
      </c>
      <c r="FH14" s="1262" t="s">
        <v>433</v>
      </c>
      <c r="FI14" s="355">
        <v>0</v>
      </c>
      <c r="FJ14" s="355">
        <v>226360000</v>
      </c>
      <c r="FK14" s="355">
        <v>226360000</v>
      </c>
      <c r="FL14" s="166">
        <f t="shared" si="39"/>
        <v>0</v>
      </c>
      <c r="FM14" s="166">
        <f t="shared" si="40"/>
        <v>226360</v>
      </c>
      <c r="FN14" s="166">
        <f t="shared" si="41"/>
        <v>226360</v>
      </c>
    </row>
    <row r="15" spans="1:170" x14ac:dyDescent="0.35">
      <c r="A15" s="350" t="s">
        <v>434</v>
      </c>
      <c r="B15" s="638" t="s">
        <v>307</v>
      </c>
      <c r="C15" s="350" t="s">
        <v>435</v>
      </c>
      <c r="D15" s="638" t="s">
        <v>328</v>
      </c>
      <c r="E15" s="638" t="s">
        <v>433</v>
      </c>
      <c r="F15" s="244">
        <v>0</v>
      </c>
      <c r="G15" s="244">
        <v>16978585</v>
      </c>
      <c r="H15" s="244">
        <v>11633585</v>
      </c>
      <c r="I15" s="244">
        <f t="shared" si="15"/>
        <v>0</v>
      </c>
      <c r="J15" s="244">
        <f t="shared" si="16"/>
        <v>16978.584999999999</v>
      </c>
      <c r="K15" s="244">
        <f t="shared" si="17"/>
        <v>11633.584999999999</v>
      </c>
      <c r="M15" s="350" t="s">
        <v>438</v>
      </c>
      <c r="N15" s="638" t="s">
        <v>335</v>
      </c>
      <c r="O15" s="350" t="s">
        <v>629</v>
      </c>
      <c r="P15" s="638" t="s">
        <v>630</v>
      </c>
      <c r="Q15" s="244">
        <v>780000</v>
      </c>
      <c r="R15" s="1123">
        <f t="shared" si="18"/>
        <v>780</v>
      </c>
      <c r="U15" s="350" t="s">
        <v>434</v>
      </c>
      <c r="V15" s="350" t="s">
        <v>307</v>
      </c>
      <c r="W15" s="350" t="s">
        <v>459</v>
      </c>
      <c r="X15" s="638" t="s">
        <v>331</v>
      </c>
      <c r="Y15" s="244">
        <v>60788000</v>
      </c>
      <c r="Z15" s="244">
        <v>0</v>
      </c>
      <c r="AA15" s="244">
        <v>0</v>
      </c>
      <c r="AB15" s="244">
        <f t="shared" si="19"/>
        <v>60788</v>
      </c>
      <c r="AC15" s="244">
        <f t="shared" si="20"/>
        <v>0</v>
      </c>
      <c r="AD15" s="244">
        <f t="shared" si="21"/>
        <v>0</v>
      </c>
      <c r="AG15" s="1229" t="s">
        <v>465</v>
      </c>
      <c r="AH15" s="1229" t="s">
        <v>466</v>
      </c>
      <c r="AI15" s="1229" t="s">
        <v>447</v>
      </c>
      <c r="AJ15" s="1229" t="s">
        <v>447</v>
      </c>
      <c r="AK15" s="1230">
        <v>48758587</v>
      </c>
      <c r="AL15" s="1230">
        <f t="shared" si="22"/>
        <v>48758.587</v>
      </c>
      <c r="AO15" s="1238" t="s">
        <v>434</v>
      </c>
      <c r="AP15" s="1239" t="s">
        <v>307</v>
      </c>
      <c r="AQ15" s="1238" t="s">
        <v>459</v>
      </c>
      <c r="AR15" s="1239" t="s">
        <v>331</v>
      </c>
      <c r="AS15" s="1240">
        <v>60788000</v>
      </c>
      <c r="AT15" s="1240">
        <v>0</v>
      </c>
      <c r="AU15" s="1240">
        <v>0</v>
      </c>
      <c r="AV15" s="1240">
        <f t="shared" si="23"/>
        <v>60788</v>
      </c>
      <c r="AW15" s="1240">
        <f t="shared" si="24"/>
        <v>0</v>
      </c>
      <c r="AX15" s="1240">
        <f t="shared" si="25"/>
        <v>0</v>
      </c>
      <c r="BI15" s="1314" t="s">
        <v>434</v>
      </c>
      <c r="BJ15" s="1316" t="s">
        <v>307</v>
      </c>
      <c r="BK15" s="1314" t="s">
        <v>437</v>
      </c>
      <c r="BL15" s="1316" t="s">
        <v>329</v>
      </c>
      <c r="BM15" s="244">
        <v>62626000</v>
      </c>
      <c r="BN15" s="244">
        <v>0</v>
      </c>
      <c r="BO15" s="244">
        <v>0</v>
      </c>
      <c r="BP15" s="166">
        <f t="shared" si="27"/>
        <v>62626</v>
      </c>
      <c r="BQ15" s="166">
        <f t="shared" si="28"/>
        <v>0</v>
      </c>
      <c r="BR15" s="166">
        <f t="shared" si="29"/>
        <v>0</v>
      </c>
      <c r="BU15" s="1316" t="s">
        <v>438</v>
      </c>
      <c r="BV15" s="1316" t="s">
        <v>335</v>
      </c>
      <c r="BW15" s="1316" t="s">
        <v>447</v>
      </c>
      <c r="BX15" s="1316" t="s">
        <v>447</v>
      </c>
      <c r="BY15" s="1353">
        <v>0</v>
      </c>
      <c r="BZ15" s="166">
        <f t="shared" si="30"/>
        <v>0</v>
      </c>
      <c r="CB15" s="1316" t="s">
        <v>434</v>
      </c>
      <c r="CC15" s="1316" t="s">
        <v>307</v>
      </c>
      <c r="CD15" s="1316" t="s">
        <v>436</v>
      </c>
      <c r="CE15" s="1316" t="s">
        <v>339</v>
      </c>
      <c r="CF15" s="244">
        <v>485936000</v>
      </c>
      <c r="CG15" s="244">
        <v>0</v>
      </c>
      <c r="CH15" s="244">
        <v>0</v>
      </c>
      <c r="CI15" s="537">
        <f t="shared" si="31"/>
        <v>485936</v>
      </c>
      <c r="CJ15" s="537">
        <f t="shared" si="32"/>
        <v>0</v>
      </c>
      <c r="CK15" s="537">
        <f t="shared" si="33"/>
        <v>0</v>
      </c>
      <c r="CV15" t="s">
        <v>434</v>
      </c>
      <c r="CW15" t="s">
        <v>307</v>
      </c>
      <c r="CX15" t="s">
        <v>436</v>
      </c>
      <c r="CY15" t="s">
        <v>339</v>
      </c>
      <c r="CZ15" s="166">
        <v>485936000</v>
      </c>
      <c r="DA15" s="166">
        <v>0</v>
      </c>
      <c r="DB15" s="166">
        <v>0</v>
      </c>
      <c r="DC15" s="166">
        <f t="shared" si="35"/>
        <v>485936</v>
      </c>
      <c r="DD15" s="166">
        <f t="shared" si="36"/>
        <v>0</v>
      </c>
      <c r="DE15" s="166">
        <f t="shared" si="37"/>
        <v>0</v>
      </c>
      <c r="DO15" s="1472" t="s">
        <v>434</v>
      </c>
      <c r="DP15" s="1473" t="s">
        <v>307</v>
      </c>
      <c r="DQ15" s="1473" t="s">
        <v>436</v>
      </c>
      <c r="DR15" s="1473" t="s">
        <v>339</v>
      </c>
      <c r="DS15" s="1230">
        <v>485936000</v>
      </c>
      <c r="DT15" s="1230">
        <v>0</v>
      </c>
      <c r="DU15" s="1230">
        <v>0</v>
      </c>
      <c r="DV15" s="166">
        <f t="shared" si="7"/>
        <v>485936</v>
      </c>
      <c r="DW15" s="166">
        <f t="shared" si="8"/>
        <v>0</v>
      </c>
      <c r="DX15" s="166">
        <f t="shared" si="9"/>
        <v>0</v>
      </c>
      <c r="EI15" s="1262" t="s">
        <v>434</v>
      </c>
      <c r="EJ15" s="1262" t="s">
        <v>307</v>
      </c>
      <c r="EK15" s="1266" t="s">
        <v>435</v>
      </c>
      <c r="EL15" s="1262" t="s">
        <v>328</v>
      </c>
      <c r="EM15" s="355">
        <v>2086968000</v>
      </c>
      <c r="EN15" s="355">
        <v>0</v>
      </c>
      <c r="EO15" s="355">
        <v>0</v>
      </c>
      <c r="EP15" s="1687">
        <f t="shared" si="11"/>
        <v>2086968</v>
      </c>
      <c r="EQ15" s="1687">
        <f t="shared" si="12"/>
        <v>0</v>
      </c>
      <c r="ER15" s="1687">
        <f t="shared" si="13"/>
        <v>0</v>
      </c>
      <c r="FD15" s="1266" t="s">
        <v>434</v>
      </c>
      <c r="FE15" s="1266" t="s">
        <v>307</v>
      </c>
      <c r="FF15" s="1266" t="s">
        <v>435</v>
      </c>
      <c r="FG15" s="1266" t="s">
        <v>328</v>
      </c>
      <c r="FH15" s="1262" t="s">
        <v>433</v>
      </c>
      <c r="FI15" s="355">
        <v>2086968000</v>
      </c>
      <c r="FJ15" s="355">
        <v>0</v>
      </c>
      <c r="FK15" s="355">
        <v>0</v>
      </c>
      <c r="FL15" s="166">
        <f t="shared" si="39"/>
        <v>2086968</v>
      </c>
      <c r="FM15" s="166">
        <f t="shared" si="40"/>
        <v>0</v>
      </c>
      <c r="FN15" s="166">
        <f t="shared" si="41"/>
        <v>0</v>
      </c>
    </row>
    <row r="16" spans="1:170" x14ac:dyDescent="0.35">
      <c r="A16" s="350" t="s">
        <v>434</v>
      </c>
      <c r="B16" s="638" t="s">
        <v>307</v>
      </c>
      <c r="C16" s="350" t="s">
        <v>447</v>
      </c>
      <c r="D16" s="638" t="s">
        <v>447</v>
      </c>
      <c r="E16" s="638" t="s">
        <v>433</v>
      </c>
      <c r="F16" s="244">
        <v>0</v>
      </c>
      <c r="G16" s="244">
        <v>0</v>
      </c>
      <c r="H16" s="244">
        <v>0</v>
      </c>
      <c r="I16" s="244">
        <f t="shared" si="15"/>
        <v>0</v>
      </c>
      <c r="J16" s="244">
        <f t="shared" si="16"/>
        <v>0</v>
      </c>
      <c r="K16" s="244">
        <f t="shared" si="17"/>
        <v>0</v>
      </c>
      <c r="M16" s="350" t="s">
        <v>438</v>
      </c>
      <c r="N16" s="638" t="s">
        <v>335</v>
      </c>
      <c r="O16" s="350" t="s">
        <v>462</v>
      </c>
      <c r="P16" s="638" t="s">
        <v>633</v>
      </c>
      <c r="Q16" s="244">
        <v>55000000</v>
      </c>
      <c r="R16" s="1123">
        <f t="shared" si="18"/>
        <v>55000</v>
      </c>
      <c r="U16" s="350" t="s">
        <v>434</v>
      </c>
      <c r="V16" s="350" t="s">
        <v>307</v>
      </c>
      <c r="W16" s="350" t="s">
        <v>447</v>
      </c>
      <c r="X16" s="638" t="s">
        <v>447</v>
      </c>
      <c r="Y16" s="244">
        <v>0</v>
      </c>
      <c r="Z16" s="244">
        <v>0</v>
      </c>
      <c r="AA16" s="244">
        <v>0</v>
      </c>
      <c r="AB16" s="244">
        <f t="shared" si="19"/>
        <v>0</v>
      </c>
      <c r="AC16" s="244">
        <f t="shared" si="20"/>
        <v>0</v>
      </c>
      <c r="AD16" s="244">
        <f t="shared" si="21"/>
        <v>0</v>
      </c>
      <c r="AG16" s="1229" t="s">
        <v>452</v>
      </c>
      <c r="AH16" s="1229" t="s">
        <v>128</v>
      </c>
      <c r="AI16" s="1229" t="s">
        <v>447</v>
      </c>
      <c r="AJ16" s="1229" t="s">
        <v>447</v>
      </c>
      <c r="AK16" s="1230">
        <v>0</v>
      </c>
      <c r="AL16" s="1230">
        <f t="shared" si="22"/>
        <v>0</v>
      </c>
      <c r="AO16" s="1238" t="s">
        <v>434</v>
      </c>
      <c r="AP16" s="1239" t="s">
        <v>307</v>
      </c>
      <c r="AQ16" s="1238" t="s">
        <v>435</v>
      </c>
      <c r="AR16" s="1239" t="s">
        <v>328</v>
      </c>
      <c r="AS16" s="1240">
        <v>0</v>
      </c>
      <c r="AT16" s="1240">
        <v>476353088</v>
      </c>
      <c r="AU16" s="1240">
        <v>65304058</v>
      </c>
      <c r="AV16" s="1240">
        <f t="shared" si="23"/>
        <v>0</v>
      </c>
      <c r="AW16" s="1240">
        <f t="shared" si="24"/>
        <v>476353.08799999999</v>
      </c>
      <c r="AX16" s="1240">
        <f t="shared" si="25"/>
        <v>65304.057999999997</v>
      </c>
      <c r="BI16" s="1314" t="s">
        <v>434</v>
      </c>
      <c r="BJ16" s="1316" t="s">
        <v>307</v>
      </c>
      <c r="BK16" s="1314" t="s">
        <v>459</v>
      </c>
      <c r="BL16" s="1316" t="s">
        <v>331</v>
      </c>
      <c r="BM16" s="244">
        <v>60788000</v>
      </c>
      <c r="BN16" s="244">
        <v>0</v>
      </c>
      <c r="BO16" s="244">
        <v>0</v>
      </c>
      <c r="BP16" s="166">
        <f t="shared" si="27"/>
        <v>60788</v>
      </c>
      <c r="BQ16" s="166">
        <f t="shared" si="28"/>
        <v>0</v>
      </c>
      <c r="BR16" s="166">
        <f t="shared" si="29"/>
        <v>0</v>
      </c>
      <c r="BU16" s="1316" t="s">
        <v>438</v>
      </c>
      <c r="BV16" s="1316" t="s">
        <v>335</v>
      </c>
      <c r="BW16" s="1316" t="s">
        <v>629</v>
      </c>
      <c r="BX16" s="1316" t="s">
        <v>630</v>
      </c>
      <c r="BY16" s="1353">
        <v>780000</v>
      </c>
      <c r="BZ16" s="166">
        <f t="shared" si="30"/>
        <v>780</v>
      </c>
      <c r="CB16" s="1316" t="s">
        <v>434</v>
      </c>
      <c r="CC16" s="1316" t="s">
        <v>307</v>
      </c>
      <c r="CD16" s="1316" t="s">
        <v>437</v>
      </c>
      <c r="CE16" s="1316" t="s">
        <v>329</v>
      </c>
      <c r="CF16" s="244">
        <v>62626000</v>
      </c>
      <c r="CG16" s="244">
        <v>0</v>
      </c>
      <c r="CH16" s="244">
        <v>0</v>
      </c>
      <c r="CI16" s="537">
        <f t="shared" si="31"/>
        <v>62626</v>
      </c>
      <c r="CJ16" s="537">
        <f t="shared" si="32"/>
        <v>0</v>
      </c>
      <c r="CK16" s="537">
        <f t="shared" si="33"/>
        <v>0</v>
      </c>
      <c r="CV16" t="s">
        <v>434</v>
      </c>
      <c r="CW16" t="s">
        <v>307</v>
      </c>
      <c r="CX16" t="s">
        <v>437</v>
      </c>
      <c r="CY16" t="s">
        <v>329</v>
      </c>
      <c r="CZ16" s="166">
        <v>62626000</v>
      </c>
      <c r="DA16" s="166">
        <v>0</v>
      </c>
      <c r="DB16" s="166">
        <v>0</v>
      </c>
      <c r="DC16" s="166">
        <f t="shared" si="35"/>
        <v>62626</v>
      </c>
      <c r="DD16" s="166">
        <f t="shared" si="36"/>
        <v>0</v>
      </c>
      <c r="DE16" s="166">
        <f t="shared" si="37"/>
        <v>0</v>
      </c>
      <c r="DO16" s="1472" t="s">
        <v>434</v>
      </c>
      <c r="DP16" s="1473" t="s">
        <v>307</v>
      </c>
      <c r="DQ16" s="1473" t="s">
        <v>437</v>
      </c>
      <c r="DR16" s="1473" t="s">
        <v>329</v>
      </c>
      <c r="DS16" s="1230">
        <v>62626000</v>
      </c>
      <c r="DT16" s="1230">
        <v>0</v>
      </c>
      <c r="DU16" s="1230">
        <v>0</v>
      </c>
      <c r="DV16" s="166">
        <f t="shared" si="7"/>
        <v>62626</v>
      </c>
      <c r="DW16" s="166">
        <f t="shared" si="8"/>
        <v>0</v>
      </c>
      <c r="DX16" s="166">
        <f t="shared" si="9"/>
        <v>0</v>
      </c>
      <c r="EI16" s="1262" t="s">
        <v>434</v>
      </c>
      <c r="EJ16" s="1262" t="s">
        <v>307</v>
      </c>
      <c r="EK16" s="1266" t="s">
        <v>436</v>
      </c>
      <c r="EL16" s="1262" t="s">
        <v>339</v>
      </c>
      <c r="EM16" s="355">
        <v>485936000</v>
      </c>
      <c r="EN16" s="355">
        <v>0</v>
      </c>
      <c r="EO16" s="355">
        <v>0</v>
      </c>
      <c r="EP16" s="1687">
        <f t="shared" si="11"/>
        <v>485936</v>
      </c>
      <c r="EQ16" s="1687">
        <f t="shared" si="12"/>
        <v>0</v>
      </c>
      <c r="ER16" s="1687">
        <f t="shared" si="13"/>
        <v>0</v>
      </c>
      <c r="FD16" s="1266" t="s">
        <v>434</v>
      </c>
      <c r="FE16" s="1266" t="s">
        <v>307</v>
      </c>
      <c r="FF16" s="1266" t="s">
        <v>436</v>
      </c>
      <c r="FG16" s="1266" t="s">
        <v>339</v>
      </c>
      <c r="FH16" s="1262" t="s">
        <v>433</v>
      </c>
      <c r="FI16" s="355">
        <v>485936000</v>
      </c>
      <c r="FJ16" s="355">
        <v>0</v>
      </c>
      <c r="FK16" s="355">
        <v>0</v>
      </c>
      <c r="FL16" s="166">
        <f t="shared" si="39"/>
        <v>485936</v>
      </c>
      <c r="FM16" s="166">
        <f t="shared" si="40"/>
        <v>0</v>
      </c>
      <c r="FN16" s="166">
        <f t="shared" si="41"/>
        <v>0</v>
      </c>
    </row>
    <row r="17" spans="1:170" x14ac:dyDescent="0.35">
      <c r="A17" s="350" t="s">
        <v>434</v>
      </c>
      <c r="B17" s="638" t="s">
        <v>307</v>
      </c>
      <c r="C17" s="350" t="s">
        <v>459</v>
      </c>
      <c r="D17" s="638" t="s">
        <v>331</v>
      </c>
      <c r="E17" s="638" t="s">
        <v>433</v>
      </c>
      <c r="F17" s="244">
        <v>0</v>
      </c>
      <c r="G17" s="244">
        <v>17613729</v>
      </c>
      <c r="H17" s="244">
        <v>738729</v>
      </c>
      <c r="I17" s="244">
        <f t="shared" si="15"/>
        <v>0</v>
      </c>
      <c r="J17" s="244">
        <f t="shared" si="16"/>
        <v>17613.728999999999</v>
      </c>
      <c r="K17" s="244">
        <f t="shared" si="17"/>
        <v>738.72900000000004</v>
      </c>
      <c r="M17" s="350" t="s">
        <v>438</v>
      </c>
      <c r="N17" s="638" t="s">
        <v>335</v>
      </c>
      <c r="O17" s="350" t="s">
        <v>447</v>
      </c>
      <c r="P17" s="638" t="s">
        <v>447</v>
      </c>
      <c r="Q17" s="244">
        <v>0</v>
      </c>
      <c r="R17" s="1123">
        <f t="shared" si="18"/>
        <v>0</v>
      </c>
      <c r="U17" s="350" t="s">
        <v>434</v>
      </c>
      <c r="V17" s="350" t="s">
        <v>307</v>
      </c>
      <c r="W17" s="350" t="s">
        <v>459</v>
      </c>
      <c r="X17" s="638" t="s">
        <v>331</v>
      </c>
      <c r="Y17" s="244">
        <v>0</v>
      </c>
      <c r="Z17" s="244">
        <v>19101193</v>
      </c>
      <c r="AA17" s="244">
        <v>5976193</v>
      </c>
      <c r="AB17" s="244">
        <f t="shared" si="19"/>
        <v>0</v>
      </c>
      <c r="AC17" s="244">
        <f t="shared" si="20"/>
        <v>19101.192999999999</v>
      </c>
      <c r="AD17" s="244">
        <f t="shared" si="21"/>
        <v>5976.1930000000002</v>
      </c>
      <c r="AO17" s="1238" t="s">
        <v>434</v>
      </c>
      <c r="AP17" s="1239" t="s">
        <v>307</v>
      </c>
      <c r="AQ17" s="1238" t="s">
        <v>459</v>
      </c>
      <c r="AR17" s="1239" t="s">
        <v>331</v>
      </c>
      <c r="AS17" s="1240">
        <v>0</v>
      </c>
      <c r="AT17" s="1240">
        <v>22552193</v>
      </c>
      <c r="AU17" s="1240">
        <v>5976193</v>
      </c>
      <c r="AV17" s="1240">
        <f t="shared" si="23"/>
        <v>0</v>
      </c>
      <c r="AW17" s="1240">
        <f t="shared" si="24"/>
        <v>22552.192999999999</v>
      </c>
      <c r="AX17" s="1240">
        <f t="shared" si="25"/>
        <v>5976.1930000000002</v>
      </c>
      <c r="BI17" s="1314" t="s">
        <v>434</v>
      </c>
      <c r="BJ17" s="1316" t="s">
        <v>307</v>
      </c>
      <c r="BK17" s="1314" t="s">
        <v>458</v>
      </c>
      <c r="BL17" s="1316" t="s">
        <v>330</v>
      </c>
      <c r="BM17" s="244">
        <v>100000</v>
      </c>
      <c r="BN17" s="244">
        <v>0</v>
      </c>
      <c r="BO17" s="244">
        <v>0</v>
      </c>
      <c r="BP17" s="166">
        <f t="shared" si="27"/>
        <v>100</v>
      </c>
      <c r="BQ17" s="166">
        <f t="shared" si="28"/>
        <v>0</v>
      </c>
      <c r="BR17" s="166">
        <f t="shared" si="29"/>
        <v>0</v>
      </c>
      <c r="BU17" s="1316" t="s">
        <v>438</v>
      </c>
      <c r="BV17" s="1316" t="s">
        <v>335</v>
      </c>
      <c r="BW17" s="1316" t="s">
        <v>499</v>
      </c>
      <c r="BX17" s="1316" t="s">
        <v>632</v>
      </c>
      <c r="BY17" s="1353">
        <v>139400000</v>
      </c>
      <c r="BZ17" s="166">
        <f t="shared" si="30"/>
        <v>139400</v>
      </c>
      <c r="CB17" s="1316" t="s">
        <v>434</v>
      </c>
      <c r="CC17" s="1316" t="s">
        <v>307</v>
      </c>
      <c r="CD17" s="1316" t="s">
        <v>459</v>
      </c>
      <c r="CE17" s="1316" t="s">
        <v>331</v>
      </c>
      <c r="CF17" s="244">
        <v>60788000</v>
      </c>
      <c r="CG17" s="244">
        <v>0</v>
      </c>
      <c r="CH17" s="244">
        <v>0</v>
      </c>
      <c r="CI17" s="537">
        <f t="shared" si="31"/>
        <v>60788</v>
      </c>
      <c r="CJ17" s="537">
        <f t="shared" si="32"/>
        <v>0</v>
      </c>
      <c r="CK17" s="537">
        <f t="shared" si="33"/>
        <v>0</v>
      </c>
      <c r="CV17" t="s">
        <v>434</v>
      </c>
      <c r="CW17" t="s">
        <v>307</v>
      </c>
      <c r="CX17" t="s">
        <v>459</v>
      </c>
      <c r="CY17" t="s">
        <v>331</v>
      </c>
      <c r="CZ17" s="166">
        <v>60788000</v>
      </c>
      <c r="DA17" s="166">
        <v>0</v>
      </c>
      <c r="DB17" s="166">
        <v>0</v>
      </c>
      <c r="DC17" s="166">
        <f t="shared" si="35"/>
        <v>60788</v>
      </c>
      <c r="DD17" s="166">
        <f t="shared" si="36"/>
        <v>0</v>
      </c>
      <c r="DE17" s="166">
        <f t="shared" si="37"/>
        <v>0</v>
      </c>
      <c r="DO17" s="1472" t="s">
        <v>434</v>
      </c>
      <c r="DP17" s="1473" t="s">
        <v>307</v>
      </c>
      <c r="DQ17" s="1473" t="s">
        <v>459</v>
      </c>
      <c r="DR17" s="1473" t="s">
        <v>331</v>
      </c>
      <c r="DS17" s="1230">
        <v>60788000</v>
      </c>
      <c r="DT17" s="1230">
        <v>0</v>
      </c>
      <c r="DU17" s="1230">
        <v>0</v>
      </c>
      <c r="DV17" s="166">
        <f t="shared" si="7"/>
        <v>60788</v>
      </c>
      <c r="DW17" s="166">
        <f t="shared" si="8"/>
        <v>0</v>
      </c>
      <c r="DX17" s="166">
        <f t="shared" si="9"/>
        <v>0</v>
      </c>
      <c r="EI17" s="1262" t="s">
        <v>434</v>
      </c>
      <c r="EJ17" s="1262" t="s">
        <v>307</v>
      </c>
      <c r="EK17" s="1266" t="s">
        <v>437</v>
      </c>
      <c r="EL17" s="1262" t="s">
        <v>329</v>
      </c>
      <c r="EM17" s="355">
        <v>62626000</v>
      </c>
      <c r="EN17" s="355">
        <v>0</v>
      </c>
      <c r="EO17" s="355">
        <v>0</v>
      </c>
      <c r="EP17" s="1687">
        <f t="shared" si="11"/>
        <v>62626</v>
      </c>
      <c r="EQ17" s="1687">
        <f t="shared" si="12"/>
        <v>0</v>
      </c>
      <c r="ER17" s="1687">
        <f t="shared" si="13"/>
        <v>0</v>
      </c>
      <c r="FD17" s="1266" t="s">
        <v>434</v>
      </c>
      <c r="FE17" s="1266" t="s">
        <v>307</v>
      </c>
      <c r="FF17" s="1266" t="s">
        <v>437</v>
      </c>
      <c r="FG17" s="1266" t="s">
        <v>329</v>
      </c>
      <c r="FH17" s="1262" t="s">
        <v>433</v>
      </c>
      <c r="FI17" s="355">
        <v>62626000</v>
      </c>
      <c r="FJ17" s="355">
        <v>0</v>
      </c>
      <c r="FK17" s="355">
        <v>0</v>
      </c>
      <c r="FL17" s="166">
        <f t="shared" si="39"/>
        <v>62626</v>
      </c>
      <c r="FM17" s="166">
        <f t="shared" si="40"/>
        <v>0</v>
      </c>
      <c r="FN17" s="166">
        <f t="shared" si="41"/>
        <v>0</v>
      </c>
    </row>
    <row r="18" spans="1:170" x14ac:dyDescent="0.35">
      <c r="A18" s="350" t="s">
        <v>508</v>
      </c>
      <c r="B18" s="638" t="s">
        <v>523</v>
      </c>
      <c r="C18" s="350" t="s">
        <v>447</v>
      </c>
      <c r="D18" s="638" t="s">
        <v>447</v>
      </c>
      <c r="E18" s="638" t="s">
        <v>433</v>
      </c>
      <c r="F18" s="244">
        <v>58398000</v>
      </c>
      <c r="G18" s="244">
        <v>0</v>
      </c>
      <c r="H18" s="244">
        <v>0</v>
      </c>
      <c r="I18" s="244">
        <f t="shared" si="15"/>
        <v>58398</v>
      </c>
      <c r="J18" s="244">
        <f t="shared" si="16"/>
        <v>0</v>
      </c>
      <c r="K18" s="244">
        <f t="shared" si="17"/>
        <v>0</v>
      </c>
      <c r="M18" s="350" t="s">
        <v>438</v>
      </c>
      <c r="N18" s="638" t="s">
        <v>335</v>
      </c>
      <c r="O18" s="350" t="s">
        <v>447</v>
      </c>
      <c r="P18" s="638" t="s">
        <v>447</v>
      </c>
      <c r="Q18" s="244">
        <v>0</v>
      </c>
      <c r="R18" s="1123">
        <f t="shared" si="18"/>
        <v>0</v>
      </c>
      <c r="U18" s="350" t="s">
        <v>434</v>
      </c>
      <c r="V18" s="350" t="s">
        <v>307</v>
      </c>
      <c r="W18" s="350" t="s">
        <v>435</v>
      </c>
      <c r="X18" s="638" t="s">
        <v>328</v>
      </c>
      <c r="Y18" s="244">
        <v>0</v>
      </c>
      <c r="Z18" s="244">
        <v>103000985</v>
      </c>
      <c r="AA18" s="244">
        <v>11633585</v>
      </c>
      <c r="AB18" s="244">
        <f t="shared" si="19"/>
        <v>0</v>
      </c>
      <c r="AC18" s="244">
        <f t="shared" si="20"/>
        <v>103000.985</v>
      </c>
      <c r="AD18" s="244">
        <f t="shared" si="21"/>
        <v>11633.584999999999</v>
      </c>
      <c r="AO18" s="1238" t="s">
        <v>434</v>
      </c>
      <c r="AP18" s="1239" t="s">
        <v>307</v>
      </c>
      <c r="AQ18" s="1238" t="s">
        <v>436</v>
      </c>
      <c r="AR18" s="1239" t="s">
        <v>339</v>
      </c>
      <c r="AS18" s="1240">
        <v>0</v>
      </c>
      <c r="AT18" s="1240">
        <v>7858165</v>
      </c>
      <c r="AU18" s="1240">
        <v>4830280</v>
      </c>
      <c r="AV18" s="1240">
        <f t="shared" si="23"/>
        <v>0</v>
      </c>
      <c r="AW18" s="1240">
        <f t="shared" si="24"/>
        <v>7858.165</v>
      </c>
      <c r="AX18" s="1240">
        <f t="shared" si="25"/>
        <v>4830.28</v>
      </c>
      <c r="BI18" s="1314" t="s">
        <v>434</v>
      </c>
      <c r="BJ18" s="1316" t="s">
        <v>307</v>
      </c>
      <c r="BK18" s="1314" t="s">
        <v>437</v>
      </c>
      <c r="BL18" s="1316" t="s">
        <v>329</v>
      </c>
      <c r="BM18" s="244">
        <v>0</v>
      </c>
      <c r="BN18" s="244">
        <v>47880000</v>
      </c>
      <c r="BO18" s="244">
        <v>15960000</v>
      </c>
      <c r="BP18" s="166">
        <f t="shared" si="27"/>
        <v>0</v>
      </c>
      <c r="BQ18" s="166">
        <f t="shared" si="28"/>
        <v>47880</v>
      </c>
      <c r="BR18" s="166">
        <f t="shared" si="29"/>
        <v>15960</v>
      </c>
      <c r="BU18" s="1316" t="s">
        <v>438</v>
      </c>
      <c r="BV18" s="1316" t="s">
        <v>335</v>
      </c>
      <c r="BW18" s="1316" t="s">
        <v>462</v>
      </c>
      <c r="BX18" s="1316" t="s">
        <v>633</v>
      </c>
      <c r="BY18" s="1353">
        <v>200000000</v>
      </c>
      <c r="BZ18" s="166">
        <f t="shared" si="30"/>
        <v>200000</v>
      </c>
      <c r="CB18" s="1316" t="s">
        <v>434</v>
      </c>
      <c r="CC18" s="1316" t="s">
        <v>307</v>
      </c>
      <c r="CD18" s="1316" t="s">
        <v>458</v>
      </c>
      <c r="CE18" s="1316" t="s">
        <v>330</v>
      </c>
      <c r="CF18" s="244">
        <v>100000</v>
      </c>
      <c r="CG18" s="244">
        <v>0</v>
      </c>
      <c r="CH18" s="244">
        <v>0</v>
      </c>
      <c r="CI18" s="537">
        <f t="shared" si="31"/>
        <v>100</v>
      </c>
      <c r="CJ18" s="537">
        <f t="shared" si="32"/>
        <v>0</v>
      </c>
      <c r="CK18" s="537">
        <f t="shared" si="33"/>
        <v>0</v>
      </c>
      <c r="CV18" t="s">
        <v>434</v>
      </c>
      <c r="CW18" t="s">
        <v>307</v>
      </c>
      <c r="CX18" t="s">
        <v>458</v>
      </c>
      <c r="CY18" t="s">
        <v>330</v>
      </c>
      <c r="CZ18" s="166">
        <v>100000</v>
      </c>
      <c r="DA18" s="166">
        <v>0</v>
      </c>
      <c r="DB18" s="166">
        <v>0</v>
      </c>
      <c r="DC18" s="166">
        <f t="shared" si="35"/>
        <v>100</v>
      </c>
      <c r="DD18" s="166">
        <f t="shared" si="36"/>
        <v>0</v>
      </c>
      <c r="DE18" s="166">
        <f t="shared" si="37"/>
        <v>0</v>
      </c>
      <c r="DO18" s="1472" t="s">
        <v>434</v>
      </c>
      <c r="DP18" s="1473" t="s">
        <v>307</v>
      </c>
      <c r="DQ18" s="1473" t="s">
        <v>458</v>
      </c>
      <c r="DR18" s="1473" t="s">
        <v>330</v>
      </c>
      <c r="DS18" s="1230">
        <v>100000</v>
      </c>
      <c r="DT18" s="1230">
        <v>0</v>
      </c>
      <c r="DU18" s="1230">
        <v>0</v>
      </c>
      <c r="DV18" s="166">
        <f t="shared" si="7"/>
        <v>100</v>
      </c>
      <c r="DW18" s="166">
        <f t="shared" si="8"/>
        <v>0</v>
      </c>
      <c r="DX18" s="166">
        <f t="shared" si="9"/>
        <v>0</v>
      </c>
      <c r="EI18" s="1262" t="s">
        <v>434</v>
      </c>
      <c r="EJ18" s="1262" t="s">
        <v>307</v>
      </c>
      <c r="EK18" s="1266" t="s">
        <v>459</v>
      </c>
      <c r="EL18" s="1262" t="s">
        <v>331</v>
      </c>
      <c r="EM18" s="355">
        <v>60788000</v>
      </c>
      <c r="EN18" s="355">
        <v>0</v>
      </c>
      <c r="EO18" s="355">
        <v>0</v>
      </c>
      <c r="EP18" s="1687">
        <f t="shared" si="11"/>
        <v>60788</v>
      </c>
      <c r="EQ18" s="1687">
        <f t="shared" si="12"/>
        <v>0</v>
      </c>
      <c r="ER18" s="1687">
        <f t="shared" si="13"/>
        <v>0</v>
      </c>
      <c r="FD18" s="1266" t="s">
        <v>434</v>
      </c>
      <c r="FE18" s="1266" t="s">
        <v>307</v>
      </c>
      <c r="FF18" s="1266" t="s">
        <v>459</v>
      </c>
      <c r="FG18" s="1266" t="s">
        <v>331</v>
      </c>
      <c r="FH18" s="1262" t="s">
        <v>433</v>
      </c>
      <c r="FI18" s="355">
        <v>60788000</v>
      </c>
      <c r="FJ18" s="355">
        <v>0</v>
      </c>
      <c r="FK18" s="355">
        <v>0</v>
      </c>
      <c r="FL18" s="166">
        <f t="shared" si="39"/>
        <v>60788</v>
      </c>
      <c r="FM18" s="166">
        <f t="shared" si="40"/>
        <v>0</v>
      </c>
      <c r="FN18" s="166">
        <f t="shared" si="41"/>
        <v>0</v>
      </c>
    </row>
    <row r="19" spans="1:170" x14ac:dyDescent="0.35">
      <c r="A19" s="350" t="s">
        <v>508</v>
      </c>
      <c r="B19" s="638" t="s">
        <v>523</v>
      </c>
      <c r="C19" s="350" t="s">
        <v>447</v>
      </c>
      <c r="D19" s="638" t="s">
        <v>447</v>
      </c>
      <c r="E19" s="638" t="s">
        <v>433</v>
      </c>
      <c r="F19" s="244">
        <v>0</v>
      </c>
      <c r="G19" s="244">
        <v>25302000</v>
      </c>
      <c r="H19" s="244">
        <v>0</v>
      </c>
      <c r="I19" s="244">
        <f t="shared" si="15"/>
        <v>0</v>
      </c>
      <c r="J19" s="244">
        <f t="shared" si="16"/>
        <v>25302</v>
      </c>
      <c r="K19" s="244">
        <f t="shared" si="17"/>
        <v>0</v>
      </c>
      <c r="M19" s="350" t="s">
        <v>465</v>
      </c>
      <c r="N19" s="638" t="s">
        <v>466</v>
      </c>
      <c r="O19" s="350" t="s">
        <v>447</v>
      </c>
      <c r="P19" s="638" t="s">
        <v>447</v>
      </c>
      <c r="Q19" s="244">
        <v>19511238</v>
      </c>
      <c r="R19" s="1123">
        <f t="shared" si="18"/>
        <v>19511.238000000001</v>
      </c>
      <c r="U19" s="350" t="s">
        <v>434</v>
      </c>
      <c r="V19" s="350" t="s">
        <v>307</v>
      </c>
      <c r="W19" s="350" t="s">
        <v>437</v>
      </c>
      <c r="X19" s="638" t="s">
        <v>329</v>
      </c>
      <c r="Y19" s="244">
        <v>0</v>
      </c>
      <c r="Z19" s="244">
        <v>47880000</v>
      </c>
      <c r="AA19" s="244">
        <v>3840000</v>
      </c>
      <c r="AB19" s="244">
        <f t="shared" si="19"/>
        <v>0</v>
      </c>
      <c r="AC19" s="244">
        <f t="shared" si="20"/>
        <v>47880</v>
      </c>
      <c r="AD19" s="244">
        <f t="shared" si="21"/>
        <v>3840</v>
      </c>
      <c r="AO19" s="1238" t="s">
        <v>434</v>
      </c>
      <c r="AP19" s="1239" t="s">
        <v>307</v>
      </c>
      <c r="AQ19" s="1238" t="s">
        <v>437</v>
      </c>
      <c r="AR19" s="1239" t="s">
        <v>329</v>
      </c>
      <c r="AS19" s="1240">
        <v>0</v>
      </c>
      <c r="AT19" s="1240">
        <v>47880000</v>
      </c>
      <c r="AU19" s="1240">
        <v>5760000</v>
      </c>
      <c r="AV19" s="1240">
        <f t="shared" si="23"/>
        <v>0</v>
      </c>
      <c r="AW19" s="1240">
        <f t="shared" si="24"/>
        <v>47880</v>
      </c>
      <c r="AX19" s="1240">
        <f t="shared" si="25"/>
        <v>5760</v>
      </c>
      <c r="BI19" s="1314" t="s">
        <v>434</v>
      </c>
      <c r="BJ19" s="1316" t="s">
        <v>307</v>
      </c>
      <c r="BK19" s="1314" t="s">
        <v>435</v>
      </c>
      <c r="BL19" s="1316" t="s">
        <v>328</v>
      </c>
      <c r="BM19" s="244">
        <v>0</v>
      </c>
      <c r="BN19" s="244">
        <v>541153088</v>
      </c>
      <c r="BO19" s="244">
        <v>118789629</v>
      </c>
      <c r="BP19" s="166">
        <f t="shared" si="27"/>
        <v>0</v>
      </c>
      <c r="BQ19" s="166">
        <f t="shared" si="28"/>
        <v>541153.08799999999</v>
      </c>
      <c r="BR19" s="166">
        <f t="shared" si="29"/>
        <v>118789.629</v>
      </c>
      <c r="BU19" s="1316" t="s">
        <v>544</v>
      </c>
      <c r="BV19" s="1316" t="s">
        <v>545</v>
      </c>
      <c r="BW19" s="1316" t="s">
        <v>447</v>
      </c>
      <c r="BX19" s="1316" t="s">
        <v>447</v>
      </c>
      <c r="BY19" s="1353">
        <v>47802257</v>
      </c>
      <c r="BZ19" s="166">
        <f t="shared" si="30"/>
        <v>47802.256999999998</v>
      </c>
      <c r="CB19" s="1316" t="s">
        <v>434</v>
      </c>
      <c r="CC19" s="1316" t="s">
        <v>307</v>
      </c>
      <c r="CD19" s="1316" t="s">
        <v>436</v>
      </c>
      <c r="CE19" s="1316" t="s">
        <v>339</v>
      </c>
      <c r="CF19" s="244">
        <v>0</v>
      </c>
      <c r="CG19" s="244">
        <v>22600161</v>
      </c>
      <c r="CH19" s="244">
        <v>12303582</v>
      </c>
      <c r="CI19" s="537">
        <f t="shared" si="31"/>
        <v>0</v>
      </c>
      <c r="CJ19" s="537">
        <f t="shared" si="32"/>
        <v>22600.161</v>
      </c>
      <c r="CK19" s="537">
        <f t="shared" si="33"/>
        <v>12303.582</v>
      </c>
      <c r="CV19" t="s">
        <v>434</v>
      </c>
      <c r="CW19" t="s">
        <v>307</v>
      </c>
      <c r="CX19" t="s">
        <v>458</v>
      </c>
      <c r="CY19" t="s">
        <v>330</v>
      </c>
      <c r="CZ19" s="166">
        <v>0</v>
      </c>
      <c r="DA19" s="166">
        <v>28928</v>
      </c>
      <c r="DB19" s="166">
        <v>28928</v>
      </c>
      <c r="DC19" s="166">
        <f t="shared" si="35"/>
        <v>0</v>
      </c>
      <c r="DD19" s="166">
        <f t="shared" si="36"/>
        <v>28.928000000000001</v>
      </c>
      <c r="DE19" s="166">
        <f t="shared" si="37"/>
        <v>28.928000000000001</v>
      </c>
      <c r="DO19" s="1472" t="s">
        <v>434</v>
      </c>
      <c r="DP19" s="1473" t="s">
        <v>307</v>
      </c>
      <c r="DQ19" s="1473" t="s">
        <v>436</v>
      </c>
      <c r="DR19" s="1473" t="s">
        <v>339</v>
      </c>
      <c r="DS19" s="1230">
        <v>0</v>
      </c>
      <c r="DT19" s="1230">
        <v>34018803</v>
      </c>
      <c r="DU19" s="1230">
        <v>23296504</v>
      </c>
      <c r="DV19" s="166">
        <f t="shared" si="7"/>
        <v>0</v>
      </c>
      <c r="DW19" s="166">
        <f t="shared" si="8"/>
        <v>34018.803</v>
      </c>
      <c r="DX19" s="166">
        <f t="shared" si="9"/>
        <v>23296.504000000001</v>
      </c>
      <c r="EI19" s="1262" t="s">
        <v>434</v>
      </c>
      <c r="EJ19" s="1262" t="s">
        <v>307</v>
      </c>
      <c r="EK19" s="1266" t="s">
        <v>458</v>
      </c>
      <c r="EL19" s="1262" t="s">
        <v>330</v>
      </c>
      <c r="EM19" s="355">
        <v>100000</v>
      </c>
      <c r="EN19" s="355">
        <v>0</v>
      </c>
      <c r="EO19" s="355">
        <v>0</v>
      </c>
      <c r="EP19" s="1687">
        <f t="shared" si="11"/>
        <v>100</v>
      </c>
      <c r="EQ19" s="1687">
        <f t="shared" si="12"/>
        <v>0</v>
      </c>
      <c r="ER19" s="1687">
        <f t="shared" si="13"/>
        <v>0</v>
      </c>
      <c r="FD19" s="1266" t="s">
        <v>434</v>
      </c>
      <c r="FE19" s="1266" t="s">
        <v>307</v>
      </c>
      <c r="FF19" s="1266" t="s">
        <v>458</v>
      </c>
      <c r="FG19" s="1266" t="s">
        <v>330</v>
      </c>
      <c r="FH19" s="1262" t="s">
        <v>433</v>
      </c>
      <c r="FI19" s="355">
        <v>100000</v>
      </c>
      <c r="FJ19" s="355">
        <v>0</v>
      </c>
      <c r="FK19" s="355">
        <v>0</v>
      </c>
      <c r="FL19" s="166">
        <f t="shared" si="39"/>
        <v>100</v>
      </c>
      <c r="FM19" s="166">
        <f t="shared" si="40"/>
        <v>0</v>
      </c>
      <c r="FN19" s="166">
        <f t="shared" si="41"/>
        <v>0</v>
      </c>
    </row>
    <row r="20" spans="1:170" x14ac:dyDescent="0.35">
      <c r="A20" s="350" t="s">
        <v>438</v>
      </c>
      <c r="B20" s="638" t="s">
        <v>335</v>
      </c>
      <c r="C20" s="350" t="s">
        <v>499</v>
      </c>
      <c r="D20" s="638" t="s">
        <v>632</v>
      </c>
      <c r="E20" s="638" t="s">
        <v>433</v>
      </c>
      <c r="F20" s="244">
        <v>837394000</v>
      </c>
      <c r="G20" s="244">
        <v>0</v>
      </c>
      <c r="H20" s="244">
        <v>0</v>
      </c>
      <c r="I20" s="244">
        <f t="shared" si="15"/>
        <v>837394</v>
      </c>
      <c r="J20" s="244">
        <f t="shared" si="16"/>
        <v>0</v>
      </c>
      <c r="K20" s="244">
        <f t="shared" si="17"/>
        <v>0</v>
      </c>
      <c r="M20" s="350" t="s">
        <v>534</v>
      </c>
      <c r="N20" s="638" t="s">
        <v>537</v>
      </c>
      <c r="O20" s="350" t="s">
        <v>447</v>
      </c>
      <c r="P20" s="350" t="s">
        <v>447</v>
      </c>
      <c r="Q20" s="244">
        <v>0</v>
      </c>
      <c r="R20" s="1123">
        <f t="shared" si="18"/>
        <v>0</v>
      </c>
      <c r="U20" s="350" t="s">
        <v>508</v>
      </c>
      <c r="V20" s="350" t="s">
        <v>523</v>
      </c>
      <c r="W20" s="350" t="s">
        <v>447</v>
      </c>
      <c r="X20" s="638" t="s">
        <v>447</v>
      </c>
      <c r="Y20" s="244">
        <v>58398000</v>
      </c>
      <c r="Z20" s="244">
        <v>0</v>
      </c>
      <c r="AA20" s="244">
        <v>0</v>
      </c>
      <c r="AB20" s="244">
        <f t="shared" si="19"/>
        <v>58398</v>
      </c>
      <c r="AC20" s="244">
        <f t="shared" si="20"/>
        <v>0</v>
      </c>
      <c r="AD20" s="244">
        <f t="shared" si="21"/>
        <v>0</v>
      </c>
      <c r="AO20" s="1238" t="s">
        <v>434</v>
      </c>
      <c r="AP20" s="1239" t="s">
        <v>307</v>
      </c>
      <c r="AQ20" s="1238" t="s">
        <v>447</v>
      </c>
      <c r="AR20" s="1239" t="s">
        <v>447</v>
      </c>
      <c r="AS20" s="1240">
        <v>0</v>
      </c>
      <c r="AT20" s="1240">
        <v>0</v>
      </c>
      <c r="AU20" s="1240">
        <v>0</v>
      </c>
      <c r="AV20" s="1240">
        <f t="shared" si="23"/>
        <v>0</v>
      </c>
      <c r="AW20" s="1240">
        <f t="shared" si="24"/>
        <v>0</v>
      </c>
      <c r="AX20" s="1240">
        <f t="shared" si="25"/>
        <v>0</v>
      </c>
      <c r="BI20" s="1314" t="s">
        <v>434</v>
      </c>
      <c r="BJ20" s="1316" t="s">
        <v>307</v>
      </c>
      <c r="BK20" s="1314" t="s">
        <v>458</v>
      </c>
      <c r="BL20" s="1316" t="s">
        <v>330</v>
      </c>
      <c r="BM20" s="244">
        <v>0</v>
      </c>
      <c r="BN20" s="244">
        <v>28928</v>
      </c>
      <c r="BO20" s="244">
        <v>28928</v>
      </c>
      <c r="BP20" s="166">
        <f t="shared" si="27"/>
        <v>0</v>
      </c>
      <c r="BQ20" s="166">
        <f t="shared" si="28"/>
        <v>28.928000000000001</v>
      </c>
      <c r="BR20" s="166">
        <f t="shared" si="29"/>
        <v>28.928000000000001</v>
      </c>
      <c r="BU20" s="1316" t="s">
        <v>544</v>
      </c>
      <c r="BV20" s="1316" t="s">
        <v>545</v>
      </c>
      <c r="BW20" s="1316" t="s">
        <v>447</v>
      </c>
      <c r="BX20" s="1316" t="s">
        <v>447</v>
      </c>
      <c r="BY20" s="1353">
        <v>0</v>
      </c>
      <c r="BZ20" s="166">
        <f t="shared" si="30"/>
        <v>0</v>
      </c>
      <c r="CB20" s="1316" t="s">
        <v>434</v>
      </c>
      <c r="CC20" s="1316" t="s">
        <v>307</v>
      </c>
      <c r="CD20" s="1316" t="s">
        <v>447</v>
      </c>
      <c r="CE20" s="1316" t="s">
        <v>447</v>
      </c>
      <c r="CF20" s="244">
        <v>0</v>
      </c>
      <c r="CG20" s="244">
        <v>0</v>
      </c>
      <c r="CH20" s="244">
        <v>0</v>
      </c>
      <c r="CI20" s="537">
        <f t="shared" si="31"/>
        <v>0</v>
      </c>
      <c r="CJ20" s="537">
        <f t="shared" si="32"/>
        <v>0</v>
      </c>
      <c r="CK20" s="537">
        <f t="shared" si="33"/>
        <v>0</v>
      </c>
      <c r="CV20" t="s">
        <v>434</v>
      </c>
      <c r="CW20" t="s">
        <v>307</v>
      </c>
      <c r="CX20" t="s">
        <v>459</v>
      </c>
      <c r="CY20" t="s">
        <v>331</v>
      </c>
      <c r="CZ20" s="166">
        <v>0</v>
      </c>
      <c r="DA20" s="166">
        <v>25158267</v>
      </c>
      <c r="DB20" s="166">
        <v>15783266</v>
      </c>
      <c r="DC20" s="166">
        <f t="shared" si="35"/>
        <v>0</v>
      </c>
      <c r="DD20" s="166">
        <f t="shared" si="36"/>
        <v>25158.267</v>
      </c>
      <c r="DE20" s="166">
        <f t="shared" si="37"/>
        <v>15783.266</v>
      </c>
      <c r="DO20" s="1472" t="s">
        <v>434</v>
      </c>
      <c r="DP20" s="1473" t="s">
        <v>307</v>
      </c>
      <c r="DQ20" s="1473" t="s">
        <v>447</v>
      </c>
      <c r="DR20" s="1473" t="s">
        <v>447</v>
      </c>
      <c r="DS20" s="1230">
        <v>0</v>
      </c>
      <c r="DT20" s="1230">
        <v>0</v>
      </c>
      <c r="DU20" s="1230">
        <v>0</v>
      </c>
      <c r="DV20" s="166">
        <f t="shared" si="7"/>
        <v>0</v>
      </c>
      <c r="DW20" s="166">
        <f t="shared" si="8"/>
        <v>0</v>
      </c>
      <c r="DX20" s="166">
        <f t="shared" si="9"/>
        <v>0</v>
      </c>
      <c r="EI20" s="1262" t="s">
        <v>434</v>
      </c>
      <c r="EJ20" s="1262" t="s">
        <v>307</v>
      </c>
      <c r="EK20" s="1266" t="s">
        <v>436</v>
      </c>
      <c r="EL20" s="1262" t="s">
        <v>339</v>
      </c>
      <c r="EM20" s="355">
        <v>0</v>
      </c>
      <c r="EN20" s="355">
        <v>34271747</v>
      </c>
      <c r="EO20" s="355">
        <v>27126590</v>
      </c>
      <c r="EP20" s="1687">
        <f t="shared" si="11"/>
        <v>0</v>
      </c>
      <c r="EQ20" s="1687">
        <f t="shared" si="12"/>
        <v>34271.747000000003</v>
      </c>
      <c r="ER20" s="1687">
        <f t="shared" si="13"/>
        <v>27126.59</v>
      </c>
      <c r="FD20" s="1266" t="s">
        <v>434</v>
      </c>
      <c r="FE20" s="1266" t="s">
        <v>307</v>
      </c>
      <c r="FF20" s="1266" t="s">
        <v>435</v>
      </c>
      <c r="FG20" s="1266" t="s">
        <v>328</v>
      </c>
      <c r="FH20" s="1262" t="s">
        <v>433</v>
      </c>
      <c r="FI20" s="355">
        <v>0</v>
      </c>
      <c r="FJ20" s="355">
        <v>1787804317</v>
      </c>
      <c r="FK20" s="355">
        <v>920245014</v>
      </c>
      <c r="FL20" s="166">
        <f t="shared" si="39"/>
        <v>0</v>
      </c>
      <c r="FM20" s="166">
        <f t="shared" si="40"/>
        <v>1787804.317</v>
      </c>
      <c r="FN20" s="166">
        <f t="shared" si="41"/>
        <v>920245.01399999997</v>
      </c>
    </row>
    <row r="21" spans="1:170" x14ac:dyDescent="0.35">
      <c r="A21" s="350" t="s">
        <v>438</v>
      </c>
      <c r="B21" s="638" t="s">
        <v>335</v>
      </c>
      <c r="C21" s="350" t="s">
        <v>488</v>
      </c>
      <c r="D21" s="638" t="s">
        <v>631</v>
      </c>
      <c r="E21" s="638" t="s">
        <v>433</v>
      </c>
      <c r="F21" s="244">
        <v>310000000</v>
      </c>
      <c r="G21" s="244">
        <v>0</v>
      </c>
      <c r="H21" s="244">
        <v>0</v>
      </c>
      <c r="I21" s="244">
        <f t="shared" si="15"/>
        <v>310000</v>
      </c>
      <c r="J21" s="244">
        <f t="shared" si="16"/>
        <v>0</v>
      </c>
      <c r="K21" s="244">
        <f t="shared" si="17"/>
        <v>0</v>
      </c>
      <c r="U21" s="350" t="s">
        <v>508</v>
      </c>
      <c r="V21" s="350" t="s">
        <v>523</v>
      </c>
      <c r="W21" s="350" t="s">
        <v>447</v>
      </c>
      <c r="X21" s="638" t="s">
        <v>447</v>
      </c>
      <c r="Y21" s="244">
        <v>0</v>
      </c>
      <c r="Z21" s="244">
        <v>25302000</v>
      </c>
      <c r="AA21" s="244">
        <v>5688000</v>
      </c>
      <c r="AB21" s="244">
        <f t="shared" si="19"/>
        <v>0</v>
      </c>
      <c r="AC21" s="244">
        <f t="shared" si="20"/>
        <v>25302</v>
      </c>
      <c r="AD21" s="244">
        <f t="shared" si="21"/>
        <v>5688</v>
      </c>
      <c r="AO21" s="1238" t="s">
        <v>508</v>
      </c>
      <c r="AP21" s="1239" t="s">
        <v>523</v>
      </c>
      <c r="AQ21" s="1238" t="s">
        <v>447</v>
      </c>
      <c r="AR21" s="1239" t="s">
        <v>447</v>
      </c>
      <c r="AS21" s="1240">
        <v>58398000</v>
      </c>
      <c r="AT21" s="1240">
        <v>0</v>
      </c>
      <c r="AU21" s="1240">
        <v>0</v>
      </c>
      <c r="AV21" s="1240">
        <f t="shared" si="23"/>
        <v>58398</v>
      </c>
      <c r="AW21" s="1240">
        <f t="shared" si="24"/>
        <v>0</v>
      </c>
      <c r="AX21" s="1240">
        <f t="shared" si="25"/>
        <v>0</v>
      </c>
      <c r="BI21" s="1314" t="s">
        <v>434</v>
      </c>
      <c r="BJ21" s="1316" t="s">
        <v>307</v>
      </c>
      <c r="BK21" s="1314" t="s">
        <v>459</v>
      </c>
      <c r="BL21" s="1316" t="s">
        <v>331</v>
      </c>
      <c r="BM21" s="244">
        <v>0</v>
      </c>
      <c r="BN21" s="244">
        <v>23101182</v>
      </c>
      <c r="BO21" s="244">
        <v>5976193</v>
      </c>
      <c r="BP21" s="166">
        <f t="shared" si="27"/>
        <v>0</v>
      </c>
      <c r="BQ21" s="166">
        <f t="shared" si="28"/>
        <v>23101.182000000001</v>
      </c>
      <c r="BR21" s="166">
        <f t="shared" si="29"/>
        <v>5976.1930000000002</v>
      </c>
      <c r="BU21" s="1316" t="s">
        <v>465</v>
      </c>
      <c r="BV21" s="1316" t="s">
        <v>466</v>
      </c>
      <c r="BW21" s="1316" t="s">
        <v>447</v>
      </c>
      <c r="BX21" s="1316" t="s">
        <v>447</v>
      </c>
      <c r="BY21" s="1353">
        <v>26549509</v>
      </c>
      <c r="BZ21" s="166">
        <f t="shared" si="30"/>
        <v>26549.508999999998</v>
      </c>
      <c r="CB21" s="1316" t="s">
        <v>434</v>
      </c>
      <c r="CC21" s="1316" t="s">
        <v>307</v>
      </c>
      <c r="CD21" s="1316" t="s">
        <v>458</v>
      </c>
      <c r="CE21" s="1316" t="s">
        <v>330</v>
      </c>
      <c r="CF21" s="244">
        <v>0</v>
      </c>
      <c r="CG21" s="244">
        <v>28928</v>
      </c>
      <c r="CH21" s="244">
        <v>28928</v>
      </c>
      <c r="CI21" s="537">
        <f t="shared" si="31"/>
        <v>0</v>
      </c>
      <c r="CJ21" s="537">
        <f t="shared" si="32"/>
        <v>28.928000000000001</v>
      </c>
      <c r="CK21" s="537">
        <f t="shared" si="33"/>
        <v>28.928000000000001</v>
      </c>
      <c r="CV21" t="s">
        <v>434</v>
      </c>
      <c r="CW21" t="s">
        <v>307</v>
      </c>
      <c r="CX21" t="s">
        <v>435</v>
      </c>
      <c r="CY21" t="s">
        <v>328</v>
      </c>
      <c r="CZ21" s="166">
        <v>0</v>
      </c>
      <c r="DA21" s="166">
        <v>867696690</v>
      </c>
      <c r="DB21" s="166">
        <v>620357150</v>
      </c>
      <c r="DC21" s="166">
        <f t="shared" si="35"/>
        <v>0</v>
      </c>
      <c r="DD21" s="166">
        <f t="shared" si="36"/>
        <v>867696.69</v>
      </c>
      <c r="DE21" s="166">
        <f t="shared" si="37"/>
        <v>620357.15</v>
      </c>
      <c r="DO21" s="1472" t="s">
        <v>434</v>
      </c>
      <c r="DP21" s="1473" t="s">
        <v>307</v>
      </c>
      <c r="DQ21" s="1473" t="s">
        <v>437</v>
      </c>
      <c r="DR21" s="1473" t="s">
        <v>329</v>
      </c>
      <c r="DS21" s="1230">
        <v>0</v>
      </c>
      <c r="DT21" s="1230">
        <v>47880000</v>
      </c>
      <c r="DU21" s="1230">
        <v>27930000</v>
      </c>
      <c r="DV21" s="166">
        <f t="shared" si="7"/>
        <v>0</v>
      </c>
      <c r="DW21" s="166">
        <f t="shared" si="8"/>
        <v>47880</v>
      </c>
      <c r="DX21" s="166">
        <f t="shared" si="9"/>
        <v>27930</v>
      </c>
      <c r="EI21" s="1262" t="s">
        <v>434</v>
      </c>
      <c r="EJ21" s="1262" t="s">
        <v>307</v>
      </c>
      <c r="EK21" s="1266" t="s">
        <v>447</v>
      </c>
      <c r="EL21" s="1262" t="s">
        <v>447</v>
      </c>
      <c r="EM21" s="355">
        <v>0</v>
      </c>
      <c r="EN21" s="355">
        <v>0</v>
      </c>
      <c r="EO21" s="355">
        <v>0</v>
      </c>
      <c r="EP21" s="1687">
        <f t="shared" si="11"/>
        <v>0</v>
      </c>
      <c r="EQ21" s="1687">
        <f t="shared" si="12"/>
        <v>0</v>
      </c>
      <c r="ER21" s="1687">
        <f t="shared" si="13"/>
        <v>0</v>
      </c>
      <c r="FD21" s="1266" t="s">
        <v>434</v>
      </c>
      <c r="FE21" s="1266" t="s">
        <v>307</v>
      </c>
      <c r="FF21" s="1266" t="s">
        <v>459</v>
      </c>
      <c r="FG21" s="1266" t="s">
        <v>331</v>
      </c>
      <c r="FH21" s="1262" t="s">
        <v>433</v>
      </c>
      <c r="FI21" s="355">
        <v>0</v>
      </c>
      <c r="FJ21" s="355">
        <v>25896996</v>
      </c>
      <c r="FK21" s="355">
        <v>25158266</v>
      </c>
      <c r="FL21" s="166">
        <f t="shared" si="39"/>
        <v>0</v>
      </c>
      <c r="FM21" s="166">
        <f t="shared" si="40"/>
        <v>25896.995999999999</v>
      </c>
      <c r="FN21" s="166">
        <f t="shared" si="41"/>
        <v>25158.266</v>
      </c>
    </row>
    <row r="22" spans="1:170" x14ac:dyDescent="0.35">
      <c r="A22" s="350" t="s">
        <v>438</v>
      </c>
      <c r="B22" s="638" t="s">
        <v>335</v>
      </c>
      <c r="C22" s="350" t="s">
        <v>500</v>
      </c>
      <c r="D22" s="638" t="s">
        <v>489</v>
      </c>
      <c r="E22" s="638" t="s">
        <v>433</v>
      </c>
      <c r="F22" s="244">
        <v>300000000</v>
      </c>
      <c r="G22" s="244">
        <v>0</v>
      </c>
      <c r="H22" s="244">
        <v>0</v>
      </c>
      <c r="I22" s="244">
        <f t="shared" si="15"/>
        <v>300000</v>
      </c>
      <c r="J22" s="244">
        <f t="shared" si="16"/>
        <v>0</v>
      </c>
      <c r="K22" s="244">
        <f t="shared" si="17"/>
        <v>0</v>
      </c>
      <c r="U22" s="350" t="s">
        <v>438</v>
      </c>
      <c r="V22" s="350" t="s">
        <v>335</v>
      </c>
      <c r="W22" s="350" t="s">
        <v>499</v>
      </c>
      <c r="X22" s="638" t="s">
        <v>632</v>
      </c>
      <c r="Y22" s="244">
        <v>837394000</v>
      </c>
      <c r="Z22" s="244">
        <v>0</v>
      </c>
      <c r="AA22" s="244">
        <v>0</v>
      </c>
      <c r="AB22" s="244">
        <f t="shared" si="19"/>
        <v>837394</v>
      </c>
      <c r="AC22" s="244">
        <f t="shared" si="20"/>
        <v>0</v>
      </c>
      <c r="AD22" s="244">
        <f t="shared" si="21"/>
        <v>0</v>
      </c>
      <c r="AO22" s="1238" t="s">
        <v>508</v>
      </c>
      <c r="AP22" s="1239" t="s">
        <v>523</v>
      </c>
      <c r="AQ22" s="1238" t="s">
        <v>447</v>
      </c>
      <c r="AR22" s="1239" t="s">
        <v>447</v>
      </c>
      <c r="AS22" s="1240">
        <v>0</v>
      </c>
      <c r="AT22" s="1240">
        <v>25302000</v>
      </c>
      <c r="AU22" s="1240">
        <v>7081000</v>
      </c>
      <c r="AV22" s="1240">
        <f t="shared" si="23"/>
        <v>0</v>
      </c>
      <c r="AW22" s="1240">
        <f t="shared" si="24"/>
        <v>25302</v>
      </c>
      <c r="AX22" s="1240">
        <f t="shared" si="25"/>
        <v>7081</v>
      </c>
      <c r="BI22" s="1314" t="s">
        <v>434</v>
      </c>
      <c r="BJ22" s="1316" t="s">
        <v>307</v>
      </c>
      <c r="BK22" s="1314" t="s">
        <v>436</v>
      </c>
      <c r="BL22" s="1316" t="s">
        <v>339</v>
      </c>
      <c r="BM22" s="244">
        <v>0</v>
      </c>
      <c r="BN22" s="244">
        <v>22602770</v>
      </c>
      <c r="BO22" s="244">
        <v>12303582</v>
      </c>
      <c r="BP22" s="166">
        <f t="shared" si="27"/>
        <v>0</v>
      </c>
      <c r="BQ22" s="166">
        <f t="shared" si="28"/>
        <v>22602.77</v>
      </c>
      <c r="BR22" s="166">
        <f t="shared" si="29"/>
        <v>12303.582</v>
      </c>
      <c r="BU22" s="1316" t="s">
        <v>452</v>
      </c>
      <c r="BV22" s="1316" t="s">
        <v>128</v>
      </c>
      <c r="BW22" s="1316" t="s">
        <v>447</v>
      </c>
      <c r="BX22" s="1316" t="s">
        <v>447</v>
      </c>
      <c r="BY22" s="1353">
        <v>0</v>
      </c>
      <c r="BZ22" s="166">
        <f t="shared" si="30"/>
        <v>0</v>
      </c>
      <c r="CB22" s="1316" t="s">
        <v>434</v>
      </c>
      <c r="CC22" s="1316" t="s">
        <v>307</v>
      </c>
      <c r="CD22" s="1316" t="s">
        <v>459</v>
      </c>
      <c r="CE22" s="1316" t="s">
        <v>331</v>
      </c>
      <c r="CF22" s="244">
        <v>0</v>
      </c>
      <c r="CG22" s="244">
        <v>25158266</v>
      </c>
      <c r="CH22" s="244">
        <v>14626106</v>
      </c>
      <c r="CI22" s="537">
        <f t="shared" si="31"/>
        <v>0</v>
      </c>
      <c r="CJ22" s="537">
        <f t="shared" si="32"/>
        <v>25158.266</v>
      </c>
      <c r="CK22" s="537">
        <f t="shared" si="33"/>
        <v>14626.106</v>
      </c>
      <c r="CV22" t="s">
        <v>434</v>
      </c>
      <c r="CW22" t="s">
        <v>307</v>
      </c>
      <c r="CX22" t="s">
        <v>437</v>
      </c>
      <c r="CY22" t="s">
        <v>329</v>
      </c>
      <c r="CZ22" s="166">
        <v>0</v>
      </c>
      <c r="DA22" s="166">
        <v>47880000</v>
      </c>
      <c r="DB22" s="166">
        <v>23940000</v>
      </c>
      <c r="DC22" s="166">
        <f t="shared" si="35"/>
        <v>0</v>
      </c>
      <c r="DD22" s="166">
        <f t="shared" si="36"/>
        <v>47880</v>
      </c>
      <c r="DE22" s="166">
        <f t="shared" si="37"/>
        <v>23940</v>
      </c>
      <c r="DO22" s="1472" t="s">
        <v>434</v>
      </c>
      <c r="DP22" s="1473" t="s">
        <v>307</v>
      </c>
      <c r="DQ22" s="1473" t="s">
        <v>459</v>
      </c>
      <c r="DR22" s="1473" t="s">
        <v>331</v>
      </c>
      <c r="DS22" s="1230">
        <v>0</v>
      </c>
      <c r="DT22" s="1230">
        <v>25158267</v>
      </c>
      <c r="DU22" s="1230">
        <v>19533266</v>
      </c>
      <c r="DV22" s="166">
        <f t="shared" si="7"/>
        <v>0</v>
      </c>
      <c r="DW22" s="166">
        <f t="shared" si="8"/>
        <v>25158.267</v>
      </c>
      <c r="DX22" s="166">
        <f t="shared" si="9"/>
        <v>19533.266</v>
      </c>
      <c r="EI22" s="1262" t="s">
        <v>434</v>
      </c>
      <c r="EJ22" s="1262" t="s">
        <v>307</v>
      </c>
      <c r="EK22" s="1266" t="s">
        <v>437</v>
      </c>
      <c r="EL22" s="1262" t="s">
        <v>329</v>
      </c>
      <c r="EM22" s="355">
        <v>0</v>
      </c>
      <c r="EN22" s="355">
        <v>47880000</v>
      </c>
      <c r="EO22" s="355">
        <v>31920000</v>
      </c>
      <c r="EP22" s="1687">
        <f t="shared" si="11"/>
        <v>0</v>
      </c>
      <c r="EQ22" s="1687">
        <f t="shared" si="12"/>
        <v>47880</v>
      </c>
      <c r="ER22" s="1687">
        <f t="shared" si="13"/>
        <v>31920</v>
      </c>
      <c r="FD22" s="1266" t="s">
        <v>434</v>
      </c>
      <c r="FE22" s="1266" t="s">
        <v>307</v>
      </c>
      <c r="FF22" s="1266" t="s">
        <v>436</v>
      </c>
      <c r="FG22" s="1266" t="s">
        <v>339</v>
      </c>
      <c r="FH22" s="1262" t="s">
        <v>433</v>
      </c>
      <c r="FI22" s="355">
        <v>0</v>
      </c>
      <c r="FJ22" s="355">
        <v>67497566</v>
      </c>
      <c r="FK22" s="355">
        <v>27126590</v>
      </c>
      <c r="FL22" s="166">
        <f t="shared" si="39"/>
        <v>0</v>
      </c>
      <c r="FM22" s="166">
        <f t="shared" si="40"/>
        <v>67497.566000000006</v>
      </c>
      <c r="FN22" s="166">
        <f t="shared" si="41"/>
        <v>27126.59</v>
      </c>
    </row>
    <row r="23" spans="1:170" x14ac:dyDescent="0.35">
      <c r="A23" s="350" t="s">
        <v>438</v>
      </c>
      <c r="B23" s="638" t="s">
        <v>335</v>
      </c>
      <c r="C23" s="350" t="s">
        <v>462</v>
      </c>
      <c r="D23" s="638" t="s">
        <v>633</v>
      </c>
      <c r="E23" s="638" t="s">
        <v>433</v>
      </c>
      <c r="F23" s="244">
        <v>285000000</v>
      </c>
      <c r="G23" s="244">
        <v>0</v>
      </c>
      <c r="H23" s="244">
        <v>0</v>
      </c>
      <c r="I23" s="244">
        <f t="shared" si="15"/>
        <v>285000</v>
      </c>
      <c r="J23" s="244">
        <f t="shared" si="16"/>
        <v>0</v>
      </c>
      <c r="K23" s="244">
        <f t="shared" si="17"/>
        <v>0</v>
      </c>
      <c r="U23" s="350" t="s">
        <v>438</v>
      </c>
      <c r="V23" s="350" t="s">
        <v>335</v>
      </c>
      <c r="W23" s="350" t="s">
        <v>488</v>
      </c>
      <c r="X23" s="638" t="s">
        <v>631</v>
      </c>
      <c r="Y23" s="244">
        <v>310000000</v>
      </c>
      <c r="Z23" s="244">
        <v>0</v>
      </c>
      <c r="AA23" s="244">
        <v>0</v>
      </c>
      <c r="AB23" s="244">
        <f t="shared" si="19"/>
        <v>310000</v>
      </c>
      <c r="AC23" s="244">
        <f t="shared" si="20"/>
        <v>0</v>
      </c>
      <c r="AD23" s="244">
        <f t="shared" si="21"/>
        <v>0</v>
      </c>
      <c r="AO23" s="1238" t="s">
        <v>438</v>
      </c>
      <c r="AP23" s="1239" t="s">
        <v>335</v>
      </c>
      <c r="AQ23" s="1238" t="s">
        <v>499</v>
      </c>
      <c r="AR23" s="1239" t="s">
        <v>632</v>
      </c>
      <c r="AS23" s="1240">
        <v>837394000</v>
      </c>
      <c r="AT23" s="1240">
        <v>0</v>
      </c>
      <c r="AU23" s="1240">
        <v>0</v>
      </c>
      <c r="AV23" s="1240">
        <f t="shared" si="23"/>
        <v>837394</v>
      </c>
      <c r="AW23" s="1240">
        <f t="shared" si="24"/>
        <v>0</v>
      </c>
      <c r="AX23" s="1240">
        <f t="shared" si="25"/>
        <v>0</v>
      </c>
      <c r="BI23" s="1314" t="s">
        <v>434</v>
      </c>
      <c r="BJ23" s="1316" t="s">
        <v>307</v>
      </c>
      <c r="BK23" s="1314" t="s">
        <v>447</v>
      </c>
      <c r="BL23" s="1316" t="s">
        <v>447</v>
      </c>
      <c r="BM23" s="244">
        <v>0</v>
      </c>
      <c r="BN23" s="244">
        <v>0</v>
      </c>
      <c r="BO23" s="244">
        <v>0</v>
      </c>
      <c r="BP23" s="166">
        <f t="shared" si="27"/>
        <v>0</v>
      </c>
      <c r="BQ23" s="166">
        <f t="shared" si="28"/>
        <v>0</v>
      </c>
      <c r="BR23" s="166">
        <f t="shared" si="29"/>
        <v>0</v>
      </c>
      <c r="BU23" s="1316"/>
      <c r="BV23" s="1316"/>
      <c r="BW23" s="1316"/>
      <c r="BX23" s="1316"/>
      <c r="BZ23" s="166"/>
      <c r="CB23" s="1316" t="s">
        <v>434</v>
      </c>
      <c r="CC23" s="1316" t="s">
        <v>307</v>
      </c>
      <c r="CD23" s="1316" t="s">
        <v>435</v>
      </c>
      <c r="CE23" s="1316" t="s">
        <v>328</v>
      </c>
      <c r="CF23" s="244">
        <v>0</v>
      </c>
      <c r="CG23" s="244">
        <v>867696690</v>
      </c>
      <c r="CH23" s="244">
        <v>308422566</v>
      </c>
      <c r="CI23" s="537">
        <f t="shared" si="31"/>
        <v>0</v>
      </c>
      <c r="CJ23" s="537">
        <f t="shared" si="32"/>
        <v>867696.69</v>
      </c>
      <c r="CK23" s="537">
        <f t="shared" si="33"/>
        <v>308422.56599999999</v>
      </c>
      <c r="CV23" t="s">
        <v>434</v>
      </c>
      <c r="CW23" t="s">
        <v>307</v>
      </c>
      <c r="CX23" t="s">
        <v>447</v>
      </c>
      <c r="CY23" t="s">
        <v>447</v>
      </c>
      <c r="CZ23" s="166">
        <v>0</v>
      </c>
      <c r="DA23" s="166">
        <v>0</v>
      </c>
      <c r="DB23" s="166">
        <v>0</v>
      </c>
      <c r="DC23" s="166">
        <f t="shared" si="35"/>
        <v>0</v>
      </c>
      <c r="DD23" s="166">
        <f t="shared" si="36"/>
        <v>0</v>
      </c>
      <c r="DE23" s="166">
        <f t="shared" si="37"/>
        <v>0</v>
      </c>
      <c r="DO23" s="1472" t="s">
        <v>434</v>
      </c>
      <c r="DP23" s="1473" t="s">
        <v>307</v>
      </c>
      <c r="DQ23" s="1473" t="s">
        <v>458</v>
      </c>
      <c r="DR23" s="1473" t="s">
        <v>330</v>
      </c>
      <c r="DS23" s="1230">
        <v>0</v>
      </c>
      <c r="DT23" s="1230">
        <v>28928</v>
      </c>
      <c r="DU23" s="1230">
        <v>28928</v>
      </c>
      <c r="DV23" s="166">
        <f t="shared" si="7"/>
        <v>0</v>
      </c>
      <c r="DW23" s="166">
        <f t="shared" si="8"/>
        <v>28.928000000000001</v>
      </c>
      <c r="DX23" s="166">
        <f t="shared" si="9"/>
        <v>28.928000000000001</v>
      </c>
      <c r="EI23" s="1262" t="s">
        <v>434</v>
      </c>
      <c r="EJ23" s="1262" t="s">
        <v>307</v>
      </c>
      <c r="EK23" s="1266" t="s">
        <v>459</v>
      </c>
      <c r="EL23" s="1262" t="s">
        <v>331</v>
      </c>
      <c r="EM23" s="355">
        <v>0</v>
      </c>
      <c r="EN23" s="355">
        <v>25158267</v>
      </c>
      <c r="EO23" s="355">
        <v>19533266</v>
      </c>
      <c r="EP23" s="1687">
        <f t="shared" si="11"/>
        <v>0</v>
      </c>
      <c r="EQ23" s="1687">
        <f t="shared" si="12"/>
        <v>25158.267</v>
      </c>
      <c r="ER23" s="1687">
        <f t="shared" si="13"/>
        <v>19533.266</v>
      </c>
      <c r="FD23" s="1266" t="s">
        <v>434</v>
      </c>
      <c r="FE23" s="1266" t="s">
        <v>307</v>
      </c>
      <c r="FF23" s="1266" t="s">
        <v>447</v>
      </c>
      <c r="FG23" s="1266" t="s">
        <v>447</v>
      </c>
      <c r="FH23" s="1262" t="s">
        <v>433</v>
      </c>
      <c r="FI23" s="355">
        <v>0</v>
      </c>
      <c r="FJ23" s="355">
        <v>0</v>
      </c>
      <c r="FK23" s="355">
        <v>0</v>
      </c>
      <c r="FL23" s="166">
        <f t="shared" si="39"/>
        <v>0</v>
      </c>
      <c r="FM23" s="166">
        <f t="shared" si="40"/>
        <v>0</v>
      </c>
      <c r="FN23" s="166">
        <f t="shared" si="41"/>
        <v>0</v>
      </c>
    </row>
    <row r="24" spans="1:170" x14ac:dyDescent="0.35">
      <c r="A24" s="350" t="s">
        <v>438</v>
      </c>
      <c r="B24" s="638" t="s">
        <v>335</v>
      </c>
      <c r="C24" s="350" t="s">
        <v>629</v>
      </c>
      <c r="D24" s="638" t="s">
        <v>630</v>
      </c>
      <c r="E24" s="638" t="s">
        <v>433</v>
      </c>
      <c r="F24" s="244">
        <v>250000000</v>
      </c>
      <c r="G24" s="244">
        <v>0</v>
      </c>
      <c r="H24" s="244">
        <v>0</v>
      </c>
      <c r="I24" s="244">
        <f t="shared" si="15"/>
        <v>250000</v>
      </c>
      <c r="J24" s="244">
        <f t="shared" si="16"/>
        <v>0</v>
      </c>
      <c r="K24" s="244">
        <f t="shared" si="17"/>
        <v>0</v>
      </c>
      <c r="U24" s="350" t="s">
        <v>438</v>
      </c>
      <c r="V24" s="350" t="s">
        <v>335</v>
      </c>
      <c r="W24" s="350" t="s">
        <v>500</v>
      </c>
      <c r="X24" s="638" t="s">
        <v>489</v>
      </c>
      <c r="Y24" s="244">
        <v>300000000</v>
      </c>
      <c r="Z24" s="244">
        <v>0</v>
      </c>
      <c r="AA24" s="244">
        <v>0</v>
      </c>
      <c r="AB24" s="244">
        <f t="shared" si="19"/>
        <v>300000</v>
      </c>
      <c r="AC24" s="244">
        <f t="shared" si="20"/>
        <v>0</v>
      </c>
      <c r="AD24" s="244">
        <f t="shared" si="21"/>
        <v>0</v>
      </c>
      <c r="AO24" s="1238" t="s">
        <v>438</v>
      </c>
      <c r="AP24" s="1239" t="s">
        <v>335</v>
      </c>
      <c r="AQ24" s="1238" t="s">
        <v>488</v>
      </c>
      <c r="AR24" s="1239" t="s">
        <v>631</v>
      </c>
      <c r="AS24" s="1240">
        <v>310000000</v>
      </c>
      <c r="AT24" s="1240">
        <v>0</v>
      </c>
      <c r="AU24" s="1240">
        <v>0</v>
      </c>
      <c r="AV24" s="1240">
        <f t="shared" si="23"/>
        <v>310000</v>
      </c>
      <c r="AW24" s="1240">
        <f t="shared" si="24"/>
        <v>0</v>
      </c>
      <c r="AX24" s="1240">
        <f t="shared" si="25"/>
        <v>0</v>
      </c>
      <c r="BI24" s="1314" t="s">
        <v>508</v>
      </c>
      <c r="BJ24" s="1316" t="s">
        <v>523</v>
      </c>
      <c r="BK24" s="1314" t="s">
        <v>447</v>
      </c>
      <c r="BL24" s="1316" t="s">
        <v>447</v>
      </c>
      <c r="BM24" s="244">
        <v>58398000</v>
      </c>
      <c r="BN24" s="244">
        <v>0</v>
      </c>
      <c r="BO24" s="244">
        <v>0</v>
      </c>
      <c r="BP24" s="166">
        <f t="shared" si="27"/>
        <v>58398</v>
      </c>
      <c r="BQ24" s="166">
        <f t="shared" si="28"/>
        <v>0</v>
      </c>
      <c r="BR24" s="166">
        <f t="shared" si="29"/>
        <v>0</v>
      </c>
      <c r="BZ24" s="283"/>
      <c r="CB24" s="1316" t="s">
        <v>434</v>
      </c>
      <c r="CC24" s="1316" t="s">
        <v>307</v>
      </c>
      <c r="CD24" s="1316" t="s">
        <v>437</v>
      </c>
      <c r="CE24" s="1316" t="s">
        <v>329</v>
      </c>
      <c r="CF24" s="244">
        <v>0</v>
      </c>
      <c r="CG24" s="244">
        <v>47880000</v>
      </c>
      <c r="CH24" s="244">
        <v>19950000</v>
      </c>
      <c r="CI24" s="537">
        <f t="shared" si="31"/>
        <v>0</v>
      </c>
      <c r="CJ24" s="537">
        <f t="shared" si="32"/>
        <v>47880</v>
      </c>
      <c r="CK24" s="537">
        <f t="shared" si="33"/>
        <v>19950</v>
      </c>
      <c r="CV24" t="s">
        <v>434</v>
      </c>
      <c r="CW24" t="s">
        <v>307</v>
      </c>
      <c r="CX24" t="s">
        <v>436</v>
      </c>
      <c r="CY24" t="s">
        <v>339</v>
      </c>
      <c r="CZ24" s="166">
        <v>0</v>
      </c>
      <c r="DA24" s="166">
        <v>34018803</v>
      </c>
      <c r="DB24" s="166">
        <v>12303582</v>
      </c>
      <c r="DC24" s="166">
        <f t="shared" si="35"/>
        <v>0</v>
      </c>
      <c r="DD24" s="166">
        <f t="shared" si="36"/>
        <v>34018.803</v>
      </c>
      <c r="DE24" s="166">
        <f t="shared" si="37"/>
        <v>12303.582</v>
      </c>
      <c r="DO24" s="1472" t="s">
        <v>434</v>
      </c>
      <c r="DP24" s="1473" t="s">
        <v>307</v>
      </c>
      <c r="DQ24" s="1473" t="s">
        <v>435</v>
      </c>
      <c r="DR24" s="1473" t="s">
        <v>328</v>
      </c>
      <c r="DS24" s="1230">
        <v>0</v>
      </c>
      <c r="DT24" s="1230">
        <v>914897555</v>
      </c>
      <c r="DU24" s="1230">
        <v>672363430</v>
      </c>
      <c r="DV24" s="166">
        <f t="shared" si="7"/>
        <v>0</v>
      </c>
      <c r="DW24" s="166">
        <f t="shared" si="8"/>
        <v>914897.55500000005</v>
      </c>
      <c r="DX24" s="166">
        <f t="shared" si="9"/>
        <v>672363.43</v>
      </c>
      <c r="EI24" s="1262" t="s">
        <v>434</v>
      </c>
      <c r="EJ24" s="1262" t="s">
        <v>307</v>
      </c>
      <c r="EK24" s="1266" t="s">
        <v>458</v>
      </c>
      <c r="EL24" s="1262" t="s">
        <v>330</v>
      </c>
      <c r="EM24" s="355">
        <v>0</v>
      </c>
      <c r="EN24" s="355">
        <v>28928</v>
      </c>
      <c r="EO24" s="355">
        <v>28928</v>
      </c>
      <c r="EP24" s="1687">
        <f t="shared" si="11"/>
        <v>0</v>
      </c>
      <c r="EQ24" s="1687">
        <f t="shared" si="12"/>
        <v>28.928000000000001</v>
      </c>
      <c r="ER24" s="1687">
        <f t="shared" si="13"/>
        <v>28.928000000000001</v>
      </c>
      <c r="FD24" s="1266" t="s">
        <v>434</v>
      </c>
      <c r="FE24" s="1266" t="s">
        <v>307</v>
      </c>
      <c r="FF24" s="1266" t="s">
        <v>437</v>
      </c>
      <c r="FG24" s="1266" t="s">
        <v>329</v>
      </c>
      <c r="FH24" s="1262" t="s">
        <v>433</v>
      </c>
      <c r="FI24" s="355">
        <v>0</v>
      </c>
      <c r="FJ24" s="355">
        <v>47880000</v>
      </c>
      <c r="FK24" s="355">
        <v>35966365</v>
      </c>
      <c r="FL24" s="166">
        <f t="shared" si="39"/>
        <v>0</v>
      </c>
      <c r="FM24" s="166">
        <f t="shared" si="40"/>
        <v>47880</v>
      </c>
      <c r="FN24" s="166">
        <f t="shared" si="41"/>
        <v>35966.364999999998</v>
      </c>
    </row>
    <row r="25" spans="1:170" x14ac:dyDescent="0.35">
      <c r="A25" s="350" t="s">
        <v>438</v>
      </c>
      <c r="B25" s="638" t="s">
        <v>335</v>
      </c>
      <c r="C25" s="350" t="s">
        <v>439</v>
      </c>
      <c r="D25" s="638" t="s">
        <v>492</v>
      </c>
      <c r="E25" s="638" t="s">
        <v>433</v>
      </c>
      <c r="F25" s="244">
        <v>150000000</v>
      </c>
      <c r="G25" s="244">
        <v>0</v>
      </c>
      <c r="H25" s="244">
        <v>0</v>
      </c>
      <c r="I25" s="244">
        <f t="shared" si="15"/>
        <v>150000</v>
      </c>
      <c r="J25" s="244">
        <f t="shared" si="16"/>
        <v>0</v>
      </c>
      <c r="K25" s="244">
        <f t="shared" si="17"/>
        <v>0</v>
      </c>
      <c r="U25" s="350" t="s">
        <v>438</v>
      </c>
      <c r="V25" s="350" t="s">
        <v>335</v>
      </c>
      <c r="W25" s="350" t="s">
        <v>462</v>
      </c>
      <c r="X25" s="638" t="s">
        <v>633</v>
      </c>
      <c r="Y25" s="244">
        <v>285000000</v>
      </c>
      <c r="Z25" s="244">
        <v>0</v>
      </c>
      <c r="AA25" s="244">
        <v>0</v>
      </c>
      <c r="AB25" s="244">
        <f t="shared" si="19"/>
        <v>285000</v>
      </c>
      <c r="AC25" s="244">
        <f t="shared" si="20"/>
        <v>0</v>
      </c>
      <c r="AD25" s="244">
        <f t="shared" si="21"/>
        <v>0</v>
      </c>
      <c r="AO25" s="1238" t="s">
        <v>438</v>
      </c>
      <c r="AP25" s="1239" t="s">
        <v>335</v>
      </c>
      <c r="AQ25" s="1238" t="s">
        <v>500</v>
      </c>
      <c r="AR25" s="1239" t="s">
        <v>489</v>
      </c>
      <c r="AS25" s="1240">
        <v>300000000</v>
      </c>
      <c r="AT25" s="1240">
        <v>0</v>
      </c>
      <c r="AU25" s="1240">
        <v>0</v>
      </c>
      <c r="AV25" s="1240">
        <f t="shared" si="23"/>
        <v>300000</v>
      </c>
      <c r="AW25" s="1240">
        <f t="shared" si="24"/>
        <v>0</v>
      </c>
      <c r="AX25" s="1240">
        <f t="shared" si="25"/>
        <v>0</v>
      </c>
      <c r="BI25" s="1314" t="s">
        <v>508</v>
      </c>
      <c r="BJ25" s="1316" t="s">
        <v>523</v>
      </c>
      <c r="BK25" s="1314" t="s">
        <v>447</v>
      </c>
      <c r="BL25" s="1316" t="s">
        <v>447</v>
      </c>
      <c r="BM25" s="244">
        <v>0</v>
      </c>
      <c r="BN25" s="244">
        <v>42867500</v>
      </c>
      <c r="BO25" s="244">
        <v>25302000</v>
      </c>
      <c r="BP25" s="166">
        <f t="shared" si="27"/>
        <v>0</v>
      </c>
      <c r="BQ25" s="166">
        <f t="shared" si="28"/>
        <v>42867.5</v>
      </c>
      <c r="BR25" s="166">
        <f t="shared" si="29"/>
        <v>25302</v>
      </c>
      <c r="CB25" s="1316" t="s">
        <v>508</v>
      </c>
      <c r="CC25" s="1316" t="s">
        <v>523</v>
      </c>
      <c r="CD25" s="1316" t="s">
        <v>447</v>
      </c>
      <c r="CE25" s="1316" t="s">
        <v>447</v>
      </c>
      <c r="CF25" s="244">
        <v>58398000</v>
      </c>
      <c r="CG25" s="244">
        <v>0</v>
      </c>
      <c r="CH25" s="244">
        <v>0</v>
      </c>
      <c r="CI25" s="537">
        <f t="shared" si="31"/>
        <v>58398</v>
      </c>
      <c r="CJ25" s="537">
        <f t="shared" si="32"/>
        <v>0</v>
      </c>
      <c r="CK25" s="537">
        <f t="shared" si="33"/>
        <v>0</v>
      </c>
      <c r="CV25" t="s">
        <v>508</v>
      </c>
      <c r="CW25" t="s">
        <v>523</v>
      </c>
      <c r="CX25" t="s">
        <v>447</v>
      </c>
      <c r="CY25" t="s">
        <v>447</v>
      </c>
      <c r="CZ25" s="166">
        <v>58398000</v>
      </c>
      <c r="DA25" s="166">
        <v>0</v>
      </c>
      <c r="DB25" s="166">
        <v>0</v>
      </c>
      <c r="DC25" s="166">
        <f t="shared" si="35"/>
        <v>58398</v>
      </c>
      <c r="DD25" s="166">
        <f t="shared" si="36"/>
        <v>0</v>
      </c>
      <c r="DE25" s="166">
        <f t="shared" si="37"/>
        <v>0</v>
      </c>
      <c r="DO25" s="1472" t="s">
        <v>508</v>
      </c>
      <c r="DP25" s="1473" t="s">
        <v>523</v>
      </c>
      <c r="DQ25" s="1473" t="s">
        <v>447</v>
      </c>
      <c r="DR25" s="1473" t="s">
        <v>447</v>
      </c>
      <c r="DS25" s="1230">
        <v>58398000</v>
      </c>
      <c r="DT25" s="1230">
        <v>0</v>
      </c>
      <c r="DU25" s="1230">
        <v>0</v>
      </c>
      <c r="DV25" s="166">
        <f t="shared" si="7"/>
        <v>58398</v>
      </c>
      <c r="DW25" s="166">
        <f t="shared" si="8"/>
        <v>0</v>
      </c>
      <c r="DX25" s="166">
        <f t="shared" si="9"/>
        <v>0</v>
      </c>
      <c r="EI25" s="1262" t="s">
        <v>434</v>
      </c>
      <c r="EJ25" s="1262" t="s">
        <v>307</v>
      </c>
      <c r="EK25" s="1266" t="s">
        <v>435</v>
      </c>
      <c r="EL25" s="1262" t="s">
        <v>328</v>
      </c>
      <c r="EM25" s="355">
        <v>0</v>
      </c>
      <c r="EN25" s="355">
        <v>1394562666</v>
      </c>
      <c r="EO25" s="355">
        <v>820991350</v>
      </c>
      <c r="EP25" s="1687">
        <f t="shared" si="11"/>
        <v>0</v>
      </c>
      <c r="EQ25" s="1687">
        <f t="shared" si="12"/>
        <v>1394562.666</v>
      </c>
      <c r="ER25" s="1687">
        <f t="shared" si="13"/>
        <v>820991.35</v>
      </c>
      <c r="FD25" s="1266" t="s">
        <v>434</v>
      </c>
      <c r="FE25" s="1266" t="s">
        <v>307</v>
      </c>
      <c r="FF25" s="1266" t="s">
        <v>458</v>
      </c>
      <c r="FG25" s="1266" t="s">
        <v>330</v>
      </c>
      <c r="FH25" s="1262" t="s">
        <v>433</v>
      </c>
      <c r="FI25" s="355">
        <v>0</v>
      </c>
      <c r="FJ25" s="355">
        <v>28928</v>
      </c>
      <c r="FK25" s="355">
        <v>28928</v>
      </c>
      <c r="FL25" s="166">
        <f t="shared" si="39"/>
        <v>0</v>
      </c>
      <c r="FM25" s="166">
        <f t="shared" si="40"/>
        <v>28.928000000000001</v>
      </c>
      <c r="FN25" s="166">
        <f t="shared" si="41"/>
        <v>28.928000000000001</v>
      </c>
    </row>
    <row r="26" spans="1:170" x14ac:dyDescent="0.35">
      <c r="A26" s="350" t="s">
        <v>438</v>
      </c>
      <c r="B26" s="638" t="s">
        <v>335</v>
      </c>
      <c r="C26" s="350" t="s">
        <v>629</v>
      </c>
      <c r="D26" s="638" t="s">
        <v>630</v>
      </c>
      <c r="E26" s="638" t="s">
        <v>433</v>
      </c>
      <c r="F26" s="244">
        <v>0</v>
      </c>
      <c r="G26" s="244">
        <v>3120000</v>
      </c>
      <c r="H26" s="244">
        <v>0</v>
      </c>
      <c r="I26" s="244">
        <f t="shared" si="15"/>
        <v>0</v>
      </c>
      <c r="J26" s="244">
        <f t="shared" si="16"/>
        <v>3120</v>
      </c>
      <c r="K26" s="244">
        <f t="shared" si="17"/>
        <v>0</v>
      </c>
      <c r="U26" s="350" t="s">
        <v>438</v>
      </c>
      <c r="V26" s="350" t="s">
        <v>335</v>
      </c>
      <c r="W26" s="350" t="s">
        <v>629</v>
      </c>
      <c r="X26" s="638" t="s">
        <v>630</v>
      </c>
      <c r="Y26" s="244">
        <v>250000000</v>
      </c>
      <c r="Z26" s="244">
        <v>0</v>
      </c>
      <c r="AA26" s="244">
        <v>0</v>
      </c>
      <c r="AB26" s="244">
        <f t="shared" si="19"/>
        <v>250000</v>
      </c>
      <c r="AC26" s="244">
        <f t="shared" si="20"/>
        <v>0</v>
      </c>
      <c r="AD26" s="244">
        <f t="shared" si="21"/>
        <v>0</v>
      </c>
      <c r="AO26" s="1238" t="s">
        <v>438</v>
      </c>
      <c r="AP26" s="1239" t="s">
        <v>335</v>
      </c>
      <c r="AQ26" s="1238" t="s">
        <v>462</v>
      </c>
      <c r="AR26" s="1239" t="s">
        <v>633</v>
      </c>
      <c r="AS26" s="1240">
        <v>285000000</v>
      </c>
      <c r="AT26" s="1240">
        <v>0</v>
      </c>
      <c r="AU26" s="1240">
        <v>0</v>
      </c>
      <c r="AV26" s="1240">
        <f t="shared" si="23"/>
        <v>285000</v>
      </c>
      <c r="AW26" s="1240">
        <f t="shared" si="24"/>
        <v>0</v>
      </c>
      <c r="AX26" s="1240">
        <f t="shared" si="25"/>
        <v>0</v>
      </c>
      <c r="BI26" s="1314" t="s">
        <v>438</v>
      </c>
      <c r="BJ26" s="1316" t="s">
        <v>335</v>
      </c>
      <c r="BK26" s="1314" t="s">
        <v>499</v>
      </c>
      <c r="BL26" s="1316" t="s">
        <v>632</v>
      </c>
      <c r="BM26" s="244">
        <v>837394000</v>
      </c>
      <c r="BN26" s="244">
        <v>0</v>
      </c>
      <c r="BO26" s="244">
        <v>0</v>
      </c>
      <c r="BP26" s="166">
        <f t="shared" si="27"/>
        <v>837394</v>
      </c>
      <c r="BQ26" s="166">
        <f t="shared" si="28"/>
        <v>0</v>
      </c>
      <c r="BR26" s="166">
        <f t="shared" si="29"/>
        <v>0</v>
      </c>
      <c r="CB26" s="1316" t="s">
        <v>508</v>
      </c>
      <c r="CC26" s="1316" t="s">
        <v>523</v>
      </c>
      <c r="CD26" s="1316" t="s">
        <v>447</v>
      </c>
      <c r="CE26" s="1316" t="s">
        <v>447</v>
      </c>
      <c r="CF26" s="244">
        <v>0</v>
      </c>
      <c r="CG26" s="244">
        <v>52242966</v>
      </c>
      <c r="CH26" s="244">
        <v>25302000</v>
      </c>
      <c r="CI26" s="537">
        <f t="shared" si="31"/>
        <v>0</v>
      </c>
      <c r="CJ26" s="537">
        <f t="shared" si="32"/>
        <v>52242.966</v>
      </c>
      <c r="CK26" s="537">
        <f t="shared" si="33"/>
        <v>25302</v>
      </c>
      <c r="CV26" t="s">
        <v>508</v>
      </c>
      <c r="CW26" t="s">
        <v>523</v>
      </c>
      <c r="CX26" t="s">
        <v>447</v>
      </c>
      <c r="CY26" t="s">
        <v>447</v>
      </c>
      <c r="CZ26" s="166">
        <v>0</v>
      </c>
      <c r="DA26" s="166">
        <v>52242966</v>
      </c>
      <c r="DB26" s="166">
        <v>34677466</v>
      </c>
      <c r="DC26" s="166">
        <f t="shared" si="35"/>
        <v>0</v>
      </c>
      <c r="DD26" s="166">
        <f t="shared" si="36"/>
        <v>52242.966</v>
      </c>
      <c r="DE26" s="166">
        <f t="shared" si="37"/>
        <v>34677.466</v>
      </c>
      <c r="DO26" s="1472" t="s">
        <v>508</v>
      </c>
      <c r="DP26" s="1473" t="s">
        <v>523</v>
      </c>
      <c r="DQ26" s="1473" t="s">
        <v>447</v>
      </c>
      <c r="DR26" s="1473" t="s">
        <v>447</v>
      </c>
      <c r="DS26" s="1230">
        <v>0</v>
      </c>
      <c r="DT26" s="1230">
        <v>52242966</v>
      </c>
      <c r="DU26" s="1230">
        <v>34677466</v>
      </c>
      <c r="DV26" s="166">
        <f t="shared" si="7"/>
        <v>0</v>
      </c>
      <c r="DW26" s="166">
        <f t="shared" si="8"/>
        <v>52242.966</v>
      </c>
      <c r="DX26" s="166">
        <f t="shared" si="9"/>
        <v>34677.466</v>
      </c>
      <c r="EI26" s="1262" t="s">
        <v>508</v>
      </c>
      <c r="EJ26" s="1262" t="s">
        <v>523</v>
      </c>
      <c r="EK26" s="1266" t="s">
        <v>447</v>
      </c>
      <c r="EL26" s="1262" t="s">
        <v>447</v>
      </c>
      <c r="EM26" s="355">
        <v>58398000</v>
      </c>
      <c r="EN26" s="355">
        <v>0</v>
      </c>
      <c r="EO26" s="355">
        <v>0</v>
      </c>
      <c r="EP26" s="1687">
        <f t="shared" si="11"/>
        <v>58398</v>
      </c>
      <c r="EQ26" s="1687">
        <f t="shared" si="12"/>
        <v>0</v>
      </c>
      <c r="ER26" s="1687">
        <f t="shared" si="13"/>
        <v>0</v>
      </c>
      <c r="FD26" s="1266" t="s">
        <v>508</v>
      </c>
      <c r="FE26" s="1266" t="s">
        <v>523</v>
      </c>
      <c r="FF26" s="1266" t="s">
        <v>447</v>
      </c>
      <c r="FG26" s="1266" t="s">
        <v>447</v>
      </c>
      <c r="FH26" s="1262" t="s">
        <v>433</v>
      </c>
      <c r="FI26" s="355">
        <v>58398000</v>
      </c>
      <c r="FJ26" s="355">
        <v>0</v>
      </c>
      <c r="FK26" s="355">
        <v>0</v>
      </c>
      <c r="FL26" s="166">
        <f t="shared" si="39"/>
        <v>58398</v>
      </c>
      <c r="FM26" s="166">
        <f t="shared" si="40"/>
        <v>0</v>
      </c>
      <c r="FN26" s="166">
        <f t="shared" si="41"/>
        <v>0</v>
      </c>
    </row>
    <row r="27" spans="1:170" x14ac:dyDescent="0.35">
      <c r="A27" s="350" t="s">
        <v>438</v>
      </c>
      <c r="B27" s="638" t="s">
        <v>335</v>
      </c>
      <c r="C27" s="350" t="s">
        <v>447</v>
      </c>
      <c r="D27" s="638" t="s">
        <v>447</v>
      </c>
      <c r="E27" s="638" t="s">
        <v>433</v>
      </c>
      <c r="F27" s="244">
        <v>0</v>
      </c>
      <c r="G27" s="244">
        <v>0</v>
      </c>
      <c r="H27" s="244">
        <v>0</v>
      </c>
      <c r="I27" s="244">
        <f t="shared" si="15"/>
        <v>0</v>
      </c>
      <c r="J27" s="244">
        <f t="shared" si="16"/>
        <v>0</v>
      </c>
      <c r="K27" s="244">
        <f t="shared" si="17"/>
        <v>0</v>
      </c>
      <c r="U27" s="350" t="s">
        <v>438</v>
      </c>
      <c r="V27" s="350" t="s">
        <v>335</v>
      </c>
      <c r="W27" s="350" t="s">
        <v>439</v>
      </c>
      <c r="X27" s="638" t="s">
        <v>492</v>
      </c>
      <c r="Y27" s="244">
        <v>150000000</v>
      </c>
      <c r="Z27" s="244">
        <v>0</v>
      </c>
      <c r="AA27" s="244">
        <v>0</v>
      </c>
      <c r="AB27" s="244">
        <f t="shared" si="19"/>
        <v>150000</v>
      </c>
      <c r="AC27" s="244">
        <f t="shared" si="20"/>
        <v>0</v>
      </c>
      <c r="AD27" s="244">
        <f t="shared" si="21"/>
        <v>0</v>
      </c>
      <c r="AO27" s="1238" t="s">
        <v>438</v>
      </c>
      <c r="AP27" s="1239" t="s">
        <v>335</v>
      </c>
      <c r="AQ27" s="1238" t="s">
        <v>629</v>
      </c>
      <c r="AR27" s="1239" t="s">
        <v>630</v>
      </c>
      <c r="AS27" s="1240">
        <v>250000000</v>
      </c>
      <c r="AT27" s="1240">
        <v>0</v>
      </c>
      <c r="AU27" s="1240">
        <v>0</v>
      </c>
      <c r="AV27" s="1240">
        <f t="shared" si="23"/>
        <v>250000</v>
      </c>
      <c r="AW27" s="1240">
        <f t="shared" si="24"/>
        <v>0</v>
      </c>
      <c r="AX27" s="1240">
        <f t="shared" si="25"/>
        <v>0</v>
      </c>
      <c r="BI27" s="1314" t="s">
        <v>438</v>
      </c>
      <c r="BJ27" s="1316" t="s">
        <v>335</v>
      </c>
      <c r="BK27" s="1314" t="s">
        <v>500</v>
      </c>
      <c r="BL27" s="1316" t="s">
        <v>489</v>
      </c>
      <c r="BM27" s="244">
        <v>525000000</v>
      </c>
      <c r="BN27" s="244">
        <v>0</v>
      </c>
      <c r="BO27" s="244">
        <v>0</v>
      </c>
      <c r="BP27" s="166">
        <f t="shared" si="27"/>
        <v>525000</v>
      </c>
      <c r="BQ27" s="166">
        <f t="shared" si="28"/>
        <v>0</v>
      </c>
      <c r="BR27" s="166">
        <f t="shared" si="29"/>
        <v>0</v>
      </c>
      <c r="CB27" s="1316" t="s">
        <v>438</v>
      </c>
      <c r="CC27" s="1316" t="s">
        <v>335</v>
      </c>
      <c r="CD27" s="1316" t="s">
        <v>499</v>
      </c>
      <c r="CE27" s="1316" t="s">
        <v>632</v>
      </c>
      <c r="CF27" s="244">
        <v>837394000</v>
      </c>
      <c r="CG27" s="244">
        <v>0</v>
      </c>
      <c r="CH27" s="244">
        <v>0</v>
      </c>
      <c r="CI27" s="537">
        <f t="shared" si="31"/>
        <v>837394</v>
      </c>
      <c r="CJ27" s="537">
        <f t="shared" si="32"/>
        <v>0</v>
      </c>
      <c r="CK27" s="537">
        <f t="shared" si="33"/>
        <v>0</v>
      </c>
      <c r="CV27" t="s">
        <v>438</v>
      </c>
      <c r="CW27" t="s">
        <v>335</v>
      </c>
      <c r="CX27" t="s">
        <v>499</v>
      </c>
      <c r="CY27" t="s">
        <v>632</v>
      </c>
      <c r="CZ27" s="166">
        <v>806411000</v>
      </c>
      <c r="DA27" s="166">
        <v>0</v>
      </c>
      <c r="DB27" s="166">
        <v>0</v>
      </c>
      <c r="DC27" s="166">
        <f t="shared" si="35"/>
        <v>806411</v>
      </c>
      <c r="DD27" s="166">
        <f t="shared" si="36"/>
        <v>0</v>
      </c>
      <c r="DE27" s="166">
        <f t="shared" si="37"/>
        <v>0</v>
      </c>
      <c r="DO27" s="1472" t="s">
        <v>438</v>
      </c>
      <c r="DP27" s="1473" t="s">
        <v>335</v>
      </c>
      <c r="DQ27" s="1473" t="s">
        <v>499</v>
      </c>
      <c r="DR27" s="1473" t="s">
        <v>632</v>
      </c>
      <c r="DS27" s="1230">
        <v>806411000</v>
      </c>
      <c r="DT27" s="1230">
        <v>0</v>
      </c>
      <c r="DU27" s="1230">
        <v>0</v>
      </c>
      <c r="DV27" s="166">
        <f t="shared" si="7"/>
        <v>806411</v>
      </c>
      <c r="DW27" s="166">
        <f t="shared" si="8"/>
        <v>0</v>
      </c>
      <c r="DX27" s="166">
        <f t="shared" si="9"/>
        <v>0</v>
      </c>
      <c r="EI27" s="1262" t="s">
        <v>508</v>
      </c>
      <c r="EJ27" s="1262" t="s">
        <v>523</v>
      </c>
      <c r="EK27" s="1266" t="s">
        <v>447</v>
      </c>
      <c r="EL27" s="1262" t="s">
        <v>447</v>
      </c>
      <c r="EM27" s="355">
        <v>0</v>
      </c>
      <c r="EN27" s="355">
        <v>52242966</v>
      </c>
      <c r="EO27" s="355">
        <v>34677466</v>
      </c>
      <c r="EP27" s="1687">
        <f t="shared" si="11"/>
        <v>0</v>
      </c>
      <c r="EQ27" s="1687">
        <f t="shared" si="12"/>
        <v>52242.966</v>
      </c>
      <c r="ER27" s="1687">
        <f t="shared" si="13"/>
        <v>34677.466</v>
      </c>
      <c r="FD27" s="1266" t="s">
        <v>508</v>
      </c>
      <c r="FE27" s="1266" t="s">
        <v>523</v>
      </c>
      <c r="FF27" s="1266" t="s">
        <v>447</v>
      </c>
      <c r="FG27" s="1266" t="s">
        <v>447</v>
      </c>
      <c r="FH27" s="1262" t="s">
        <v>433</v>
      </c>
      <c r="FI27" s="355">
        <v>0</v>
      </c>
      <c r="FJ27" s="355">
        <v>52242966</v>
      </c>
      <c r="FK27" s="355">
        <v>34677466</v>
      </c>
      <c r="FL27" s="166">
        <f t="shared" si="39"/>
        <v>0</v>
      </c>
      <c r="FM27" s="166">
        <f t="shared" si="40"/>
        <v>52242.966</v>
      </c>
      <c r="FN27" s="166">
        <f t="shared" si="41"/>
        <v>34677.466</v>
      </c>
    </row>
    <row r="28" spans="1:170" x14ac:dyDescent="0.35">
      <c r="A28" s="350" t="s">
        <v>438</v>
      </c>
      <c r="B28" s="638" t="s">
        <v>335</v>
      </c>
      <c r="C28" s="350" t="s">
        <v>462</v>
      </c>
      <c r="D28" s="638" t="s">
        <v>633</v>
      </c>
      <c r="E28" s="638" t="s">
        <v>433</v>
      </c>
      <c r="F28" s="244">
        <v>0</v>
      </c>
      <c r="G28" s="244">
        <v>85000000</v>
      </c>
      <c r="H28" s="244">
        <v>30000000</v>
      </c>
      <c r="I28" s="244">
        <f t="shared" si="15"/>
        <v>0</v>
      </c>
      <c r="J28" s="244">
        <f t="shared" si="16"/>
        <v>85000</v>
      </c>
      <c r="K28" s="244">
        <f t="shared" si="17"/>
        <v>30000</v>
      </c>
      <c r="U28" s="350" t="s">
        <v>438</v>
      </c>
      <c r="V28" s="350" t="s">
        <v>335</v>
      </c>
      <c r="W28" s="350" t="s">
        <v>447</v>
      </c>
      <c r="X28" s="638" t="s">
        <v>447</v>
      </c>
      <c r="Y28" s="244">
        <v>0</v>
      </c>
      <c r="Z28" s="244">
        <v>0</v>
      </c>
      <c r="AA28" s="244">
        <v>0</v>
      </c>
      <c r="AB28" s="244">
        <f t="shared" si="19"/>
        <v>0</v>
      </c>
      <c r="AC28" s="244">
        <f t="shared" si="20"/>
        <v>0</v>
      </c>
      <c r="AD28" s="244">
        <f t="shared" si="21"/>
        <v>0</v>
      </c>
      <c r="AO28" s="1238" t="s">
        <v>438</v>
      </c>
      <c r="AP28" s="1239" t="s">
        <v>335</v>
      </c>
      <c r="AQ28" s="1238" t="s">
        <v>439</v>
      </c>
      <c r="AR28" s="1239" t="s">
        <v>492</v>
      </c>
      <c r="AS28" s="1240">
        <v>150000000</v>
      </c>
      <c r="AT28" s="1240">
        <v>0</v>
      </c>
      <c r="AU28" s="1240">
        <v>0</v>
      </c>
      <c r="AV28" s="1240">
        <f t="shared" si="23"/>
        <v>150000</v>
      </c>
      <c r="AW28" s="1240">
        <f t="shared" si="24"/>
        <v>0</v>
      </c>
      <c r="AX28" s="1240">
        <f t="shared" si="25"/>
        <v>0</v>
      </c>
      <c r="BI28" s="1314" t="s">
        <v>438</v>
      </c>
      <c r="BJ28" s="1316" t="s">
        <v>335</v>
      </c>
      <c r="BK28" s="1314" t="s">
        <v>488</v>
      </c>
      <c r="BL28" s="1316" t="s">
        <v>631</v>
      </c>
      <c r="BM28" s="244">
        <v>310000000</v>
      </c>
      <c r="BN28" s="244">
        <v>0</v>
      </c>
      <c r="BO28" s="244">
        <v>0</v>
      </c>
      <c r="BP28" s="166">
        <f t="shared" si="27"/>
        <v>310000</v>
      </c>
      <c r="BQ28" s="166">
        <f t="shared" si="28"/>
        <v>0</v>
      </c>
      <c r="BR28" s="166">
        <f t="shared" si="29"/>
        <v>0</v>
      </c>
      <c r="CB28" s="1316" t="s">
        <v>438</v>
      </c>
      <c r="CC28" s="1316" t="s">
        <v>335</v>
      </c>
      <c r="CD28" s="1316" t="s">
        <v>500</v>
      </c>
      <c r="CE28" s="1316" t="s">
        <v>489</v>
      </c>
      <c r="CF28" s="244">
        <v>525000000</v>
      </c>
      <c r="CG28" s="244">
        <v>0</v>
      </c>
      <c r="CH28" s="244">
        <v>0</v>
      </c>
      <c r="CI28" s="537">
        <f t="shared" si="31"/>
        <v>525000</v>
      </c>
      <c r="CJ28" s="537">
        <f t="shared" si="32"/>
        <v>0</v>
      </c>
      <c r="CK28" s="537">
        <f t="shared" si="33"/>
        <v>0</v>
      </c>
      <c r="CV28" t="s">
        <v>438</v>
      </c>
      <c r="CW28" t="s">
        <v>335</v>
      </c>
      <c r="CX28" t="s">
        <v>500</v>
      </c>
      <c r="CY28" t="s">
        <v>489</v>
      </c>
      <c r="CZ28" s="166">
        <v>525000000</v>
      </c>
      <c r="DA28" s="166">
        <v>0</v>
      </c>
      <c r="DB28" s="166">
        <v>0</v>
      </c>
      <c r="DC28" s="166">
        <f t="shared" si="35"/>
        <v>525000</v>
      </c>
      <c r="DD28" s="166">
        <f t="shared" si="36"/>
        <v>0</v>
      </c>
      <c r="DE28" s="166">
        <f t="shared" si="37"/>
        <v>0</v>
      </c>
      <c r="DO28" s="1472" t="s">
        <v>438</v>
      </c>
      <c r="DP28" s="1473" t="s">
        <v>335</v>
      </c>
      <c r="DQ28" s="1473" t="s">
        <v>500</v>
      </c>
      <c r="DR28" s="1473" t="s">
        <v>489</v>
      </c>
      <c r="DS28" s="1230">
        <v>525000000</v>
      </c>
      <c r="DT28" s="1230">
        <v>0</v>
      </c>
      <c r="DU28" s="1230">
        <v>0</v>
      </c>
      <c r="DV28" s="166">
        <f t="shared" si="7"/>
        <v>525000</v>
      </c>
      <c r="DW28" s="166">
        <f t="shared" si="8"/>
        <v>0</v>
      </c>
      <c r="DX28" s="166">
        <f t="shared" si="9"/>
        <v>0</v>
      </c>
      <c r="EI28" s="1262" t="s">
        <v>438</v>
      </c>
      <c r="EJ28" s="1262" t="s">
        <v>335</v>
      </c>
      <c r="EK28" s="1266" t="s">
        <v>499</v>
      </c>
      <c r="EL28" s="1262" t="s">
        <v>632</v>
      </c>
      <c r="EM28" s="355">
        <v>806411000</v>
      </c>
      <c r="EN28" s="355">
        <v>0</v>
      </c>
      <c r="EO28" s="355">
        <v>0</v>
      </c>
      <c r="EP28" s="1687">
        <f t="shared" si="11"/>
        <v>806411</v>
      </c>
      <c r="EQ28" s="1687">
        <f t="shared" si="12"/>
        <v>0</v>
      </c>
      <c r="ER28" s="1687">
        <f t="shared" si="13"/>
        <v>0</v>
      </c>
      <c r="FD28" s="1266" t="s">
        <v>438</v>
      </c>
      <c r="FE28" s="1266" t="s">
        <v>335</v>
      </c>
      <c r="FF28" s="1266" t="s">
        <v>499</v>
      </c>
      <c r="FG28" s="1266" t="s">
        <v>632</v>
      </c>
      <c r="FH28" s="1262" t="s">
        <v>433</v>
      </c>
      <c r="FI28" s="355">
        <v>806411000</v>
      </c>
      <c r="FJ28" s="355">
        <v>0</v>
      </c>
      <c r="FK28" s="355">
        <v>0</v>
      </c>
      <c r="FL28" s="166">
        <f t="shared" si="39"/>
        <v>806411</v>
      </c>
      <c r="FM28" s="166">
        <f t="shared" si="40"/>
        <v>0</v>
      </c>
      <c r="FN28" s="166">
        <f t="shared" si="41"/>
        <v>0</v>
      </c>
    </row>
    <row r="29" spans="1:170" x14ac:dyDescent="0.35">
      <c r="A29" s="350" t="s">
        <v>463</v>
      </c>
      <c r="B29" s="638" t="s">
        <v>464</v>
      </c>
      <c r="C29" s="350" t="s">
        <v>447</v>
      </c>
      <c r="D29" s="638" t="s">
        <v>447</v>
      </c>
      <c r="E29" s="638" t="s">
        <v>433</v>
      </c>
      <c r="F29" s="244">
        <v>520000000</v>
      </c>
      <c r="G29" s="244">
        <v>0</v>
      </c>
      <c r="H29" s="244">
        <v>0</v>
      </c>
      <c r="I29" s="244">
        <f t="shared" si="15"/>
        <v>520000</v>
      </c>
      <c r="J29" s="244">
        <f t="shared" si="16"/>
        <v>0</v>
      </c>
      <c r="K29" s="244">
        <f t="shared" si="17"/>
        <v>0</v>
      </c>
      <c r="U29" s="350" t="s">
        <v>438</v>
      </c>
      <c r="V29" s="350" t="s">
        <v>335</v>
      </c>
      <c r="W29" s="350" t="s">
        <v>447</v>
      </c>
      <c r="X29" s="638" t="s">
        <v>447</v>
      </c>
      <c r="Y29" s="244">
        <v>0</v>
      </c>
      <c r="Z29" s="244">
        <v>0</v>
      </c>
      <c r="AA29" s="244">
        <v>0</v>
      </c>
      <c r="AB29" s="244">
        <f t="shared" si="19"/>
        <v>0</v>
      </c>
      <c r="AC29" s="244">
        <f t="shared" si="20"/>
        <v>0</v>
      </c>
      <c r="AD29" s="244">
        <f t="shared" si="21"/>
        <v>0</v>
      </c>
      <c r="AO29" s="1238" t="s">
        <v>438</v>
      </c>
      <c r="AP29" s="1239" t="s">
        <v>335</v>
      </c>
      <c r="AQ29" s="1238" t="s">
        <v>629</v>
      </c>
      <c r="AR29" s="1239" t="s">
        <v>630</v>
      </c>
      <c r="AS29" s="1240">
        <v>0</v>
      </c>
      <c r="AT29" s="1240">
        <v>3120000</v>
      </c>
      <c r="AU29" s="1240">
        <v>780000</v>
      </c>
      <c r="AV29" s="1240">
        <f t="shared" si="23"/>
        <v>0</v>
      </c>
      <c r="AW29" s="1240">
        <f t="shared" si="24"/>
        <v>3120</v>
      </c>
      <c r="AX29" s="1240">
        <f t="shared" si="25"/>
        <v>780</v>
      </c>
      <c r="BI29" s="1314" t="s">
        <v>438</v>
      </c>
      <c r="BJ29" s="1316" t="s">
        <v>335</v>
      </c>
      <c r="BK29" s="1314" t="s">
        <v>462</v>
      </c>
      <c r="BL29" s="1316" t="s">
        <v>633</v>
      </c>
      <c r="BM29" s="244">
        <v>285000000</v>
      </c>
      <c r="BN29" s="244">
        <v>0</v>
      </c>
      <c r="BO29" s="244">
        <v>0</v>
      </c>
      <c r="BP29" s="166">
        <f t="shared" si="27"/>
        <v>285000</v>
      </c>
      <c r="BQ29" s="166">
        <f t="shared" si="28"/>
        <v>0</v>
      </c>
      <c r="BR29" s="166">
        <f t="shared" si="29"/>
        <v>0</v>
      </c>
      <c r="CB29" s="1316" t="s">
        <v>438</v>
      </c>
      <c r="CC29" s="1316" t="s">
        <v>335</v>
      </c>
      <c r="CD29" s="1316" t="s">
        <v>488</v>
      </c>
      <c r="CE29" s="1316" t="s">
        <v>631</v>
      </c>
      <c r="CF29" s="244">
        <v>310000000</v>
      </c>
      <c r="CG29" s="244">
        <v>0</v>
      </c>
      <c r="CH29" s="244">
        <v>0</v>
      </c>
      <c r="CI29" s="537">
        <f t="shared" si="31"/>
        <v>310000</v>
      </c>
      <c r="CJ29" s="537">
        <f t="shared" si="32"/>
        <v>0</v>
      </c>
      <c r="CK29" s="537">
        <f t="shared" si="33"/>
        <v>0</v>
      </c>
      <c r="CV29" t="s">
        <v>438</v>
      </c>
      <c r="CW29" t="s">
        <v>335</v>
      </c>
      <c r="CX29" t="s">
        <v>488</v>
      </c>
      <c r="CY29" t="s">
        <v>631</v>
      </c>
      <c r="CZ29" s="166">
        <v>310000000</v>
      </c>
      <c r="DA29" s="166">
        <v>0</v>
      </c>
      <c r="DB29" s="166">
        <v>0</v>
      </c>
      <c r="DC29" s="166">
        <f t="shared" si="35"/>
        <v>310000</v>
      </c>
      <c r="DD29" s="166">
        <f t="shared" si="36"/>
        <v>0</v>
      </c>
      <c r="DE29" s="166">
        <f t="shared" si="37"/>
        <v>0</v>
      </c>
      <c r="DO29" s="1472" t="s">
        <v>438</v>
      </c>
      <c r="DP29" s="1473" t="s">
        <v>335</v>
      </c>
      <c r="DQ29" s="1473" t="s">
        <v>488</v>
      </c>
      <c r="DR29" s="1473" t="s">
        <v>631</v>
      </c>
      <c r="DS29" s="1230">
        <v>310000000</v>
      </c>
      <c r="DT29" s="1230">
        <v>0</v>
      </c>
      <c r="DU29" s="1230">
        <v>0</v>
      </c>
      <c r="DV29" s="166">
        <f t="shared" si="7"/>
        <v>310000</v>
      </c>
      <c r="DW29" s="166">
        <f t="shared" si="8"/>
        <v>0</v>
      </c>
      <c r="DX29" s="166">
        <f t="shared" si="9"/>
        <v>0</v>
      </c>
      <c r="EI29" s="1262" t="s">
        <v>438</v>
      </c>
      <c r="EJ29" s="1262" t="s">
        <v>335</v>
      </c>
      <c r="EK29" s="1266" t="s">
        <v>500</v>
      </c>
      <c r="EL29" s="1262" t="s">
        <v>489</v>
      </c>
      <c r="EM29" s="355">
        <v>525000000</v>
      </c>
      <c r="EN29" s="355">
        <v>0</v>
      </c>
      <c r="EO29" s="355">
        <v>0</v>
      </c>
      <c r="EP29" s="1687">
        <f t="shared" si="11"/>
        <v>525000</v>
      </c>
      <c r="EQ29" s="1687">
        <f t="shared" si="12"/>
        <v>0</v>
      </c>
      <c r="ER29" s="1687">
        <f t="shared" si="13"/>
        <v>0</v>
      </c>
      <c r="FD29" s="1266" t="s">
        <v>438</v>
      </c>
      <c r="FE29" s="1266" t="s">
        <v>335</v>
      </c>
      <c r="FF29" s="1266" t="s">
        <v>500</v>
      </c>
      <c r="FG29" s="1266" t="s">
        <v>489</v>
      </c>
      <c r="FH29" s="1262" t="s">
        <v>433</v>
      </c>
      <c r="FI29" s="355">
        <v>525000000</v>
      </c>
      <c r="FJ29" s="355">
        <v>0</v>
      </c>
      <c r="FK29" s="355">
        <v>0</v>
      </c>
      <c r="FL29" s="166">
        <f t="shared" si="39"/>
        <v>525000</v>
      </c>
      <c r="FM29" s="166">
        <f t="shared" si="40"/>
        <v>0</v>
      </c>
      <c r="FN29" s="166">
        <f t="shared" si="41"/>
        <v>0</v>
      </c>
    </row>
    <row r="30" spans="1:170" x14ac:dyDescent="0.35">
      <c r="A30" s="350" t="s">
        <v>465</v>
      </c>
      <c r="B30" s="638" t="s">
        <v>466</v>
      </c>
      <c r="C30" s="350" t="s">
        <v>447</v>
      </c>
      <c r="D30" s="638" t="s">
        <v>447</v>
      </c>
      <c r="E30" s="638" t="s">
        <v>433</v>
      </c>
      <c r="F30" s="244">
        <v>300292000</v>
      </c>
      <c r="G30" s="244">
        <v>0</v>
      </c>
      <c r="H30" s="244">
        <v>0</v>
      </c>
      <c r="I30" s="244">
        <f t="shared" si="15"/>
        <v>300292</v>
      </c>
      <c r="J30" s="244">
        <f t="shared" si="16"/>
        <v>0</v>
      </c>
      <c r="K30" s="244">
        <f t="shared" si="17"/>
        <v>0</v>
      </c>
      <c r="U30" s="350" t="s">
        <v>438</v>
      </c>
      <c r="V30" s="350" t="s">
        <v>335</v>
      </c>
      <c r="W30" s="350" t="s">
        <v>629</v>
      </c>
      <c r="X30" s="638" t="s">
        <v>630</v>
      </c>
      <c r="Y30" s="244">
        <v>0</v>
      </c>
      <c r="Z30" s="244">
        <v>3120000</v>
      </c>
      <c r="AA30" s="244">
        <v>780000</v>
      </c>
      <c r="AB30" s="244">
        <f t="shared" si="19"/>
        <v>0</v>
      </c>
      <c r="AC30" s="244">
        <f t="shared" si="20"/>
        <v>3120</v>
      </c>
      <c r="AD30" s="244">
        <f t="shared" si="21"/>
        <v>780</v>
      </c>
      <c r="AO30" s="1238" t="s">
        <v>438</v>
      </c>
      <c r="AP30" s="1239" t="s">
        <v>335</v>
      </c>
      <c r="AQ30" s="1238" t="s">
        <v>447</v>
      </c>
      <c r="AR30" s="1239" t="s">
        <v>447</v>
      </c>
      <c r="AS30" s="1240">
        <v>0</v>
      </c>
      <c r="AT30" s="1240">
        <v>0</v>
      </c>
      <c r="AU30" s="1240">
        <v>0</v>
      </c>
      <c r="AV30" s="1240">
        <f t="shared" si="23"/>
        <v>0</v>
      </c>
      <c r="AW30" s="1240">
        <f t="shared" si="24"/>
        <v>0</v>
      </c>
      <c r="AX30" s="1240">
        <f t="shared" si="25"/>
        <v>0</v>
      </c>
      <c r="BI30" s="1314" t="s">
        <v>438</v>
      </c>
      <c r="BJ30" s="1316" t="s">
        <v>335</v>
      </c>
      <c r="BK30" s="1314" t="s">
        <v>439</v>
      </c>
      <c r="BL30" s="1316" t="s">
        <v>492</v>
      </c>
      <c r="BM30" s="244">
        <v>150000000</v>
      </c>
      <c r="BN30" s="244">
        <v>0</v>
      </c>
      <c r="BO30" s="244">
        <v>0</v>
      </c>
      <c r="BP30" s="166">
        <f t="shared" si="27"/>
        <v>150000</v>
      </c>
      <c r="BQ30" s="166">
        <f t="shared" si="28"/>
        <v>0</v>
      </c>
      <c r="BR30" s="166">
        <f t="shared" si="29"/>
        <v>0</v>
      </c>
      <c r="CB30" s="1316" t="s">
        <v>438</v>
      </c>
      <c r="CC30" s="1316" t="s">
        <v>335</v>
      </c>
      <c r="CD30" s="1316" t="s">
        <v>462</v>
      </c>
      <c r="CE30" s="1316" t="s">
        <v>633</v>
      </c>
      <c r="CF30" s="244">
        <v>285000000</v>
      </c>
      <c r="CG30" s="244">
        <v>0</v>
      </c>
      <c r="CH30" s="244">
        <v>0</v>
      </c>
      <c r="CI30" s="537">
        <f t="shared" si="31"/>
        <v>285000</v>
      </c>
      <c r="CJ30" s="537">
        <f t="shared" si="32"/>
        <v>0</v>
      </c>
      <c r="CK30" s="537">
        <f t="shared" si="33"/>
        <v>0</v>
      </c>
      <c r="CV30" t="s">
        <v>438</v>
      </c>
      <c r="CW30" t="s">
        <v>335</v>
      </c>
      <c r="CX30" t="s">
        <v>462</v>
      </c>
      <c r="CY30" t="s">
        <v>633</v>
      </c>
      <c r="CZ30" s="166">
        <v>285000000</v>
      </c>
      <c r="DA30" s="166">
        <v>0</v>
      </c>
      <c r="DB30" s="166">
        <v>0</v>
      </c>
      <c r="DC30" s="166">
        <f t="shared" si="35"/>
        <v>285000</v>
      </c>
      <c r="DD30" s="166">
        <f t="shared" si="36"/>
        <v>0</v>
      </c>
      <c r="DE30" s="166">
        <f t="shared" si="37"/>
        <v>0</v>
      </c>
      <c r="DO30" s="1472" t="s">
        <v>438</v>
      </c>
      <c r="DP30" s="1473" t="s">
        <v>335</v>
      </c>
      <c r="DQ30" s="1473" t="s">
        <v>462</v>
      </c>
      <c r="DR30" s="1473" t="s">
        <v>633</v>
      </c>
      <c r="DS30" s="1230">
        <v>285000000</v>
      </c>
      <c r="DT30" s="1230">
        <v>0</v>
      </c>
      <c r="DU30" s="1230">
        <v>0</v>
      </c>
      <c r="DV30" s="166">
        <f t="shared" si="7"/>
        <v>285000</v>
      </c>
      <c r="DW30" s="166">
        <f t="shared" si="8"/>
        <v>0</v>
      </c>
      <c r="DX30" s="166">
        <f t="shared" si="9"/>
        <v>0</v>
      </c>
      <c r="EI30" s="1262" t="s">
        <v>438</v>
      </c>
      <c r="EJ30" s="1262" t="s">
        <v>335</v>
      </c>
      <c r="EK30" s="1266" t="s">
        <v>488</v>
      </c>
      <c r="EL30" s="1262" t="s">
        <v>631</v>
      </c>
      <c r="EM30" s="355">
        <v>310000000</v>
      </c>
      <c r="EN30" s="355">
        <v>0</v>
      </c>
      <c r="EO30" s="355">
        <v>0</v>
      </c>
      <c r="EP30" s="1687">
        <f t="shared" si="11"/>
        <v>310000</v>
      </c>
      <c r="EQ30" s="1687">
        <f t="shared" si="12"/>
        <v>0</v>
      </c>
      <c r="ER30" s="1687">
        <f t="shared" si="13"/>
        <v>0</v>
      </c>
      <c r="FD30" s="1266" t="s">
        <v>438</v>
      </c>
      <c r="FE30" s="1266" t="s">
        <v>335</v>
      </c>
      <c r="FF30" s="1266" t="s">
        <v>488</v>
      </c>
      <c r="FG30" s="1266" t="s">
        <v>631</v>
      </c>
      <c r="FH30" s="1262" t="s">
        <v>433</v>
      </c>
      <c r="FI30" s="355">
        <v>340000000</v>
      </c>
      <c r="FJ30" s="355">
        <v>0</v>
      </c>
      <c r="FK30" s="355">
        <v>0</v>
      </c>
      <c r="FL30" s="166">
        <f t="shared" si="39"/>
        <v>340000</v>
      </c>
      <c r="FM30" s="166">
        <f t="shared" si="40"/>
        <v>0</v>
      </c>
      <c r="FN30" s="166">
        <f t="shared" si="41"/>
        <v>0</v>
      </c>
    </row>
    <row r="31" spans="1:170" x14ac:dyDescent="0.35">
      <c r="A31" s="350" t="s">
        <v>465</v>
      </c>
      <c r="B31" s="638" t="s">
        <v>466</v>
      </c>
      <c r="C31" s="350" t="s">
        <v>447</v>
      </c>
      <c r="D31" s="638" t="s">
        <v>447</v>
      </c>
      <c r="E31" s="638" t="s">
        <v>433</v>
      </c>
      <c r="F31" s="244">
        <v>0</v>
      </c>
      <c r="G31" s="244">
        <v>80476599</v>
      </c>
      <c r="H31" s="244">
        <v>0</v>
      </c>
      <c r="I31" s="244">
        <f t="shared" si="15"/>
        <v>0</v>
      </c>
      <c r="J31" s="244">
        <f t="shared" si="16"/>
        <v>80476.599000000002</v>
      </c>
      <c r="K31" s="244">
        <f t="shared" si="17"/>
        <v>0</v>
      </c>
      <c r="U31" s="350" t="s">
        <v>438</v>
      </c>
      <c r="V31" s="350" t="s">
        <v>335</v>
      </c>
      <c r="W31" s="350" t="s">
        <v>499</v>
      </c>
      <c r="X31" s="638" t="s">
        <v>632</v>
      </c>
      <c r="Y31" s="244">
        <v>0</v>
      </c>
      <c r="Z31" s="244">
        <v>177263100</v>
      </c>
      <c r="AA31" s="244">
        <v>79200000</v>
      </c>
      <c r="AB31" s="244">
        <f t="shared" si="19"/>
        <v>0</v>
      </c>
      <c r="AC31" s="244">
        <f t="shared" si="20"/>
        <v>177263.1</v>
      </c>
      <c r="AD31" s="244">
        <f t="shared" si="21"/>
        <v>79200</v>
      </c>
      <c r="AO31" s="1238" t="s">
        <v>438</v>
      </c>
      <c r="AP31" s="1239" t="s">
        <v>335</v>
      </c>
      <c r="AQ31" s="1238" t="s">
        <v>447</v>
      </c>
      <c r="AR31" s="1239" t="s">
        <v>447</v>
      </c>
      <c r="AS31" s="1240">
        <v>0</v>
      </c>
      <c r="AT31" s="1240">
        <v>0</v>
      </c>
      <c r="AU31" s="1240">
        <v>0</v>
      </c>
      <c r="AV31" s="1240">
        <f t="shared" si="23"/>
        <v>0</v>
      </c>
      <c r="AW31" s="1240">
        <f t="shared" si="24"/>
        <v>0</v>
      </c>
      <c r="AX31" s="1240">
        <f t="shared" si="25"/>
        <v>0</v>
      </c>
      <c r="BI31" s="1314" t="s">
        <v>438</v>
      </c>
      <c r="BJ31" s="1316" t="s">
        <v>335</v>
      </c>
      <c r="BK31" s="1314" t="s">
        <v>629</v>
      </c>
      <c r="BL31" s="1316" t="s">
        <v>630</v>
      </c>
      <c r="BM31" s="244">
        <v>25000000</v>
      </c>
      <c r="BN31" s="244">
        <v>0</v>
      </c>
      <c r="BO31" s="244">
        <v>0</v>
      </c>
      <c r="BP31" s="166">
        <f t="shared" si="27"/>
        <v>25000</v>
      </c>
      <c r="BQ31" s="166">
        <f t="shared" si="28"/>
        <v>0</v>
      </c>
      <c r="BR31" s="166">
        <f t="shared" si="29"/>
        <v>0</v>
      </c>
      <c r="CB31" s="1316" t="s">
        <v>438</v>
      </c>
      <c r="CC31" s="1316" t="s">
        <v>335</v>
      </c>
      <c r="CD31" s="1316" t="s">
        <v>439</v>
      </c>
      <c r="CE31" s="1316" t="s">
        <v>492</v>
      </c>
      <c r="CF31" s="244">
        <v>150000000</v>
      </c>
      <c r="CG31" s="244">
        <v>0</v>
      </c>
      <c r="CH31" s="244">
        <v>0</v>
      </c>
      <c r="CI31" s="537">
        <f t="shared" si="31"/>
        <v>150000</v>
      </c>
      <c r="CJ31" s="537">
        <f t="shared" si="32"/>
        <v>0</v>
      </c>
      <c r="CK31" s="537">
        <f t="shared" si="33"/>
        <v>0</v>
      </c>
      <c r="CV31" t="s">
        <v>438</v>
      </c>
      <c r="CW31" t="s">
        <v>335</v>
      </c>
      <c r="CX31" t="s">
        <v>439</v>
      </c>
      <c r="CY31" t="s">
        <v>492</v>
      </c>
      <c r="CZ31" s="166">
        <v>150000000</v>
      </c>
      <c r="DA31" s="166">
        <v>0</v>
      </c>
      <c r="DB31" s="166">
        <v>0</v>
      </c>
      <c r="DC31" s="166">
        <f t="shared" si="35"/>
        <v>150000</v>
      </c>
      <c r="DD31" s="166">
        <f t="shared" si="36"/>
        <v>0</v>
      </c>
      <c r="DE31" s="166">
        <f t="shared" si="37"/>
        <v>0</v>
      </c>
      <c r="DO31" s="1472" t="s">
        <v>438</v>
      </c>
      <c r="DP31" s="1473" t="s">
        <v>335</v>
      </c>
      <c r="DQ31" s="1473" t="s">
        <v>439</v>
      </c>
      <c r="DR31" s="1473" t="s">
        <v>492</v>
      </c>
      <c r="DS31" s="1230">
        <v>150000000</v>
      </c>
      <c r="DT31" s="1230">
        <v>0</v>
      </c>
      <c r="DU31" s="1230">
        <v>0</v>
      </c>
      <c r="DV31" s="166">
        <f t="shared" si="7"/>
        <v>150000</v>
      </c>
      <c r="DW31" s="166">
        <f t="shared" si="8"/>
        <v>0</v>
      </c>
      <c r="DX31" s="166">
        <f t="shared" si="9"/>
        <v>0</v>
      </c>
      <c r="EI31" s="1262" t="s">
        <v>438</v>
      </c>
      <c r="EJ31" s="1262" t="s">
        <v>335</v>
      </c>
      <c r="EK31" s="1266" t="s">
        <v>462</v>
      </c>
      <c r="EL31" s="1262" t="s">
        <v>633</v>
      </c>
      <c r="EM31" s="355">
        <v>285000000</v>
      </c>
      <c r="EN31" s="355">
        <v>0</v>
      </c>
      <c r="EO31" s="355">
        <v>0</v>
      </c>
      <c r="EP31" s="1687">
        <f t="shared" si="11"/>
        <v>285000</v>
      </c>
      <c r="EQ31" s="1687">
        <f t="shared" si="12"/>
        <v>0</v>
      </c>
      <c r="ER31" s="1687">
        <f t="shared" si="13"/>
        <v>0</v>
      </c>
      <c r="FD31" s="1266" t="s">
        <v>438</v>
      </c>
      <c r="FE31" s="1266" t="s">
        <v>335</v>
      </c>
      <c r="FF31" s="1266" t="s">
        <v>462</v>
      </c>
      <c r="FG31" s="1266" t="s">
        <v>633</v>
      </c>
      <c r="FH31" s="1262" t="s">
        <v>433</v>
      </c>
      <c r="FI31" s="355">
        <v>285000000</v>
      </c>
      <c r="FJ31" s="355">
        <v>0</v>
      </c>
      <c r="FK31" s="355">
        <v>0</v>
      </c>
      <c r="FL31" s="166">
        <f t="shared" si="39"/>
        <v>285000</v>
      </c>
      <c r="FM31" s="166">
        <f t="shared" si="40"/>
        <v>0</v>
      </c>
      <c r="FN31" s="166">
        <f t="shared" si="41"/>
        <v>0</v>
      </c>
    </row>
    <row r="32" spans="1:170" x14ac:dyDescent="0.35">
      <c r="A32" s="350" t="s">
        <v>534</v>
      </c>
      <c r="B32" s="638" t="s">
        <v>537</v>
      </c>
      <c r="C32" s="350" t="s">
        <v>447</v>
      </c>
      <c r="D32" s="638" t="s">
        <v>447</v>
      </c>
      <c r="E32" s="638" t="s">
        <v>433</v>
      </c>
      <c r="F32" s="244">
        <v>278933000</v>
      </c>
      <c r="G32" s="244">
        <v>0</v>
      </c>
      <c r="H32" s="244">
        <v>0</v>
      </c>
      <c r="I32" s="244">
        <f t="shared" si="15"/>
        <v>278933</v>
      </c>
      <c r="J32" s="244">
        <f t="shared" si="16"/>
        <v>0</v>
      </c>
      <c r="K32" s="244">
        <f t="shared" si="17"/>
        <v>0</v>
      </c>
      <c r="U32" s="350" t="s">
        <v>438</v>
      </c>
      <c r="V32" s="350" t="s">
        <v>335</v>
      </c>
      <c r="W32" s="350" t="s">
        <v>462</v>
      </c>
      <c r="X32" s="638" t="s">
        <v>633</v>
      </c>
      <c r="Y32" s="244">
        <v>0</v>
      </c>
      <c r="Z32" s="244">
        <v>85000000</v>
      </c>
      <c r="AA32" s="244">
        <v>85000000</v>
      </c>
      <c r="AB32" s="244">
        <f t="shared" si="19"/>
        <v>0</v>
      </c>
      <c r="AC32" s="244">
        <f t="shared" si="20"/>
        <v>85000</v>
      </c>
      <c r="AD32" s="244">
        <f t="shared" si="21"/>
        <v>85000</v>
      </c>
      <c r="AO32" s="1238" t="s">
        <v>438</v>
      </c>
      <c r="AP32" s="1239" t="s">
        <v>335</v>
      </c>
      <c r="AQ32" s="1238" t="s">
        <v>462</v>
      </c>
      <c r="AR32" s="1239" t="s">
        <v>633</v>
      </c>
      <c r="AS32" s="1240">
        <v>0</v>
      </c>
      <c r="AT32" s="1240">
        <v>85000000</v>
      </c>
      <c r="AU32" s="1240">
        <v>85000000</v>
      </c>
      <c r="AV32" s="1240">
        <f t="shared" si="23"/>
        <v>0</v>
      </c>
      <c r="AW32" s="1240">
        <f t="shared" si="24"/>
        <v>85000</v>
      </c>
      <c r="AX32" s="1240">
        <f t="shared" si="25"/>
        <v>85000</v>
      </c>
      <c r="BI32" s="1314" t="s">
        <v>438</v>
      </c>
      <c r="BJ32" s="1316" t="s">
        <v>335</v>
      </c>
      <c r="BK32" s="1314" t="s">
        <v>629</v>
      </c>
      <c r="BL32" s="1316" t="s">
        <v>630</v>
      </c>
      <c r="BM32" s="244">
        <v>0</v>
      </c>
      <c r="BN32" s="244">
        <v>3120000</v>
      </c>
      <c r="BO32" s="244">
        <v>780000</v>
      </c>
      <c r="BP32" s="166">
        <f t="shared" si="27"/>
        <v>0</v>
      </c>
      <c r="BQ32" s="166">
        <f t="shared" si="28"/>
        <v>3120</v>
      </c>
      <c r="BR32" s="166">
        <f t="shared" si="29"/>
        <v>780</v>
      </c>
      <c r="CB32" s="1316" t="s">
        <v>438</v>
      </c>
      <c r="CC32" s="1316" t="s">
        <v>335</v>
      </c>
      <c r="CD32" s="1316" t="s">
        <v>629</v>
      </c>
      <c r="CE32" s="1316" t="s">
        <v>630</v>
      </c>
      <c r="CF32" s="244">
        <v>25000000</v>
      </c>
      <c r="CG32" s="244">
        <v>0</v>
      </c>
      <c r="CH32" s="244">
        <v>0</v>
      </c>
      <c r="CI32" s="537">
        <f t="shared" si="31"/>
        <v>25000</v>
      </c>
      <c r="CJ32" s="537">
        <f t="shared" si="32"/>
        <v>0</v>
      </c>
      <c r="CK32" s="537">
        <f t="shared" si="33"/>
        <v>0</v>
      </c>
      <c r="CV32" t="s">
        <v>438</v>
      </c>
      <c r="CW32" t="s">
        <v>335</v>
      </c>
      <c r="CX32" t="s">
        <v>629</v>
      </c>
      <c r="CY32" t="s">
        <v>630</v>
      </c>
      <c r="CZ32" s="166">
        <v>25000000</v>
      </c>
      <c r="DA32" s="166">
        <v>0</v>
      </c>
      <c r="DB32" s="166">
        <v>0</v>
      </c>
      <c r="DC32" s="166">
        <f t="shared" si="35"/>
        <v>25000</v>
      </c>
      <c r="DD32" s="166">
        <f t="shared" si="36"/>
        <v>0</v>
      </c>
      <c r="DE32" s="166">
        <f t="shared" si="37"/>
        <v>0</v>
      </c>
      <c r="DO32" s="1472" t="s">
        <v>438</v>
      </c>
      <c r="DP32" s="1473" t="s">
        <v>335</v>
      </c>
      <c r="DQ32" s="1473" t="s">
        <v>629</v>
      </c>
      <c r="DR32" s="1473" t="s">
        <v>630</v>
      </c>
      <c r="DS32" s="1230">
        <v>25000000</v>
      </c>
      <c r="DT32" s="1230">
        <v>0</v>
      </c>
      <c r="DU32" s="1230">
        <v>0</v>
      </c>
      <c r="DV32" s="166">
        <f t="shared" si="7"/>
        <v>25000</v>
      </c>
      <c r="DW32" s="166">
        <f t="shared" si="8"/>
        <v>0</v>
      </c>
      <c r="DX32" s="166">
        <f t="shared" si="9"/>
        <v>0</v>
      </c>
      <c r="EI32" s="1262" t="s">
        <v>438</v>
      </c>
      <c r="EJ32" s="1262" t="s">
        <v>335</v>
      </c>
      <c r="EK32" s="1266" t="s">
        <v>439</v>
      </c>
      <c r="EL32" s="1262" t="s">
        <v>492</v>
      </c>
      <c r="EM32" s="355">
        <v>150000000</v>
      </c>
      <c r="EN32" s="355">
        <v>0</v>
      </c>
      <c r="EO32" s="355">
        <v>0</v>
      </c>
      <c r="EP32" s="1687">
        <f t="shared" si="11"/>
        <v>150000</v>
      </c>
      <c r="EQ32" s="1687">
        <f t="shared" si="12"/>
        <v>0</v>
      </c>
      <c r="ER32" s="1687">
        <f t="shared" si="13"/>
        <v>0</v>
      </c>
      <c r="FD32" s="1266" t="s">
        <v>438</v>
      </c>
      <c r="FE32" s="1266" t="s">
        <v>335</v>
      </c>
      <c r="FF32" s="1266" t="s">
        <v>439</v>
      </c>
      <c r="FG32" s="1266" t="s">
        <v>492</v>
      </c>
      <c r="FH32" s="1262" t="s">
        <v>433</v>
      </c>
      <c r="FI32" s="355">
        <v>120000000</v>
      </c>
      <c r="FJ32" s="355">
        <v>0</v>
      </c>
      <c r="FK32" s="355">
        <v>0</v>
      </c>
      <c r="FL32" s="166">
        <f t="shared" si="39"/>
        <v>120000</v>
      </c>
      <c r="FM32" s="166">
        <f t="shared" si="40"/>
        <v>0</v>
      </c>
      <c r="FN32" s="166">
        <f t="shared" si="41"/>
        <v>0</v>
      </c>
    </row>
    <row r="33" spans="1:170" x14ac:dyDescent="0.35">
      <c r="A33" s="350" t="s">
        <v>672</v>
      </c>
      <c r="B33" s="638" t="s">
        <v>673</v>
      </c>
      <c r="C33" s="350" t="s">
        <v>447</v>
      </c>
      <c r="D33" s="638" t="s">
        <v>447</v>
      </c>
      <c r="E33" s="638" t="s">
        <v>433</v>
      </c>
      <c r="F33" s="244">
        <v>35000000</v>
      </c>
      <c r="G33" s="244">
        <v>0</v>
      </c>
      <c r="H33" s="244">
        <v>0</v>
      </c>
      <c r="I33" s="244">
        <f t="shared" si="15"/>
        <v>35000</v>
      </c>
      <c r="J33" s="244">
        <f t="shared" si="16"/>
        <v>0</v>
      </c>
      <c r="K33" s="244">
        <f t="shared" si="17"/>
        <v>0</v>
      </c>
      <c r="U33" s="350" t="s">
        <v>463</v>
      </c>
      <c r="V33" s="350" t="s">
        <v>464</v>
      </c>
      <c r="W33" s="350" t="s">
        <v>447</v>
      </c>
      <c r="X33" s="638" t="s">
        <v>447</v>
      </c>
      <c r="Y33" s="244">
        <v>520000000</v>
      </c>
      <c r="Z33" s="244">
        <v>0</v>
      </c>
      <c r="AA33" s="244">
        <v>0</v>
      </c>
      <c r="AB33" s="244">
        <f t="shared" si="19"/>
        <v>520000</v>
      </c>
      <c r="AC33" s="244">
        <f t="shared" si="20"/>
        <v>0</v>
      </c>
      <c r="AD33" s="244">
        <f t="shared" si="21"/>
        <v>0</v>
      </c>
      <c r="AO33" s="1238" t="s">
        <v>438</v>
      </c>
      <c r="AP33" s="1239" t="s">
        <v>335</v>
      </c>
      <c r="AQ33" s="1238" t="s">
        <v>447</v>
      </c>
      <c r="AR33" s="1239" t="s">
        <v>447</v>
      </c>
      <c r="AS33" s="1240">
        <v>0</v>
      </c>
      <c r="AT33" s="1240">
        <v>0</v>
      </c>
      <c r="AU33" s="1240">
        <v>0</v>
      </c>
      <c r="AV33" s="1240">
        <f t="shared" si="23"/>
        <v>0</v>
      </c>
      <c r="AW33" s="1240">
        <f t="shared" si="24"/>
        <v>0</v>
      </c>
      <c r="AX33" s="1240">
        <f t="shared" si="25"/>
        <v>0</v>
      </c>
      <c r="BI33" s="1314" t="s">
        <v>438</v>
      </c>
      <c r="BJ33" s="1316" t="s">
        <v>335</v>
      </c>
      <c r="BK33" s="1314" t="s">
        <v>447</v>
      </c>
      <c r="BL33" s="1316" t="s">
        <v>447</v>
      </c>
      <c r="BM33" s="244">
        <v>0</v>
      </c>
      <c r="BN33" s="244">
        <v>0</v>
      </c>
      <c r="BO33" s="244">
        <v>0</v>
      </c>
      <c r="BP33" s="166">
        <f t="shared" si="27"/>
        <v>0</v>
      </c>
      <c r="BQ33" s="166">
        <f t="shared" si="28"/>
        <v>0</v>
      </c>
      <c r="BR33" s="166">
        <f t="shared" si="29"/>
        <v>0</v>
      </c>
      <c r="CB33" s="1316" t="s">
        <v>438</v>
      </c>
      <c r="CC33" s="1316" t="s">
        <v>335</v>
      </c>
      <c r="CD33" s="1316" t="s">
        <v>629</v>
      </c>
      <c r="CE33" s="1316" t="s">
        <v>630</v>
      </c>
      <c r="CF33" s="244">
        <v>0</v>
      </c>
      <c r="CG33" s="244">
        <v>3120000</v>
      </c>
      <c r="CH33" s="244">
        <v>1560000</v>
      </c>
      <c r="CI33" s="537">
        <f t="shared" si="31"/>
        <v>0</v>
      </c>
      <c r="CJ33" s="537">
        <f t="shared" si="32"/>
        <v>3120</v>
      </c>
      <c r="CK33" s="537">
        <f t="shared" si="33"/>
        <v>1560</v>
      </c>
      <c r="CV33" t="s">
        <v>438</v>
      </c>
      <c r="CW33" t="s">
        <v>335</v>
      </c>
      <c r="CX33" t="s">
        <v>439</v>
      </c>
      <c r="CY33" t="s">
        <v>492</v>
      </c>
      <c r="CZ33" s="166">
        <v>0</v>
      </c>
      <c r="DA33" s="166">
        <v>120000000</v>
      </c>
      <c r="DB33" s="166">
        <v>120000000</v>
      </c>
      <c r="DC33" s="166">
        <f t="shared" si="35"/>
        <v>0</v>
      </c>
      <c r="DD33" s="166">
        <f t="shared" si="36"/>
        <v>120000</v>
      </c>
      <c r="DE33" s="166">
        <f t="shared" si="37"/>
        <v>120000</v>
      </c>
      <c r="DO33" s="1472" t="s">
        <v>438</v>
      </c>
      <c r="DP33" s="1473" t="s">
        <v>335</v>
      </c>
      <c r="DQ33" s="1473" t="s">
        <v>499</v>
      </c>
      <c r="DR33" s="1473" t="s">
        <v>632</v>
      </c>
      <c r="DS33" s="1230">
        <v>0</v>
      </c>
      <c r="DT33" s="1230">
        <v>428663100</v>
      </c>
      <c r="DU33" s="1230">
        <v>220600000</v>
      </c>
      <c r="DV33" s="166">
        <f t="shared" si="7"/>
        <v>0</v>
      </c>
      <c r="DW33" s="166">
        <f t="shared" si="8"/>
        <v>428663.1</v>
      </c>
      <c r="DX33" s="166">
        <f t="shared" si="9"/>
        <v>220600</v>
      </c>
      <c r="EI33" s="1262" t="s">
        <v>438</v>
      </c>
      <c r="EJ33" s="1262" t="s">
        <v>335</v>
      </c>
      <c r="EK33" s="1266" t="s">
        <v>629</v>
      </c>
      <c r="EL33" s="1262" t="s">
        <v>630</v>
      </c>
      <c r="EM33" s="355">
        <v>25000000</v>
      </c>
      <c r="EN33" s="355">
        <v>0</v>
      </c>
      <c r="EO33" s="355">
        <v>0</v>
      </c>
      <c r="EP33" s="1687">
        <f t="shared" si="11"/>
        <v>25000</v>
      </c>
      <c r="EQ33" s="1687">
        <f t="shared" si="12"/>
        <v>0</v>
      </c>
      <c r="ER33" s="1687">
        <f t="shared" si="13"/>
        <v>0</v>
      </c>
      <c r="FD33" s="1266" t="s">
        <v>438</v>
      </c>
      <c r="FE33" s="1266" t="s">
        <v>335</v>
      </c>
      <c r="FF33" s="1266" t="s">
        <v>629</v>
      </c>
      <c r="FG33" s="1266" t="s">
        <v>630</v>
      </c>
      <c r="FH33" s="1262" t="s">
        <v>433</v>
      </c>
      <c r="FI33" s="355">
        <v>25000000</v>
      </c>
      <c r="FJ33" s="355">
        <v>0</v>
      </c>
      <c r="FK33" s="355">
        <v>0</v>
      </c>
      <c r="FL33" s="166">
        <f t="shared" si="39"/>
        <v>25000</v>
      </c>
      <c r="FM33" s="166">
        <f t="shared" si="40"/>
        <v>0</v>
      </c>
      <c r="FN33" s="166">
        <f t="shared" si="41"/>
        <v>0</v>
      </c>
    </row>
    <row r="34" spans="1:170" x14ac:dyDescent="0.35">
      <c r="A34" s="350" t="s">
        <v>674</v>
      </c>
      <c r="B34" s="638" t="s">
        <v>675</v>
      </c>
      <c r="C34" s="350" t="s">
        <v>447</v>
      </c>
      <c r="D34" s="638" t="s">
        <v>447</v>
      </c>
      <c r="E34" s="638" t="s">
        <v>433</v>
      </c>
      <c r="F34" s="244">
        <v>50000000</v>
      </c>
      <c r="G34" s="244">
        <v>0</v>
      </c>
      <c r="H34" s="244">
        <v>0</v>
      </c>
      <c r="I34" s="244">
        <f t="shared" si="15"/>
        <v>50000</v>
      </c>
      <c r="J34" s="244">
        <f t="shared" si="16"/>
        <v>0</v>
      </c>
      <c r="K34" s="244">
        <f t="shared" si="17"/>
        <v>0</v>
      </c>
      <c r="U34" s="350" t="s">
        <v>465</v>
      </c>
      <c r="V34" s="350" t="s">
        <v>466</v>
      </c>
      <c r="W34" s="350" t="s">
        <v>447</v>
      </c>
      <c r="X34" s="638" t="s">
        <v>447</v>
      </c>
      <c r="Y34" s="244">
        <v>300292000</v>
      </c>
      <c r="Z34" s="244">
        <v>0</v>
      </c>
      <c r="AA34" s="244">
        <v>0</v>
      </c>
      <c r="AB34" s="244">
        <f t="shared" si="19"/>
        <v>300292</v>
      </c>
      <c r="AC34" s="244">
        <f t="shared" si="20"/>
        <v>0</v>
      </c>
      <c r="AD34" s="244">
        <f t="shared" si="21"/>
        <v>0</v>
      </c>
      <c r="AO34" s="1238" t="s">
        <v>438</v>
      </c>
      <c r="AP34" s="1239" t="s">
        <v>335</v>
      </c>
      <c r="AQ34" s="1238" t="s">
        <v>499</v>
      </c>
      <c r="AR34" s="1239" t="s">
        <v>632</v>
      </c>
      <c r="AS34" s="1240">
        <v>0</v>
      </c>
      <c r="AT34" s="1240">
        <v>247263100</v>
      </c>
      <c r="AU34" s="1240">
        <v>149200000</v>
      </c>
      <c r="AV34" s="1240">
        <f t="shared" si="23"/>
        <v>0</v>
      </c>
      <c r="AW34" s="1240">
        <f t="shared" si="24"/>
        <v>247263.1</v>
      </c>
      <c r="AX34" s="1240">
        <f t="shared" si="25"/>
        <v>149200</v>
      </c>
      <c r="BI34" s="1314" t="s">
        <v>438</v>
      </c>
      <c r="BJ34" s="1316" t="s">
        <v>335</v>
      </c>
      <c r="BK34" s="1314" t="s">
        <v>462</v>
      </c>
      <c r="BL34" s="1316" t="s">
        <v>633</v>
      </c>
      <c r="BM34" s="244">
        <v>0</v>
      </c>
      <c r="BN34" s="244">
        <v>85000000</v>
      </c>
      <c r="BO34" s="244">
        <v>85000000</v>
      </c>
      <c r="BP34" s="166">
        <f t="shared" si="27"/>
        <v>0</v>
      </c>
      <c r="BQ34" s="166">
        <f t="shared" si="28"/>
        <v>85000</v>
      </c>
      <c r="BR34" s="166">
        <f t="shared" si="29"/>
        <v>85000</v>
      </c>
      <c r="CB34" s="1316" t="s">
        <v>438</v>
      </c>
      <c r="CC34" s="1316" t="s">
        <v>335</v>
      </c>
      <c r="CD34" s="1316" t="s">
        <v>447</v>
      </c>
      <c r="CE34" s="1316" t="s">
        <v>447</v>
      </c>
      <c r="CF34" s="244">
        <v>0</v>
      </c>
      <c r="CG34" s="244">
        <v>0</v>
      </c>
      <c r="CH34" s="244">
        <v>0</v>
      </c>
      <c r="CI34" s="537">
        <f t="shared" si="31"/>
        <v>0</v>
      </c>
      <c r="CJ34" s="537">
        <f t="shared" si="32"/>
        <v>0</v>
      </c>
      <c r="CK34" s="537">
        <f t="shared" si="33"/>
        <v>0</v>
      </c>
      <c r="CV34" t="s">
        <v>438</v>
      </c>
      <c r="CW34" t="s">
        <v>335</v>
      </c>
      <c r="CX34" t="s">
        <v>447</v>
      </c>
      <c r="CY34" t="s">
        <v>447</v>
      </c>
      <c r="CZ34" s="166">
        <v>0</v>
      </c>
      <c r="DA34" s="166">
        <v>0</v>
      </c>
      <c r="DB34" s="166">
        <v>0</v>
      </c>
      <c r="DC34" s="166">
        <f t="shared" si="35"/>
        <v>0</v>
      </c>
      <c r="DD34" s="166">
        <f t="shared" si="36"/>
        <v>0</v>
      </c>
      <c r="DE34" s="166">
        <f t="shared" si="37"/>
        <v>0</v>
      </c>
      <c r="DO34" s="1472" t="s">
        <v>438</v>
      </c>
      <c r="DP34" s="1473" t="s">
        <v>335</v>
      </c>
      <c r="DQ34" s="1473" t="s">
        <v>447</v>
      </c>
      <c r="DR34" s="1473" t="s">
        <v>447</v>
      </c>
      <c r="DS34" s="1230">
        <v>0</v>
      </c>
      <c r="DT34" s="1230">
        <v>0</v>
      </c>
      <c r="DU34" s="1230">
        <v>0</v>
      </c>
      <c r="DV34" s="166">
        <f t="shared" si="7"/>
        <v>0</v>
      </c>
      <c r="DW34" s="166">
        <f t="shared" si="8"/>
        <v>0</v>
      </c>
      <c r="DX34" s="166">
        <f t="shared" si="9"/>
        <v>0</v>
      </c>
      <c r="EI34" s="1262" t="s">
        <v>438</v>
      </c>
      <c r="EJ34" s="1262" t="s">
        <v>335</v>
      </c>
      <c r="EK34" s="1266" t="s">
        <v>499</v>
      </c>
      <c r="EL34" s="1262" t="s">
        <v>632</v>
      </c>
      <c r="EM34" s="355">
        <v>0</v>
      </c>
      <c r="EN34" s="355">
        <v>458663100</v>
      </c>
      <c r="EO34" s="355">
        <v>250600000</v>
      </c>
      <c r="EP34" s="1687">
        <f t="shared" si="11"/>
        <v>0</v>
      </c>
      <c r="EQ34" s="1687">
        <f t="shared" si="12"/>
        <v>458663.1</v>
      </c>
      <c r="ER34" s="1687">
        <f t="shared" si="13"/>
        <v>250600</v>
      </c>
      <c r="FD34" s="1266" t="s">
        <v>438</v>
      </c>
      <c r="FE34" s="1266" t="s">
        <v>335</v>
      </c>
      <c r="FF34" s="1266" t="s">
        <v>629</v>
      </c>
      <c r="FG34" s="1266" t="s">
        <v>630</v>
      </c>
      <c r="FH34" s="1262" t="s">
        <v>433</v>
      </c>
      <c r="FI34" s="355">
        <v>0</v>
      </c>
      <c r="FJ34" s="355">
        <v>3120000</v>
      </c>
      <c r="FK34" s="355">
        <v>2340000</v>
      </c>
      <c r="FL34" s="166">
        <f t="shared" si="39"/>
        <v>0</v>
      </c>
      <c r="FM34" s="166">
        <f t="shared" si="40"/>
        <v>3120</v>
      </c>
      <c r="FN34" s="166">
        <f t="shared" si="41"/>
        <v>2340</v>
      </c>
    </row>
    <row r="35" spans="1:170" x14ac:dyDescent="0.35">
      <c r="A35" s="350" t="s">
        <v>452</v>
      </c>
      <c r="B35" s="638" t="s">
        <v>128</v>
      </c>
      <c r="C35" s="350" t="s">
        <v>447</v>
      </c>
      <c r="D35" s="638" t="s">
        <v>447</v>
      </c>
      <c r="E35" s="638" t="s">
        <v>433</v>
      </c>
      <c r="F35" s="244">
        <v>10000</v>
      </c>
      <c r="G35" s="244">
        <v>0</v>
      </c>
      <c r="H35" s="244">
        <v>0</v>
      </c>
      <c r="I35" s="244">
        <f t="shared" si="15"/>
        <v>10</v>
      </c>
      <c r="J35" s="244">
        <f t="shared" si="16"/>
        <v>0</v>
      </c>
      <c r="K35" s="244">
        <f t="shared" si="17"/>
        <v>0</v>
      </c>
      <c r="U35" s="350" t="s">
        <v>465</v>
      </c>
      <c r="V35" s="350" t="s">
        <v>466</v>
      </c>
      <c r="W35" s="350" t="s">
        <v>447</v>
      </c>
      <c r="X35" s="638" t="s">
        <v>447</v>
      </c>
      <c r="Y35" s="244">
        <v>0</v>
      </c>
      <c r="Z35" s="244">
        <v>130476599</v>
      </c>
      <c r="AA35" s="244">
        <v>19511238</v>
      </c>
      <c r="AB35" s="244">
        <f t="shared" si="19"/>
        <v>0</v>
      </c>
      <c r="AC35" s="244">
        <f t="shared" si="20"/>
        <v>130476.599</v>
      </c>
      <c r="AD35" s="244">
        <f t="shared" si="21"/>
        <v>19511.238000000001</v>
      </c>
      <c r="AO35" s="1238" t="s">
        <v>463</v>
      </c>
      <c r="AP35" s="1239" t="s">
        <v>464</v>
      </c>
      <c r="AQ35" s="1238" t="s">
        <v>447</v>
      </c>
      <c r="AR35" s="1239" t="s">
        <v>447</v>
      </c>
      <c r="AS35" s="1240">
        <v>520000000</v>
      </c>
      <c r="AT35" s="1240">
        <v>0</v>
      </c>
      <c r="AU35" s="1240">
        <v>0</v>
      </c>
      <c r="AV35" s="1240">
        <f t="shared" si="23"/>
        <v>520000</v>
      </c>
      <c r="AW35" s="1240">
        <f t="shared" si="24"/>
        <v>0</v>
      </c>
      <c r="AX35" s="1240">
        <f t="shared" si="25"/>
        <v>0</v>
      </c>
      <c r="BI35" s="1314" t="s">
        <v>438</v>
      </c>
      <c r="BJ35" s="1316" t="s">
        <v>335</v>
      </c>
      <c r="BK35" s="1314" t="s">
        <v>447</v>
      </c>
      <c r="BL35" s="1316" t="s">
        <v>447</v>
      </c>
      <c r="BM35" s="244">
        <v>0</v>
      </c>
      <c r="BN35" s="244">
        <v>0</v>
      </c>
      <c r="BO35" s="244">
        <v>0</v>
      </c>
      <c r="BP35" s="166">
        <f t="shared" si="27"/>
        <v>0</v>
      </c>
      <c r="BQ35" s="166">
        <f t="shared" si="28"/>
        <v>0</v>
      </c>
      <c r="BR35" s="166">
        <f t="shared" si="29"/>
        <v>0</v>
      </c>
      <c r="CB35" s="1316" t="s">
        <v>438</v>
      </c>
      <c r="CC35" s="1316" t="s">
        <v>335</v>
      </c>
      <c r="CD35" s="1316" t="s">
        <v>462</v>
      </c>
      <c r="CE35" s="1316" t="s">
        <v>633</v>
      </c>
      <c r="CF35" s="244">
        <v>0</v>
      </c>
      <c r="CG35" s="244">
        <v>285000000</v>
      </c>
      <c r="CH35" s="244">
        <v>285000000</v>
      </c>
      <c r="CI35" s="537">
        <f t="shared" si="31"/>
        <v>0</v>
      </c>
      <c r="CJ35" s="537">
        <f t="shared" si="32"/>
        <v>285000</v>
      </c>
      <c r="CK35" s="537">
        <f t="shared" si="33"/>
        <v>285000</v>
      </c>
      <c r="CV35" t="s">
        <v>438</v>
      </c>
      <c r="CW35" t="s">
        <v>335</v>
      </c>
      <c r="CX35" t="s">
        <v>447</v>
      </c>
      <c r="CY35" t="s">
        <v>447</v>
      </c>
      <c r="CZ35" s="166">
        <v>0</v>
      </c>
      <c r="DA35" s="166">
        <v>0</v>
      </c>
      <c r="DB35" s="166">
        <v>0</v>
      </c>
      <c r="DC35" s="166">
        <f t="shared" si="35"/>
        <v>0</v>
      </c>
      <c r="DD35" s="166">
        <f t="shared" si="36"/>
        <v>0</v>
      </c>
      <c r="DE35" s="166">
        <f t="shared" si="37"/>
        <v>0</v>
      </c>
      <c r="DO35" s="1472" t="s">
        <v>438</v>
      </c>
      <c r="DP35" s="1473" t="s">
        <v>335</v>
      </c>
      <c r="DQ35" s="1473" t="s">
        <v>462</v>
      </c>
      <c r="DR35" s="1473" t="s">
        <v>633</v>
      </c>
      <c r="DS35" s="1230">
        <v>0</v>
      </c>
      <c r="DT35" s="1230">
        <v>285000000</v>
      </c>
      <c r="DU35" s="1230">
        <v>285000000</v>
      </c>
      <c r="DV35" s="166">
        <f t="shared" ref="DV35:DV51" si="42">+DS35/$DW$1*$DX$1</f>
        <v>0</v>
      </c>
      <c r="DW35" s="166">
        <f t="shared" ref="DW35:DW51" si="43">+DT35/$DW$1*$DX$1</f>
        <v>285000</v>
      </c>
      <c r="DX35" s="166">
        <f t="shared" ref="DX35:DX51" si="44">+DU35/$DW$1*$DX$1</f>
        <v>285000</v>
      </c>
      <c r="EI35" s="1262" t="s">
        <v>438</v>
      </c>
      <c r="EJ35" s="1262" t="s">
        <v>335</v>
      </c>
      <c r="EK35" s="1266" t="s">
        <v>447</v>
      </c>
      <c r="EL35" s="1262" t="s">
        <v>447</v>
      </c>
      <c r="EM35" s="355">
        <v>0</v>
      </c>
      <c r="EN35" s="355">
        <v>0</v>
      </c>
      <c r="EO35" s="355">
        <v>0</v>
      </c>
      <c r="EP35" s="1687">
        <f t="shared" ref="EP35:EP54" si="45">+EM35/$EQ$1*$ER$1</f>
        <v>0</v>
      </c>
      <c r="EQ35" s="1687">
        <f t="shared" ref="EQ35:EQ54" si="46">+EN35/$EQ$1*$ER$1</f>
        <v>0</v>
      </c>
      <c r="ER35" s="1687">
        <f t="shared" ref="ER35:ER54" si="47">+EO35/$EQ$1*$ER$1</f>
        <v>0</v>
      </c>
      <c r="FD35" s="1266" t="s">
        <v>438</v>
      </c>
      <c r="FE35" s="1266" t="s">
        <v>335</v>
      </c>
      <c r="FF35" s="1266" t="s">
        <v>447</v>
      </c>
      <c r="FG35" s="1266" t="s">
        <v>447</v>
      </c>
      <c r="FH35" s="1262" t="s">
        <v>433</v>
      </c>
      <c r="FI35" s="355">
        <v>0</v>
      </c>
      <c r="FJ35" s="355">
        <v>0</v>
      </c>
      <c r="FK35" s="355">
        <v>0</v>
      </c>
      <c r="FL35" s="166">
        <f t="shared" si="39"/>
        <v>0</v>
      </c>
      <c r="FM35" s="166">
        <f t="shared" si="40"/>
        <v>0</v>
      </c>
      <c r="FN35" s="166">
        <f t="shared" si="41"/>
        <v>0</v>
      </c>
    </row>
    <row r="36" spans="1:170" x14ac:dyDescent="0.35">
      <c r="A36" s="350" t="s">
        <v>452</v>
      </c>
      <c r="B36" s="638" t="s">
        <v>128</v>
      </c>
      <c r="C36" s="350" t="s">
        <v>447</v>
      </c>
      <c r="D36" s="638" t="s">
        <v>447</v>
      </c>
      <c r="E36" s="638" t="s">
        <v>433</v>
      </c>
      <c r="F36" s="244">
        <v>0</v>
      </c>
      <c r="G36" s="244">
        <v>696449256</v>
      </c>
      <c r="H36" s="244">
        <v>696449256</v>
      </c>
      <c r="I36" s="244">
        <f t="shared" si="15"/>
        <v>0</v>
      </c>
      <c r="J36" s="244">
        <f t="shared" si="16"/>
        <v>696449.25600000005</v>
      </c>
      <c r="K36" s="244">
        <f t="shared" si="17"/>
        <v>696449.25600000005</v>
      </c>
      <c r="U36" s="350" t="s">
        <v>534</v>
      </c>
      <c r="V36" s="350" t="s">
        <v>537</v>
      </c>
      <c r="W36" s="350" t="s">
        <v>447</v>
      </c>
      <c r="X36" s="638" t="s">
        <v>447</v>
      </c>
      <c r="Y36" s="244">
        <v>278933000</v>
      </c>
      <c r="Z36" s="244">
        <v>0</v>
      </c>
      <c r="AA36" s="244">
        <v>0</v>
      </c>
      <c r="AB36" s="244">
        <f t="shared" si="19"/>
        <v>278933</v>
      </c>
      <c r="AC36" s="244">
        <f t="shared" si="20"/>
        <v>0</v>
      </c>
      <c r="AD36" s="244">
        <f t="shared" si="21"/>
        <v>0</v>
      </c>
      <c r="AO36" s="1238" t="s">
        <v>465</v>
      </c>
      <c r="AP36" s="1239" t="s">
        <v>466</v>
      </c>
      <c r="AQ36" s="1238" t="s">
        <v>447</v>
      </c>
      <c r="AR36" s="1239" t="s">
        <v>447</v>
      </c>
      <c r="AS36" s="1240">
        <v>300292000</v>
      </c>
      <c r="AT36" s="1240">
        <v>0</v>
      </c>
      <c r="AU36" s="1240">
        <v>0</v>
      </c>
      <c r="AV36" s="1240">
        <f t="shared" si="23"/>
        <v>300292</v>
      </c>
      <c r="AW36" s="1240">
        <f t="shared" si="24"/>
        <v>0</v>
      </c>
      <c r="AX36" s="1240">
        <f t="shared" si="25"/>
        <v>0</v>
      </c>
      <c r="BI36" s="1314" t="s">
        <v>438</v>
      </c>
      <c r="BJ36" s="1316" t="s">
        <v>335</v>
      </c>
      <c r="BK36" s="1314" t="s">
        <v>447</v>
      </c>
      <c r="BL36" s="1316" t="s">
        <v>447</v>
      </c>
      <c r="BM36" s="244">
        <v>0</v>
      </c>
      <c r="BN36" s="244">
        <v>0</v>
      </c>
      <c r="BO36" s="244">
        <v>0</v>
      </c>
      <c r="BP36" s="166">
        <f t="shared" si="27"/>
        <v>0</v>
      </c>
      <c r="BQ36" s="166">
        <f t="shared" si="28"/>
        <v>0</v>
      </c>
      <c r="BR36" s="166">
        <f t="shared" si="29"/>
        <v>0</v>
      </c>
      <c r="CB36" s="1316" t="s">
        <v>438</v>
      </c>
      <c r="CC36" s="1316" t="s">
        <v>335</v>
      </c>
      <c r="CD36" s="1316" t="s">
        <v>447</v>
      </c>
      <c r="CE36" s="1316" t="s">
        <v>447</v>
      </c>
      <c r="CF36" s="244">
        <v>0</v>
      </c>
      <c r="CG36" s="244">
        <v>0</v>
      </c>
      <c r="CH36" s="244">
        <v>0</v>
      </c>
      <c r="CI36" s="537">
        <f t="shared" si="31"/>
        <v>0</v>
      </c>
      <c r="CJ36" s="537">
        <f t="shared" si="32"/>
        <v>0</v>
      </c>
      <c r="CK36" s="537">
        <f t="shared" si="33"/>
        <v>0</v>
      </c>
      <c r="CV36" t="s">
        <v>438</v>
      </c>
      <c r="CW36" t="s">
        <v>335</v>
      </c>
      <c r="CX36" t="s">
        <v>462</v>
      </c>
      <c r="CY36" t="s">
        <v>633</v>
      </c>
      <c r="CZ36" s="166">
        <v>0</v>
      </c>
      <c r="DA36" s="166">
        <v>285000000</v>
      </c>
      <c r="DB36" s="166">
        <v>285000000</v>
      </c>
      <c r="DC36" s="166">
        <f t="shared" si="35"/>
        <v>0</v>
      </c>
      <c r="DD36" s="166">
        <f t="shared" si="36"/>
        <v>285000</v>
      </c>
      <c r="DE36" s="166">
        <f t="shared" si="37"/>
        <v>285000</v>
      </c>
      <c r="DO36" s="1472" t="s">
        <v>438</v>
      </c>
      <c r="DP36" s="1473" t="s">
        <v>335</v>
      </c>
      <c r="DQ36" s="1473" t="s">
        <v>439</v>
      </c>
      <c r="DR36" s="1473" t="s">
        <v>492</v>
      </c>
      <c r="DS36" s="1230">
        <v>0</v>
      </c>
      <c r="DT36" s="1230">
        <v>120000000</v>
      </c>
      <c r="DU36" s="1230">
        <v>120000000</v>
      </c>
      <c r="DV36" s="166">
        <f t="shared" si="42"/>
        <v>0</v>
      </c>
      <c r="DW36" s="166">
        <f t="shared" si="43"/>
        <v>120000</v>
      </c>
      <c r="DX36" s="166">
        <f t="shared" si="44"/>
        <v>120000</v>
      </c>
      <c r="EI36" s="1262" t="s">
        <v>438</v>
      </c>
      <c r="EJ36" s="1262" t="s">
        <v>335</v>
      </c>
      <c r="EK36" s="1266" t="s">
        <v>439</v>
      </c>
      <c r="EL36" s="1262" t="s">
        <v>492</v>
      </c>
      <c r="EM36" s="355">
        <v>0</v>
      </c>
      <c r="EN36" s="355">
        <v>120000000</v>
      </c>
      <c r="EO36" s="355">
        <v>120000000</v>
      </c>
      <c r="EP36" s="1687">
        <f t="shared" si="45"/>
        <v>0</v>
      </c>
      <c r="EQ36" s="1687">
        <f t="shared" si="46"/>
        <v>120000</v>
      </c>
      <c r="ER36" s="1687">
        <f t="shared" si="47"/>
        <v>120000</v>
      </c>
      <c r="FD36" s="1266" t="s">
        <v>438</v>
      </c>
      <c r="FE36" s="1266" t="s">
        <v>335</v>
      </c>
      <c r="FF36" s="1266" t="s">
        <v>439</v>
      </c>
      <c r="FG36" s="1266" t="s">
        <v>492</v>
      </c>
      <c r="FH36" s="1262" t="s">
        <v>433</v>
      </c>
      <c r="FI36" s="355">
        <v>0</v>
      </c>
      <c r="FJ36" s="355">
        <v>120000000</v>
      </c>
      <c r="FK36" s="355">
        <v>120000000</v>
      </c>
      <c r="FL36" s="166">
        <f t="shared" si="39"/>
        <v>0</v>
      </c>
      <c r="FM36" s="166">
        <f t="shared" si="40"/>
        <v>120000</v>
      </c>
      <c r="FN36" s="166">
        <f t="shared" si="41"/>
        <v>120000</v>
      </c>
    </row>
    <row r="37" spans="1:170" x14ac:dyDescent="0.35">
      <c r="U37" s="350" t="s">
        <v>534</v>
      </c>
      <c r="V37" s="350" t="s">
        <v>537</v>
      </c>
      <c r="W37" s="350" t="s">
        <v>447</v>
      </c>
      <c r="X37" s="638" t="s">
        <v>447</v>
      </c>
      <c r="Y37" s="244">
        <v>0</v>
      </c>
      <c r="Z37" s="244">
        <v>6750000</v>
      </c>
      <c r="AA37" s="244">
        <v>0</v>
      </c>
      <c r="AB37" s="244">
        <f t="shared" si="19"/>
        <v>0</v>
      </c>
      <c r="AC37" s="244">
        <f t="shared" si="20"/>
        <v>6750</v>
      </c>
      <c r="AD37" s="244">
        <f t="shared" si="21"/>
        <v>0</v>
      </c>
      <c r="AO37" s="1238" t="s">
        <v>465</v>
      </c>
      <c r="AP37" s="1239" t="s">
        <v>466</v>
      </c>
      <c r="AQ37" s="1238" t="s">
        <v>447</v>
      </c>
      <c r="AR37" s="1239" t="s">
        <v>447</v>
      </c>
      <c r="AS37" s="1240">
        <v>0</v>
      </c>
      <c r="AT37" s="1240">
        <v>130476599</v>
      </c>
      <c r="AU37" s="1240">
        <v>68269825</v>
      </c>
      <c r="AV37" s="1240">
        <f t="shared" si="23"/>
        <v>0</v>
      </c>
      <c r="AW37" s="1240">
        <f t="shared" si="24"/>
        <v>130476.599</v>
      </c>
      <c r="AX37" s="1240">
        <f t="shared" si="25"/>
        <v>68269.824999999997</v>
      </c>
      <c r="BI37" s="1314" t="s">
        <v>438</v>
      </c>
      <c r="BJ37" s="1316" t="s">
        <v>335</v>
      </c>
      <c r="BK37" s="1314" t="s">
        <v>499</v>
      </c>
      <c r="BL37" s="1316" t="s">
        <v>632</v>
      </c>
      <c r="BM37" s="244">
        <v>0</v>
      </c>
      <c r="BN37" s="244">
        <v>258663100</v>
      </c>
      <c r="BO37" s="244">
        <v>149200000</v>
      </c>
      <c r="BP37" s="166">
        <f t="shared" si="27"/>
        <v>0</v>
      </c>
      <c r="BQ37" s="166">
        <f t="shared" si="28"/>
        <v>258663.1</v>
      </c>
      <c r="BR37" s="166">
        <f t="shared" si="29"/>
        <v>149200</v>
      </c>
      <c r="CB37" s="1316" t="s">
        <v>438</v>
      </c>
      <c r="CC37" s="1316" t="s">
        <v>335</v>
      </c>
      <c r="CD37" s="1316" t="s">
        <v>447</v>
      </c>
      <c r="CE37" s="1316" t="s">
        <v>447</v>
      </c>
      <c r="CF37" s="244">
        <v>0</v>
      </c>
      <c r="CG37" s="244">
        <v>0</v>
      </c>
      <c r="CH37" s="244">
        <v>0</v>
      </c>
      <c r="CI37" s="537">
        <f t="shared" si="31"/>
        <v>0</v>
      </c>
      <c r="CJ37" s="537">
        <f t="shared" si="32"/>
        <v>0</v>
      </c>
      <c r="CK37" s="537">
        <f t="shared" si="33"/>
        <v>0</v>
      </c>
      <c r="CV37" t="s">
        <v>438</v>
      </c>
      <c r="CW37" t="s">
        <v>335</v>
      </c>
      <c r="CX37" t="s">
        <v>629</v>
      </c>
      <c r="CY37" t="s">
        <v>630</v>
      </c>
      <c r="CZ37" s="166">
        <v>0</v>
      </c>
      <c r="DA37" s="166">
        <v>3120000</v>
      </c>
      <c r="DB37" s="166">
        <v>1560000</v>
      </c>
      <c r="DC37" s="166">
        <f t="shared" si="35"/>
        <v>0</v>
      </c>
      <c r="DD37" s="166">
        <f t="shared" si="36"/>
        <v>3120</v>
      </c>
      <c r="DE37" s="166">
        <f t="shared" si="37"/>
        <v>1560</v>
      </c>
      <c r="DO37" s="1472" t="s">
        <v>438</v>
      </c>
      <c r="DP37" s="1473" t="s">
        <v>335</v>
      </c>
      <c r="DQ37" s="1473" t="s">
        <v>629</v>
      </c>
      <c r="DR37" s="1473" t="s">
        <v>630</v>
      </c>
      <c r="DS37" s="1230">
        <v>0</v>
      </c>
      <c r="DT37" s="1230">
        <v>3120000</v>
      </c>
      <c r="DU37" s="1230">
        <v>1560000</v>
      </c>
      <c r="DV37" s="166">
        <f t="shared" si="42"/>
        <v>0</v>
      </c>
      <c r="DW37" s="166">
        <f t="shared" si="43"/>
        <v>3120</v>
      </c>
      <c r="DX37" s="166">
        <f t="shared" si="44"/>
        <v>1560</v>
      </c>
      <c r="EI37" s="1262" t="s">
        <v>438</v>
      </c>
      <c r="EJ37" s="1262" t="s">
        <v>335</v>
      </c>
      <c r="EK37" s="1266" t="s">
        <v>629</v>
      </c>
      <c r="EL37" s="1262" t="s">
        <v>630</v>
      </c>
      <c r="EM37" s="355">
        <v>0</v>
      </c>
      <c r="EN37" s="355">
        <v>3120000</v>
      </c>
      <c r="EO37" s="355">
        <v>2340000</v>
      </c>
      <c r="EP37" s="1687">
        <f t="shared" si="45"/>
        <v>0</v>
      </c>
      <c r="EQ37" s="1687">
        <f t="shared" si="46"/>
        <v>3120</v>
      </c>
      <c r="ER37" s="1687">
        <f t="shared" si="47"/>
        <v>2340</v>
      </c>
      <c r="FD37" s="1266" t="s">
        <v>438</v>
      </c>
      <c r="FE37" s="1266" t="s">
        <v>335</v>
      </c>
      <c r="FF37" s="1266" t="s">
        <v>462</v>
      </c>
      <c r="FG37" s="1266" t="s">
        <v>633</v>
      </c>
      <c r="FH37" s="1262" t="s">
        <v>433</v>
      </c>
      <c r="FI37" s="355">
        <v>0</v>
      </c>
      <c r="FJ37" s="355">
        <v>285000000</v>
      </c>
      <c r="FK37" s="355">
        <v>285000000</v>
      </c>
      <c r="FL37" s="166">
        <f t="shared" si="39"/>
        <v>0</v>
      </c>
      <c r="FM37" s="166">
        <f t="shared" si="40"/>
        <v>285000</v>
      </c>
      <c r="FN37" s="166">
        <f t="shared" si="41"/>
        <v>285000</v>
      </c>
    </row>
    <row r="38" spans="1:170" x14ac:dyDescent="0.35">
      <c r="U38" s="350" t="s">
        <v>672</v>
      </c>
      <c r="V38" s="350" t="s">
        <v>673</v>
      </c>
      <c r="W38" s="350" t="s">
        <v>447</v>
      </c>
      <c r="X38" s="638" t="s">
        <v>447</v>
      </c>
      <c r="Y38" s="244">
        <v>35000000</v>
      </c>
      <c r="Z38" s="244">
        <v>0</v>
      </c>
      <c r="AA38" s="244">
        <v>0</v>
      </c>
      <c r="AB38" s="244">
        <f t="shared" si="19"/>
        <v>35000</v>
      </c>
      <c r="AC38" s="244">
        <f t="shared" si="20"/>
        <v>0</v>
      </c>
      <c r="AD38" s="244">
        <f t="shared" si="21"/>
        <v>0</v>
      </c>
      <c r="AO38" s="1238" t="s">
        <v>534</v>
      </c>
      <c r="AP38" s="1239" t="s">
        <v>537</v>
      </c>
      <c r="AQ38" s="1238" t="s">
        <v>447</v>
      </c>
      <c r="AR38" s="1239" t="s">
        <v>447</v>
      </c>
      <c r="AS38" s="1240">
        <v>278933000</v>
      </c>
      <c r="AT38" s="1240">
        <v>0</v>
      </c>
      <c r="AU38" s="1240">
        <v>0</v>
      </c>
      <c r="AV38" s="1240">
        <f t="shared" si="23"/>
        <v>278933</v>
      </c>
      <c r="AW38" s="1240">
        <f t="shared" si="24"/>
        <v>0</v>
      </c>
      <c r="AX38" s="1240">
        <f t="shared" si="25"/>
        <v>0</v>
      </c>
      <c r="BI38" s="1314" t="s">
        <v>463</v>
      </c>
      <c r="BJ38" s="1316" t="s">
        <v>464</v>
      </c>
      <c r="BK38" s="1314" t="s">
        <v>447</v>
      </c>
      <c r="BL38" s="1316" t="s">
        <v>447</v>
      </c>
      <c r="BM38" s="244">
        <v>520000000</v>
      </c>
      <c r="BN38" s="244">
        <v>0</v>
      </c>
      <c r="BO38" s="244">
        <v>0</v>
      </c>
      <c r="BP38" s="166">
        <f t="shared" si="27"/>
        <v>520000</v>
      </c>
      <c r="BQ38" s="166">
        <f t="shared" si="28"/>
        <v>0</v>
      </c>
      <c r="BR38" s="166">
        <f t="shared" si="29"/>
        <v>0</v>
      </c>
      <c r="CB38" s="1316" t="s">
        <v>438</v>
      </c>
      <c r="CC38" s="1316" t="s">
        <v>335</v>
      </c>
      <c r="CD38" s="1316" t="s">
        <v>499</v>
      </c>
      <c r="CE38" s="1316" t="s">
        <v>632</v>
      </c>
      <c r="CF38" s="244">
        <v>0</v>
      </c>
      <c r="CG38" s="244">
        <v>398663100</v>
      </c>
      <c r="CH38" s="244">
        <v>288600000</v>
      </c>
      <c r="CI38" s="537">
        <f t="shared" si="31"/>
        <v>0</v>
      </c>
      <c r="CJ38" s="537">
        <f t="shared" si="32"/>
        <v>398663.1</v>
      </c>
      <c r="CK38" s="537">
        <f t="shared" si="33"/>
        <v>288600</v>
      </c>
      <c r="CV38" t="s">
        <v>438</v>
      </c>
      <c r="CW38" t="s">
        <v>335</v>
      </c>
      <c r="CX38" t="s">
        <v>447</v>
      </c>
      <c r="CY38" t="s">
        <v>447</v>
      </c>
      <c r="CZ38" s="166">
        <v>0</v>
      </c>
      <c r="DA38" s="166">
        <v>0</v>
      </c>
      <c r="DB38" s="166">
        <v>0</v>
      </c>
      <c r="DC38" s="166">
        <f t="shared" si="35"/>
        <v>0</v>
      </c>
      <c r="DD38" s="166">
        <f t="shared" si="36"/>
        <v>0</v>
      </c>
      <c r="DE38" s="166">
        <f t="shared" si="37"/>
        <v>0</v>
      </c>
      <c r="DO38" s="1472" t="s">
        <v>438</v>
      </c>
      <c r="DP38" s="1473" t="s">
        <v>335</v>
      </c>
      <c r="DQ38" s="1473" t="s">
        <v>447</v>
      </c>
      <c r="DR38" s="1473" t="s">
        <v>447</v>
      </c>
      <c r="DS38" s="1230">
        <v>0</v>
      </c>
      <c r="DT38" s="1230">
        <v>0</v>
      </c>
      <c r="DU38" s="1230">
        <v>0</v>
      </c>
      <c r="DV38" s="166">
        <f t="shared" si="42"/>
        <v>0</v>
      </c>
      <c r="DW38" s="166">
        <f t="shared" si="43"/>
        <v>0</v>
      </c>
      <c r="DX38" s="166">
        <f t="shared" si="44"/>
        <v>0</v>
      </c>
      <c r="EI38" s="1262" t="s">
        <v>438</v>
      </c>
      <c r="EJ38" s="1262" t="s">
        <v>335</v>
      </c>
      <c r="EK38" s="1266" t="s">
        <v>447</v>
      </c>
      <c r="EL38" s="1262" t="s">
        <v>447</v>
      </c>
      <c r="EM38" s="355">
        <v>0</v>
      </c>
      <c r="EN38" s="355">
        <v>0</v>
      </c>
      <c r="EO38" s="355">
        <v>0</v>
      </c>
      <c r="EP38" s="1687">
        <f t="shared" si="45"/>
        <v>0</v>
      </c>
      <c r="EQ38" s="1687">
        <f t="shared" si="46"/>
        <v>0</v>
      </c>
      <c r="ER38" s="1687">
        <f t="shared" si="47"/>
        <v>0</v>
      </c>
      <c r="FD38" s="1266" t="s">
        <v>438</v>
      </c>
      <c r="FE38" s="1266" t="s">
        <v>335</v>
      </c>
      <c r="FF38" s="1266" t="s">
        <v>499</v>
      </c>
      <c r="FG38" s="1266" t="s">
        <v>632</v>
      </c>
      <c r="FH38" s="1262" t="s">
        <v>433</v>
      </c>
      <c r="FI38" s="355">
        <v>0</v>
      </c>
      <c r="FJ38" s="355">
        <v>458663100</v>
      </c>
      <c r="FK38" s="355">
        <v>250600000</v>
      </c>
      <c r="FL38" s="166">
        <f t="shared" si="39"/>
        <v>0</v>
      </c>
      <c r="FM38" s="166">
        <f t="shared" si="40"/>
        <v>458663.1</v>
      </c>
      <c r="FN38" s="166">
        <f t="shared" si="41"/>
        <v>250600</v>
      </c>
    </row>
    <row r="39" spans="1:170" x14ac:dyDescent="0.35">
      <c r="U39" s="350" t="s">
        <v>674</v>
      </c>
      <c r="V39" s="350" t="s">
        <v>675</v>
      </c>
      <c r="W39" s="350" t="s">
        <v>447</v>
      </c>
      <c r="X39" s="638" t="s">
        <v>447</v>
      </c>
      <c r="Y39" s="244">
        <v>50000000</v>
      </c>
      <c r="Z39" s="244">
        <v>0</v>
      </c>
      <c r="AA39" s="244">
        <v>0</v>
      </c>
      <c r="AB39" s="244">
        <f t="shared" si="19"/>
        <v>50000</v>
      </c>
      <c r="AC39" s="244">
        <f t="shared" si="20"/>
        <v>0</v>
      </c>
      <c r="AD39" s="244">
        <f t="shared" si="21"/>
        <v>0</v>
      </c>
      <c r="AO39" s="1238" t="s">
        <v>534</v>
      </c>
      <c r="AP39" s="1239" t="s">
        <v>537</v>
      </c>
      <c r="AQ39" s="1238" t="s">
        <v>447</v>
      </c>
      <c r="AR39" s="1239" t="s">
        <v>447</v>
      </c>
      <c r="AS39" s="1240">
        <v>0</v>
      </c>
      <c r="AT39" s="1240">
        <v>6750000</v>
      </c>
      <c r="AU39" s="1240">
        <v>0</v>
      </c>
      <c r="AV39" s="1240">
        <f t="shared" si="23"/>
        <v>0</v>
      </c>
      <c r="AW39" s="1240">
        <f t="shared" si="24"/>
        <v>6750</v>
      </c>
      <c r="AX39" s="1240">
        <f t="shared" si="25"/>
        <v>0</v>
      </c>
      <c r="BI39" s="1314" t="s">
        <v>465</v>
      </c>
      <c r="BJ39" s="1316" t="s">
        <v>466</v>
      </c>
      <c r="BK39" s="1314" t="s">
        <v>447</v>
      </c>
      <c r="BL39" s="1316" t="s">
        <v>447</v>
      </c>
      <c r="BM39" s="244">
        <v>300292000</v>
      </c>
      <c r="BN39" s="244">
        <v>0</v>
      </c>
      <c r="BO39" s="244">
        <v>0</v>
      </c>
      <c r="BP39" s="166">
        <f t="shared" si="27"/>
        <v>300292</v>
      </c>
      <c r="BQ39" s="166">
        <f t="shared" si="28"/>
        <v>0</v>
      </c>
      <c r="BR39" s="166">
        <f t="shared" si="29"/>
        <v>0</v>
      </c>
      <c r="CB39" s="1316" t="s">
        <v>544</v>
      </c>
      <c r="CC39" s="1316" t="s">
        <v>545</v>
      </c>
      <c r="CD39" s="1316" t="s">
        <v>447</v>
      </c>
      <c r="CE39" s="1316" t="s">
        <v>447</v>
      </c>
      <c r="CF39" s="244">
        <v>0</v>
      </c>
      <c r="CG39" s="244">
        <v>47802257</v>
      </c>
      <c r="CH39" s="244">
        <v>47802257</v>
      </c>
      <c r="CI39" s="537">
        <f t="shared" si="31"/>
        <v>0</v>
      </c>
      <c r="CJ39" s="537">
        <f t="shared" si="32"/>
        <v>47802.256999999998</v>
      </c>
      <c r="CK39" s="537">
        <f t="shared" si="33"/>
        <v>47802.256999999998</v>
      </c>
      <c r="CV39" t="s">
        <v>438</v>
      </c>
      <c r="CW39" t="s">
        <v>335</v>
      </c>
      <c r="CX39" t="s">
        <v>499</v>
      </c>
      <c r="CY39" t="s">
        <v>632</v>
      </c>
      <c r="CZ39" s="166">
        <v>0</v>
      </c>
      <c r="DA39" s="166">
        <v>278663100</v>
      </c>
      <c r="DB39" s="166">
        <v>180600000</v>
      </c>
      <c r="DC39" s="166">
        <f t="shared" si="35"/>
        <v>0</v>
      </c>
      <c r="DD39" s="166">
        <f t="shared" si="36"/>
        <v>278663.09999999998</v>
      </c>
      <c r="DE39" s="166">
        <f t="shared" si="37"/>
        <v>180600</v>
      </c>
      <c r="DO39" s="1472" t="s">
        <v>438</v>
      </c>
      <c r="DP39" s="1473" t="s">
        <v>335</v>
      </c>
      <c r="DQ39" s="1473" t="s">
        <v>447</v>
      </c>
      <c r="DR39" s="1473" t="s">
        <v>447</v>
      </c>
      <c r="DS39" s="1230">
        <v>0</v>
      </c>
      <c r="DT39" s="1230">
        <v>0</v>
      </c>
      <c r="DU39" s="1230">
        <v>0</v>
      </c>
      <c r="DV39" s="166">
        <f t="shared" si="42"/>
        <v>0</v>
      </c>
      <c r="DW39" s="166">
        <f t="shared" si="43"/>
        <v>0</v>
      </c>
      <c r="DX39" s="166">
        <f t="shared" si="44"/>
        <v>0</v>
      </c>
      <c r="EI39" s="1262" t="s">
        <v>438</v>
      </c>
      <c r="EJ39" s="1262" t="s">
        <v>335</v>
      </c>
      <c r="EK39" s="1266" t="s">
        <v>462</v>
      </c>
      <c r="EL39" s="1262" t="s">
        <v>633</v>
      </c>
      <c r="EM39" s="355">
        <v>0</v>
      </c>
      <c r="EN39" s="355">
        <v>285000000</v>
      </c>
      <c r="EO39" s="355">
        <v>285000000</v>
      </c>
      <c r="EP39" s="1687">
        <f t="shared" si="45"/>
        <v>0</v>
      </c>
      <c r="EQ39" s="1687">
        <f t="shared" si="46"/>
        <v>285000</v>
      </c>
      <c r="ER39" s="1687">
        <f t="shared" si="47"/>
        <v>285000</v>
      </c>
      <c r="FD39" s="1266" t="s">
        <v>438</v>
      </c>
      <c r="FE39" s="1266" t="s">
        <v>335</v>
      </c>
      <c r="FF39" s="1266" t="s">
        <v>447</v>
      </c>
      <c r="FG39" s="1266" t="s">
        <v>447</v>
      </c>
      <c r="FH39" s="1262" t="s">
        <v>433</v>
      </c>
      <c r="FI39" s="355">
        <v>0</v>
      </c>
      <c r="FJ39" s="355">
        <v>0</v>
      </c>
      <c r="FK39" s="355">
        <v>0</v>
      </c>
      <c r="FL39" s="166">
        <f t="shared" si="39"/>
        <v>0</v>
      </c>
      <c r="FM39" s="166">
        <f t="shared" si="40"/>
        <v>0</v>
      </c>
      <c r="FN39" s="166">
        <f t="shared" si="41"/>
        <v>0</v>
      </c>
    </row>
    <row r="40" spans="1:170" x14ac:dyDescent="0.35">
      <c r="U40" s="350" t="s">
        <v>452</v>
      </c>
      <c r="V40" s="350" t="s">
        <v>128</v>
      </c>
      <c r="W40" s="350" t="s">
        <v>447</v>
      </c>
      <c r="X40" s="638" t="s">
        <v>447</v>
      </c>
      <c r="Y40" s="244">
        <v>10000</v>
      </c>
      <c r="Z40" s="244">
        <v>0</v>
      </c>
      <c r="AA40" s="244">
        <v>0</v>
      </c>
      <c r="AB40" s="244">
        <f t="shared" si="19"/>
        <v>10</v>
      </c>
      <c r="AC40" s="244">
        <f t="shared" si="20"/>
        <v>0</v>
      </c>
      <c r="AD40" s="244">
        <f t="shared" si="21"/>
        <v>0</v>
      </c>
      <c r="AO40" s="1238" t="s">
        <v>672</v>
      </c>
      <c r="AP40" s="1239" t="s">
        <v>673</v>
      </c>
      <c r="AQ40" s="1238" t="s">
        <v>447</v>
      </c>
      <c r="AR40" s="1239" t="s">
        <v>447</v>
      </c>
      <c r="AS40" s="1240">
        <v>35000000</v>
      </c>
      <c r="AT40" s="1240">
        <v>0</v>
      </c>
      <c r="AU40" s="1240">
        <v>0</v>
      </c>
      <c r="AV40" s="1240">
        <f t="shared" si="23"/>
        <v>35000</v>
      </c>
      <c r="AW40" s="1240">
        <f t="shared" si="24"/>
        <v>0</v>
      </c>
      <c r="AX40" s="1240">
        <f t="shared" si="25"/>
        <v>0</v>
      </c>
      <c r="BI40" s="1314" t="s">
        <v>465</v>
      </c>
      <c r="BJ40" s="1316" t="s">
        <v>466</v>
      </c>
      <c r="BK40" s="1314" t="s">
        <v>447</v>
      </c>
      <c r="BL40" s="1316" t="s">
        <v>447</v>
      </c>
      <c r="BM40" s="244">
        <v>0</v>
      </c>
      <c r="BN40" s="244">
        <v>173893030</v>
      </c>
      <c r="BO40" s="244">
        <v>68269825</v>
      </c>
      <c r="BP40" s="166">
        <f t="shared" si="27"/>
        <v>0</v>
      </c>
      <c r="BQ40" s="166">
        <f t="shared" si="28"/>
        <v>173893.03</v>
      </c>
      <c r="BR40" s="166">
        <f t="shared" si="29"/>
        <v>68269.824999999997</v>
      </c>
      <c r="CB40" s="1316" t="s">
        <v>544</v>
      </c>
      <c r="CC40" s="1316" t="s">
        <v>545</v>
      </c>
      <c r="CD40" s="1316" t="s">
        <v>447</v>
      </c>
      <c r="CE40" s="1316" t="s">
        <v>447</v>
      </c>
      <c r="CF40" s="244">
        <v>0</v>
      </c>
      <c r="CG40" s="244">
        <v>0</v>
      </c>
      <c r="CH40" s="244">
        <v>0</v>
      </c>
      <c r="CI40" s="537">
        <f t="shared" si="31"/>
        <v>0</v>
      </c>
      <c r="CJ40" s="537">
        <f t="shared" si="32"/>
        <v>0</v>
      </c>
      <c r="CK40" s="537">
        <f t="shared" si="33"/>
        <v>0</v>
      </c>
      <c r="CV40" t="s">
        <v>544</v>
      </c>
      <c r="CW40" t="s">
        <v>545</v>
      </c>
      <c r="CX40" t="s">
        <v>447</v>
      </c>
      <c r="CY40" t="s">
        <v>447</v>
      </c>
      <c r="CZ40" s="166">
        <v>0</v>
      </c>
      <c r="DA40" s="166">
        <v>47802257</v>
      </c>
      <c r="DB40" s="166">
        <v>47802257</v>
      </c>
      <c r="DC40" s="166">
        <f t="shared" si="35"/>
        <v>0</v>
      </c>
      <c r="DD40" s="166">
        <f t="shared" si="36"/>
        <v>47802.256999999998</v>
      </c>
      <c r="DE40" s="166">
        <f t="shared" si="37"/>
        <v>47802.256999999998</v>
      </c>
      <c r="DO40" s="1486" t="s">
        <v>1050</v>
      </c>
      <c r="DP40" s="1487" t="s">
        <v>51</v>
      </c>
      <c r="DQ40" s="1487" t="s">
        <v>447</v>
      </c>
      <c r="DR40" s="1487" t="s">
        <v>447</v>
      </c>
      <c r="DS40" s="1488">
        <v>0</v>
      </c>
      <c r="DT40" s="1488">
        <v>0</v>
      </c>
      <c r="DU40" s="1488">
        <v>0</v>
      </c>
      <c r="DV40" s="1489">
        <f t="shared" si="42"/>
        <v>0</v>
      </c>
      <c r="DW40" s="1489">
        <f t="shared" si="43"/>
        <v>0</v>
      </c>
      <c r="DX40" s="1489">
        <f t="shared" si="44"/>
        <v>0</v>
      </c>
      <c r="EI40" s="1262" t="s">
        <v>438</v>
      </c>
      <c r="EJ40" s="1262" t="s">
        <v>335</v>
      </c>
      <c r="EK40" s="1266" t="s">
        <v>447</v>
      </c>
      <c r="EL40" s="1262" t="s">
        <v>447</v>
      </c>
      <c r="EM40" s="355">
        <v>0</v>
      </c>
      <c r="EN40" s="355">
        <v>0</v>
      </c>
      <c r="EO40" s="355">
        <v>0</v>
      </c>
      <c r="EP40" s="1687">
        <f t="shared" si="45"/>
        <v>0</v>
      </c>
      <c r="EQ40" s="1687">
        <f t="shared" si="46"/>
        <v>0</v>
      </c>
      <c r="ER40" s="1687">
        <f t="shared" si="47"/>
        <v>0</v>
      </c>
      <c r="FD40" s="1266" t="s">
        <v>438</v>
      </c>
      <c r="FE40" s="1266" t="s">
        <v>335</v>
      </c>
      <c r="FF40" s="1266" t="s">
        <v>447</v>
      </c>
      <c r="FG40" s="1266" t="s">
        <v>447</v>
      </c>
      <c r="FH40" s="1262" t="s">
        <v>433</v>
      </c>
      <c r="FI40" s="355">
        <v>0</v>
      </c>
      <c r="FJ40" s="355">
        <v>0</v>
      </c>
      <c r="FK40" s="355">
        <v>0</v>
      </c>
      <c r="FL40" s="166">
        <f t="shared" si="39"/>
        <v>0</v>
      </c>
      <c r="FM40" s="166">
        <f t="shared" si="40"/>
        <v>0</v>
      </c>
      <c r="FN40" s="166">
        <f t="shared" si="41"/>
        <v>0</v>
      </c>
    </row>
    <row r="41" spans="1:170" x14ac:dyDescent="0.35">
      <c r="U41" s="350" t="s">
        <v>452</v>
      </c>
      <c r="V41" s="350" t="s">
        <v>128</v>
      </c>
      <c r="W41" s="350" t="s">
        <v>447</v>
      </c>
      <c r="X41" s="638" t="s">
        <v>447</v>
      </c>
      <c r="Y41" s="244">
        <v>0</v>
      </c>
      <c r="Z41" s="244">
        <v>696449256</v>
      </c>
      <c r="AA41" s="244">
        <v>696449256</v>
      </c>
      <c r="AB41" s="244">
        <f t="shared" si="19"/>
        <v>0</v>
      </c>
      <c r="AC41" s="244">
        <f t="shared" si="20"/>
        <v>696449.25600000005</v>
      </c>
      <c r="AD41" s="244">
        <f t="shared" si="21"/>
        <v>696449.25600000005</v>
      </c>
      <c r="AO41" s="1238" t="s">
        <v>674</v>
      </c>
      <c r="AP41" s="1239" t="s">
        <v>675</v>
      </c>
      <c r="AQ41" s="1238" t="s">
        <v>447</v>
      </c>
      <c r="AR41" s="1239" t="s">
        <v>447</v>
      </c>
      <c r="AS41" s="1240">
        <v>50000000</v>
      </c>
      <c r="AT41" s="1240">
        <v>0</v>
      </c>
      <c r="AU41" s="1240">
        <v>0</v>
      </c>
      <c r="AV41" s="1240">
        <f t="shared" si="23"/>
        <v>50000</v>
      </c>
      <c r="AW41" s="1240">
        <f t="shared" si="24"/>
        <v>0</v>
      </c>
      <c r="AX41" s="1240">
        <f t="shared" si="25"/>
        <v>0</v>
      </c>
      <c r="BI41" s="1314" t="s">
        <v>534</v>
      </c>
      <c r="BJ41" s="1316" t="s">
        <v>537</v>
      </c>
      <c r="BK41" s="1314" t="s">
        <v>447</v>
      </c>
      <c r="BL41" s="1316" t="s">
        <v>447</v>
      </c>
      <c r="BM41" s="244">
        <v>278933000</v>
      </c>
      <c r="BN41" s="244">
        <v>0</v>
      </c>
      <c r="BO41" s="244">
        <v>0</v>
      </c>
      <c r="BP41" s="166">
        <f t="shared" si="27"/>
        <v>278933</v>
      </c>
      <c r="BQ41" s="166">
        <f t="shared" si="28"/>
        <v>0</v>
      </c>
      <c r="BR41" s="166">
        <f t="shared" si="29"/>
        <v>0</v>
      </c>
      <c r="CB41" s="1316" t="s">
        <v>463</v>
      </c>
      <c r="CC41" s="1316" t="s">
        <v>464</v>
      </c>
      <c r="CD41" s="1316" t="s">
        <v>447</v>
      </c>
      <c r="CE41" s="1316" t="s">
        <v>447</v>
      </c>
      <c r="CF41" s="244">
        <v>520000000</v>
      </c>
      <c r="CG41" s="244">
        <v>0</v>
      </c>
      <c r="CH41" s="244">
        <v>0</v>
      </c>
      <c r="CI41" s="537">
        <f t="shared" si="31"/>
        <v>520000</v>
      </c>
      <c r="CJ41" s="537">
        <f t="shared" si="32"/>
        <v>0</v>
      </c>
      <c r="CK41" s="537">
        <f t="shared" si="33"/>
        <v>0</v>
      </c>
      <c r="CV41" t="s">
        <v>544</v>
      </c>
      <c r="CW41" t="s">
        <v>545</v>
      </c>
      <c r="CX41" t="s">
        <v>447</v>
      </c>
      <c r="CY41" t="s">
        <v>447</v>
      </c>
      <c r="CZ41" s="166">
        <v>0</v>
      </c>
      <c r="DA41" s="166">
        <v>0</v>
      </c>
      <c r="DB41" s="166">
        <v>0</v>
      </c>
      <c r="DC41" s="166">
        <f t="shared" si="35"/>
        <v>0</v>
      </c>
      <c r="DD41" s="166">
        <f t="shared" si="36"/>
        <v>0</v>
      </c>
      <c r="DE41" s="166">
        <f t="shared" si="37"/>
        <v>0</v>
      </c>
      <c r="DO41" s="1486" t="s">
        <v>1050</v>
      </c>
      <c r="DP41" s="1487" t="s">
        <v>51</v>
      </c>
      <c r="DQ41" s="1487" t="s">
        <v>447</v>
      </c>
      <c r="DR41" s="1487" t="s">
        <v>447</v>
      </c>
      <c r="DS41" s="1488">
        <v>0</v>
      </c>
      <c r="DT41" s="1488">
        <v>48266357</v>
      </c>
      <c r="DU41" s="1488">
        <v>48266357</v>
      </c>
      <c r="DV41" s="1489">
        <f t="shared" si="42"/>
        <v>0</v>
      </c>
      <c r="DW41" s="1489">
        <f t="shared" si="43"/>
        <v>48266.357000000004</v>
      </c>
      <c r="DX41" s="1489">
        <f t="shared" si="44"/>
        <v>48266.357000000004</v>
      </c>
      <c r="EI41" s="1262" t="s">
        <v>438</v>
      </c>
      <c r="EJ41" s="1262" t="s">
        <v>335</v>
      </c>
      <c r="EK41" s="1266" t="s">
        <v>488</v>
      </c>
      <c r="EL41" s="1262" t="s">
        <v>631</v>
      </c>
      <c r="EM41" s="355">
        <v>0</v>
      </c>
      <c r="EN41" s="355">
        <v>150000000</v>
      </c>
      <c r="EO41" s="355">
        <v>150000000</v>
      </c>
      <c r="EP41" s="1687">
        <f t="shared" si="45"/>
        <v>0</v>
      </c>
      <c r="EQ41" s="1687">
        <f t="shared" si="46"/>
        <v>150000</v>
      </c>
      <c r="ER41" s="1687">
        <f t="shared" si="47"/>
        <v>150000</v>
      </c>
      <c r="FD41" s="1266" t="s">
        <v>438</v>
      </c>
      <c r="FE41" s="1266" t="s">
        <v>335</v>
      </c>
      <c r="FF41" s="1266" t="s">
        <v>488</v>
      </c>
      <c r="FG41" s="1266" t="s">
        <v>631</v>
      </c>
      <c r="FH41" s="1262" t="s">
        <v>433</v>
      </c>
      <c r="FI41" s="355">
        <v>0</v>
      </c>
      <c r="FJ41" s="355">
        <v>150000000</v>
      </c>
      <c r="FK41" s="355">
        <v>150000000</v>
      </c>
      <c r="FL41" s="166">
        <f t="shared" si="39"/>
        <v>0</v>
      </c>
      <c r="FM41" s="166">
        <f t="shared" si="40"/>
        <v>150000</v>
      </c>
      <c r="FN41" s="166">
        <f t="shared" si="41"/>
        <v>150000</v>
      </c>
    </row>
    <row r="42" spans="1:170" x14ac:dyDescent="0.35">
      <c r="AO42" s="1238" t="s">
        <v>452</v>
      </c>
      <c r="AP42" s="1239" t="s">
        <v>128</v>
      </c>
      <c r="AQ42" s="1238" t="s">
        <v>447</v>
      </c>
      <c r="AR42" s="1239" t="s">
        <v>447</v>
      </c>
      <c r="AS42" s="1240">
        <v>696450000</v>
      </c>
      <c r="AT42" s="1240">
        <v>0</v>
      </c>
      <c r="AU42" s="1240">
        <v>0</v>
      </c>
      <c r="AV42" s="1240">
        <f t="shared" si="23"/>
        <v>696450</v>
      </c>
      <c r="AW42" s="1240">
        <f t="shared" si="24"/>
        <v>0</v>
      </c>
      <c r="AX42" s="1240">
        <f t="shared" si="25"/>
        <v>0</v>
      </c>
      <c r="BI42" s="1314" t="s">
        <v>534</v>
      </c>
      <c r="BJ42" s="1316" t="s">
        <v>537</v>
      </c>
      <c r="BK42" s="1314" t="s">
        <v>447</v>
      </c>
      <c r="BL42" s="1316" t="s">
        <v>447</v>
      </c>
      <c r="BM42" s="244">
        <v>0</v>
      </c>
      <c r="BN42" s="244">
        <v>6750000</v>
      </c>
      <c r="BO42" s="244">
        <v>0</v>
      </c>
      <c r="BP42" s="166">
        <f t="shared" si="27"/>
        <v>0</v>
      </c>
      <c r="BQ42" s="166">
        <f t="shared" si="28"/>
        <v>6750</v>
      </c>
      <c r="BR42" s="166">
        <f t="shared" si="29"/>
        <v>0</v>
      </c>
      <c r="CB42" s="1316" t="s">
        <v>465</v>
      </c>
      <c r="CC42" s="1316" t="s">
        <v>466</v>
      </c>
      <c r="CD42" s="1316" t="s">
        <v>447</v>
      </c>
      <c r="CE42" s="1316" t="s">
        <v>447</v>
      </c>
      <c r="CF42" s="244">
        <v>300292000</v>
      </c>
      <c r="CG42" s="244">
        <v>0</v>
      </c>
      <c r="CH42" s="244">
        <v>0</v>
      </c>
      <c r="CI42" s="537">
        <f t="shared" si="31"/>
        <v>300292</v>
      </c>
      <c r="CJ42" s="537">
        <f t="shared" si="32"/>
        <v>0</v>
      </c>
      <c r="CK42" s="537">
        <f t="shared" si="33"/>
        <v>0</v>
      </c>
      <c r="CV42" t="s">
        <v>463</v>
      </c>
      <c r="CW42" t="s">
        <v>464</v>
      </c>
      <c r="CX42" t="s">
        <v>447</v>
      </c>
      <c r="CY42" t="s">
        <v>447</v>
      </c>
      <c r="CZ42" s="166">
        <v>520000000</v>
      </c>
      <c r="DA42" s="166">
        <v>0</v>
      </c>
      <c r="DB42" s="166">
        <v>0</v>
      </c>
      <c r="DC42" s="166">
        <f t="shared" si="35"/>
        <v>520000</v>
      </c>
      <c r="DD42" s="166">
        <f t="shared" si="36"/>
        <v>0</v>
      </c>
      <c r="DE42" s="166">
        <f t="shared" si="37"/>
        <v>0</v>
      </c>
      <c r="DO42" s="1472" t="s">
        <v>463</v>
      </c>
      <c r="DP42" s="1473" t="s">
        <v>464</v>
      </c>
      <c r="DQ42" s="1473" t="s">
        <v>447</v>
      </c>
      <c r="DR42" s="1473" t="s">
        <v>447</v>
      </c>
      <c r="DS42" s="1230">
        <v>300000000</v>
      </c>
      <c r="DT42" s="1230">
        <v>0</v>
      </c>
      <c r="DU42" s="1230">
        <v>0</v>
      </c>
      <c r="DV42" s="166">
        <f t="shared" si="42"/>
        <v>300000</v>
      </c>
      <c r="DW42" s="166">
        <f t="shared" si="43"/>
        <v>0</v>
      </c>
      <c r="DX42" s="166">
        <f t="shared" si="44"/>
        <v>0</v>
      </c>
      <c r="EI42" s="1262" t="s">
        <v>1050</v>
      </c>
      <c r="EJ42" s="1262" t="s">
        <v>51</v>
      </c>
      <c r="EK42" s="1266" t="s">
        <v>447</v>
      </c>
      <c r="EL42" s="1262" t="s">
        <v>447</v>
      </c>
      <c r="EM42" s="355">
        <v>0</v>
      </c>
      <c r="EN42" s="355">
        <v>0</v>
      </c>
      <c r="EO42" s="355">
        <v>0</v>
      </c>
      <c r="EP42" s="1687">
        <f t="shared" si="45"/>
        <v>0</v>
      </c>
      <c r="EQ42" s="1687">
        <f t="shared" si="46"/>
        <v>0</v>
      </c>
      <c r="ER42" s="1687">
        <f t="shared" si="47"/>
        <v>0</v>
      </c>
      <c r="FD42" s="1266" t="s">
        <v>1050</v>
      </c>
      <c r="FE42" s="1266" t="s">
        <v>51</v>
      </c>
      <c r="FF42" s="1266" t="s">
        <v>447</v>
      </c>
      <c r="FG42" s="1266" t="s">
        <v>447</v>
      </c>
      <c r="FH42" s="1262" t="s">
        <v>433</v>
      </c>
      <c r="FI42" s="355">
        <v>0</v>
      </c>
      <c r="FJ42" s="355">
        <v>0</v>
      </c>
      <c r="FK42" s="355">
        <v>0</v>
      </c>
      <c r="FL42" s="166">
        <f t="shared" si="39"/>
        <v>0</v>
      </c>
      <c r="FM42" s="166">
        <f t="shared" si="40"/>
        <v>0</v>
      </c>
      <c r="FN42" s="166">
        <f t="shared" si="41"/>
        <v>0</v>
      </c>
    </row>
    <row r="43" spans="1:170" x14ac:dyDescent="0.35">
      <c r="AO43" s="1238" t="s">
        <v>452</v>
      </c>
      <c r="AP43" s="1239" t="s">
        <v>128</v>
      </c>
      <c r="AQ43" s="1238" t="s">
        <v>447</v>
      </c>
      <c r="AR43" s="1239" t="s">
        <v>447</v>
      </c>
      <c r="AS43" s="1240">
        <v>0</v>
      </c>
      <c r="AT43" s="1240">
        <v>696449256</v>
      </c>
      <c r="AU43" s="1240">
        <v>696449256</v>
      </c>
      <c r="AV43" s="1240">
        <f t="shared" si="23"/>
        <v>0</v>
      </c>
      <c r="AW43" s="1240">
        <f t="shared" si="24"/>
        <v>696449.25600000005</v>
      </c>
      <c r="AX43" s="1240">
        <f t="shared" si="25"/>
        <v>696449.25600000005</v>
      </c>
      <c r="BI43" s="1314" t="s">
        <v>672</v>
      </c>
      <c r="BJ43" s="1316" t="s">
        <v>673</v>
      </c>
      <c r="BK43" s="1314" t="s">
        <v>447</v>
      </c>
      <c r="BL43" s="1316" t="s">
        <v>447</v>
      </c>
      <c r="BM43" s="244">
        <v>35000000</v>
      </c>
      <c r="BN43" s="244">
        <v>0</v>
      </c>
      <c r="BO43" s="244">
        <v>0</v>
      </c>
      <c r="BP43" s="166">
        <f t="shared" si="27"/>
        <v>35000</v>
      </c>
      <c r="BQ43" s="166">
        <f t="shared" si="28"/>
        <v>0</v>
      </c>
      <c r="BR43" s="166">
        <f t="shared" si="29"/>
        <v>0</v>
      </c>
      <c r="CB43" s="1316" t="s">
        <v>465</v>
      </c>
      <c r="CC43" s="1316" t="s">
        <v>466</v>
      </c>
      <c r="CD43" s="1316" t="s">
        <v>447</v>
      </c>
      <c r="CE43" s="1316" t="s">
        <v>447</v>
      </c>
      <c r="CF43" s="244">
        <v>0</v>
      </c>
      <c r="CG43" s="244">
        <v>177309461</v>
      </c>
      <c r="CH43" s="244">
        <v>94819334</v>
      </c>
      <c r="CI43" s="537">
        <f t="shared" si="31"/>
        <v>0</v>
      </c>
      <c r="CJ43" s="537">
        <f t="shared" si="32"/>
        <v>177309.46100000001</v>
      </c>
      <c r="CK43" s="537">
        <f t="shared" si="33"/>
        <v>94819.334000000003</v>
      </c>
      <c r="CV43" t="s">
        <v>465</v>
      </c>
      <c r="CW43" t="s">
        <v>466</v>
      </c>
      <c r="CX43" t="s">
        <v>447</v>
      </c>
      <c r="CY43" t="s">
        <v>447</v>
      </c>
      <c r="CZ43" s="166">
        <v>300292000</v>
      </c>
      <c r="DA43" s="166">
        <v>0</v>
      </c>
      <c r="DB43" s="166">
        <v>0</v>
      </c>
      <c r="DC43" s="166">
        <f t="shared" si="35"/>
        <v>300292</v>
      </c>
      <c r="DD43" s="166">
        <f t="shared" si="36"/>
        <v>0</v>
      </c>
      <c r="DE43" s="166">
        <f t="shared" si="37"/>
        <v>0</v>
      </c>
      <c r="DO43" s="1472" t="s">
        <v>465</v>
      </c>
      <c r="DP43" s="1473" t="s">
        <v>466</v>
      </c>
      <c r="DQ43" s="1473" t="s">
        <v>447</v>
      </c>
      <c r="DR43" s="1473" t="s">
        <v>447</v>
      </c>
      <c r="DS43" s="1230">
        <v>300292000</v>
      </c>
      <c r="DT43" s="1230">
        <v>0</v>
      </c>
      <c r="DU43" s="1230">
        <v>0</v>
      </c>
      <c r="DV43" s="166">
        <f t="shared" si="42"/>
        <v>300292</v>
      </c>
      <c r="DW43" s="166">
        <f t="shared" si="43"/>
        <v>0</v>
      </c>
      <c r="DX43" s="166">
        <f t="shared" si="44"/>
        <v>0</v>
      </c>
      <c r="EI43" s="1262" t="s">
        <v>1050</v>
      </c>
      <c r="EJ43" s="1262" t="s">
        <v>51</v>
      </c>
      <c r="EK43" s="1266" t="s">
        <v>447</v>
      </c>
      <c r="EL43" s="1262" t="s">
        <v>447</v>
      </c>
      <c r="EM43" s="355">
        <v>0</v>
      </c>
      <c r="EN43" s="355">
        <v>48266357</v>
      </c>
      <c r="EO43" s="355">
        <v>48266357</v>
      </c>
      <c r="EP43" s="1687">
        <f t="shared" si="45"/>
        <v>0</v>
      </c>
      <c r="EQ43" s="1687">
        <f t="shared" si="46"/>
        <v>48266.357000000004</v>
      </c>
      <c r="ER43" s="1687">
        <f t="shared" si="47"/>
        <v>48266.357000000004</v>
      </c>
      <c r="FD43" s="1266" t="s">
        <v>1050</v>
      </c>
      <c r="FE43" s="1266" t="s">
        <v>51</v>
      </c>
      <c r="FF43" s="1266" t="s">
        <v>447</v>
      </c>
      <c r="FG43" s="1266" t="s">
        <v>447</v>
      </c>
      <c r="FH43" s="1262" t="s">
        <v>433</v>
      </c>
      <c r="FI43" s="355">
        <v>0</v>
      </c>
      <c r="FJ43" s="355">
        <v>48266357</v>
      </c>
      <c r="FK43" s="355">
        <v>48266357</v>
      </c>
      <c r="FL43" s="166">
        <f t="shared" si="39"/>
        <v>0</v>
      </c>
      <c r="FM43" s="166">
        <f t="shared" si="40"/>
        <v>48266.357000000004</v>
      </c>
      <c r="FN43" s="166">
        <f t="shared" si="41"/>
        <v>48266.357000000004</v>
      </c>
    </row>
    <row r="44" spans="1:170" x14ac:dyDescent="0.35">
      <c r="AO44" s="1241"/>
      <c r="AP44" s="1242"/>
      <c r="AQ44" s="1241"/>
      <c r="AR44" s="1242"/>
      <c r="AS44" s="1241"/>
      <c r="AT44" s="1241"/>
      <c r="AU44" s="1241"/>
      <c r="BI44" s="1314" t="s">
        <v>674</v>
      </c>
      <c r="BJ44" s="1316" t="s">
        <v>675</v>
      </c>
      <c r="BK44" s="1314" t="s">
        <v>447</v>
      </c>
      <c r="BL44" s="1316" t="s">
        <v>447</v>
      </c>
      <c r="BM44" s="244">
        <v>50000000</v>
      </c>
      <c r="BN44" s="244">
        <v>0</v>
      </c>
      <c r="BO44" s="244">
        <v>0</v>
      </c>
      <c r="BP44" s="166">
        <f t="shared" si="27"/>
        <v>50000</v>
      </c>
      <c r="BQ44" s="166">
        <f t="shared" si="28"/>
        <v>0</v>
      </c>
      <c r="BR44" s="166">
        <f t="shared" si="29"/>
        <v>0</v>
      </c>
      <c r="CB44" s="1316" t="s">
        <v>534</v>
      </c>
      <c r="CC44" s="1316" t="s">
        <v>537</v>
      </c>
      <c r="CD44" s="1316" t="s">
        <v>447</v>
      </c>
      <c r="CE44" s="1316" t="s">
        <v>447</v>
      </c>
      <c r="CF44" s="244">
        <v>278933000</v>
      </c>
      <c r="CG44" s="244">
        <v>0</v>
      </c>
      <c r="CH44" s="244">
        <v>0</v>
      </c>
      <c r="CI44" s="537">
        <f t="shared" si="31"/>
        <v>278933</v>
      </c>
      <c r="CJ44" s="537">
        <f t="shared" si="32"/>
        <v>0</v>
      </c>
      <c r="CK44" s="537">
        <f t="shared" si="33"/>
        <v>0</v>
      </c>
      <c r="CV44" t="s">
        <v>465</v>
      </c>
      <c r="CW44" t="s">
        <v>466</v>
      </c>
      <c r="CX44" t="s">
        <v>447</v>
      </c>
      <c r="CY44" t="s">
        <v>447</v>
      </c>
      <c r="CZ44" s="166">
        <v>0</v>
      </c>
      <c r="DA44" s="166">
        <v>177309461</v>
      </c>
      <c r="DB44" s="166">
        <v>99247973</v>
      </c>
      <c r="DC44" s="166">
        <f t="shared" si="35"/>
        <v>0</v>
      </c>
      <c r="DD44" s="166">
        <f t="shared" si="36"/>
        <v>177309.46100000001</v>
      </c>
      <c r="DE44" s="166">
        <f t="shared" si="37"/>
        <v>99247.972999999998</v>
      </c>
      <c r="DO44" s="1472" t="s">
        <v>465</v>
      </c>
      <c r="DP44" s="1473" t="s">
        <v>466</v>
      </c>
      <c r="DQ44" s="1473" t="s">
        <v>447</v>
      </c>
      <c r="DR44" s="1473" t="s">
        <v>447</v>
      </c>
      <c r="DS44" s="1230">
        <v>0</v>
      </c>
      <c r="DT44" s="1230">
        <v>177309461</v>
      </c>
      <c r="DU44" s="1230">
        <v>108965248</v>
      </c>
      <c r="DV44" s="166">
        <f t="shared" si="42"/>
        <v>0</v>
      </c>
      <c r="DW44" s="166">
        <f t="shared" si="43"/>
        <v>177309.46100000001</v>
      </c>
      <c r="DX44" s="166">
        <f t="shared" si="44"/>
        <v>108965.24800000001</v>
      </c>
      <c r="EI44" s="1262" t="s">
        <v>463</v>
      </c>
      <c r="EJ44" s="1262" t="s">
        <v>464</v>
      </c>
      <c r="EK44" s="1266" t="s">
        <v>447</v>
      </c>
      <c r="EL44" s="1262" t="s">
        <v>447</v>
      </c>
      <c r="EM44" s="355">
        <v>300000000</v>
      </c>
      <c r="EN44" s="355">
        <v>0</v>
      </c>
      <c r="EO44" s="355">
        <v>0</v>
      </c>
      <c r="EP44" s="1687">
        <f t="shared" si="45"/>
        <v>300000</v>
      </c>
      <c r="EQ44" s="1687">
        <f t="shared" si="46"/>
        <v>0</v>
      </c>
      <c r="ER44" s="1687">
        <f t="shared" si="47"/>
        <v>0</v>
      </c>
      <c r="FD44" s="1266" t="s">
        <v>463</v>
      </c>
      <c r="FE44" s="1266" t="s">
        <v>464</v>
      </c>
      <c r="FF44" s="1266" t="s">
        <v>447</v>
      </c>
      <c r="FG44" s="1266" t="s">
        <v>447</v>
      </c>
      <c r="FH44" s="1262" t="s">
        <v>433</v>
      </c>
      <c r="FI44" s="355">
        <v>300000000</v>
      </c>
      <c r="FJ44" s="355">
        <v>0</v>
      </c>
      <c r="FK44" s="355">
        <v>0</v>
      </c>
      <c r="FL44" s="166">
        <f t="shared" si="39"/>
        <v>300000</v>
      </c>
      <c r="FM44" s="166">
        <f t="shared" si="40"/>
        <v>0</v>
      </c>
      <c r="FN44" s="166">
        <f t="shared" si="41"/>
        <v>0</v>
      </c>
    </row>
    <row r="45" spans="1:170" x14ac:dyDescent="0.35">
      <c r="BI45" s="1314" t="s">
        <v>452</v>
      </c>
      <c r="BJ45" s="1316" t="s">
        <v>128</v>
      </c>
      <c r="BK45" s="1314" t="s">
        <v>447</v>
      </c>
      <c r="BL45" s="1316" t="s">
        <v>447</v>
      </c>
      <c r="BM45" s="244">
        <v>696450000</v>
      </c>
      <c r="BN45" s="244">
        <v>0</v>
      </c>
      <c r="BO45" s="244">
        <v>0</v>
      </c>
      <c r="BP45" s="166">
        <f t="shared" si="27"/>
        <v>696450</v>
      </c>
      <c r="BQ45" s="166">
        <f t="shared" si="28"/>
        <v>0</v>
      </c>
      <c r="BR45" s="166">
        <f t="shared" si="29"/>
        <v>0</v>
      </c>
      <c r="CB45" s="1316" t="s">
        <v>534</v>
      </c>
      <c r="CC45" s="1316" t="s">
        <v>537</v>
      </c>
      <c r="CD45" s="1316" t="s">
        <v>447</v>
      </c>
      <c r="CE45" s="1316" t="s">
        <v>447</v>
      </c>
      <c r="CF45" s="244">
        <v>0</v>
      </c>
      <c r="CG45" s="244">
        <v>6750000</v>
      </c>
      <c r="CH45" s="244">
        <v>0</v>
      </c>
      <c r="CI45" s="537">
        <f t="shared" si="31"/>
        <v>0</v>
      </c>
      <c r="CJ45" s="537">
        <f t="shared" si="32"/>
        <v>6750</v>
      </c>
      <c r="CK45" s="537">
        <f t="shared" si="33"/>
        <v>0</v>
      </c>
      <c r="CV45" t="s">
        <v>534</v>
      </c>
      <c r="CW45" t="s">
        <v>537</v>
      </c>
      <c r="CX45" t="s">
        <v>447</v>
      </c>
      <c r="CY45" t="s">
        <v>447</v>
      </c>
      <c r="CZ45" s="166">
        <v>278933000</v>
      </c>
      <c r="DA45" s="166">
        <v>0</v>
      </c>
      <c r="DB45" s="166">
        <v>0</v>
      </c>
      <c r="DC45" s="166">
        <f t="shared" si="35"/>
        <v>278933</v>
      </c>
      <c r="DD45" s="166">
        <f t="shared" si="36"/>
        <v>0</v>
      </c>
      <c r="DE45" s="166">
        <f t="shared" si="37"/>
        <v>0</v>
      </c>
      <c r="DO45" s="1472" t="s">
        <v>534</v>
      </c>
      <c r="DP45" s="1473" t="s">
        <v>537</v>
      </c>
      <c r="DQ45" s="1473" t="s">
        <v>447</v>
      </c>
      <c r="DR45" s="1473" t="s">
        <v>447</v>
      </c>
      <c r="DS45" s="1230">
        <v>278933000</v>
      </c>
      <c r="DT45" s="1230">
        <v>0</v>
      </c>
      <c r="DU45" s="1230">
        <v>0</v>
      </c>
      <c r="DV45" s="166">
        <f t="shared" si="42"/>
        <v>278933</v>
      </c>
      <c r="DW45" s="166">
        <f t="shared" si="43"/>
        <v>0</v>
      </c>
      <c r="DX45" s="166">
        <f t="shared" si="44"/>
        <v>0</v>
      </c>
      <c r="EI45" s="1262" t="s">
        <v>463</v>
      </c>
      <c r="EJ45" s="1262" t="s">
        <v>464</v>
      </c>
      <c r="EK45" s="1266" t="s">
        <v>447</v>
      </c>
      <c r="EL45" s="1262" t="s">
        <v>447</v>
      </c>
      <c r="EM45" s="355">
        <v>0</v>
      </c>
      <c r="EN45" s="355">
        <v>33226521</v>
      </c>
      <c r="EO45" s="355">
        <v>7298845</v>
      </c>
      <c r="EP45" s="1687">
        <f t="shared" si="45"/>
        <v>0</v>
      </c>
      <c r="EQ45" s="1687">
        <f t="shared" si="46"/>
        <v>33226.521000000001</v>
      </c>
      <c r="ER45" s="1687">
        <f t="shared" si="47"/>
        <v>7298.8450000000003</v>
      </c>
      <c r="FD45" s="1266" t="s">
        <v>463</v>
      </c>
      <c r="FE45" s="1266" t="s">
        <v>464</v>
      </c>
      <c r="FF45" s="1266" t="s">
        <v>447</v>
      </c>
      <c r="FG45" s="1266" t="s">
        <v>447</v>
      </c>
      <c r="FH45" s="1262" t="s">
        <v>433</v>
      </c>
      <c r="FI45" s="355">
        <v>0</v>
      </c>
      <c r="FJ45" s="355">
        <v>33226521</v>
      </c>
      <c r="FK45" s="355">
        <v>7298845</v>
      </c>
      <c r="FL45" s="166">
        <f t="shared" si="39"/>
        <v>0</v>
      </c>
      <c r="FM45" s="166">
        <f t="shared" si="40"/>
        <v>33226.521000000001</v>
      </c>
      <c r="FN45" s="166">
        <f t="shared" si="41"/>
        <v>7298.8450000000003</v>
      </c>
    </row>
    <row r="46" spans="1:170" x14ac:dyDescent="0.35">
      <c r="BI46" s="1314" t="s">
        <v>452</v>
      </c>
      <c r="BJ46" s="1316" t="s">
        <v>128</v>
      </c>
      <c r="BK46" s="1314" t="s">
        <v>447</v>
      </c>
      <c r="BL46" s="1316" t="s">
        <v>447</v>
      </c>
      <c r="BM46" s="244">
        <v>0</v>
      </c>
      <c r="BN46" s="244">
        <v>696449256</v>
      </c>
      <c r="BO46" s="244">
        <v>696449256</v>
      </c>
      <c r="BP46" s="166">
        <f t="shared" si="27"/>
        <v>0</v>
      </c>
      <c r="BQ46" s="166">
        <f t="shared" si="28"/>
        <v>696449.25600000005</v>
      </c>
      <c r="BR46" s="166">
        <f t="shared" si="29"/>
        <v>696449.25600000005</v>
      </c>
      <c r="CB46" s="1316" t="s">
        <v>672</v>
      </c>
      <c r="CC46" s="1316" t="s">
        <v>673</v>
      </c>
      <c r="CD46" s="1316" t="s">
        <v>447</v>
      </c>
      <c r="CE46" s="1316" t="s">
        <v>447</v>
      </c>
      <c r="CF46" s="244">
        <v>35000000</v>
      </c>
      <c r="CG46" s="244">
        <v>0</v>
      </c>
      <c r="CH46" s="244">
        <v>0</v>
      </c>
      <c r="CI46" s="537">
        <f t="shared" si="31"/>
        <v>35000</v>
      </c>
      <c r="CJ46" s="537">
        <f t="shared" si="32"/>
        <v>0</v>
      </c>
      <c r="CK46" s="537">
        <f t="shared" si="33"/>
        <v>0</v>
      </c>
      <c r="CV46" t="s">
        <v>534</v>
      </c>
      <c r="CW46" t="s">
        <v>537</v>
      </c>
      <c r="CX46" t="s">
        <v>447</v>
      </c>
      <c r="CY46" t="s">
        <v>447</v>
      </c>
      <c r="CZ46" s="166">
        <v>0</v>
      </c>
      <c r="DA46" s="166">
        <v>6750000</v>
      </c>
      <c r="DB46" s="166">
        <v>0</v>
      </c>
      <c r="DC46" s="166">
        <f t="shared" si="35"/>
        <v>0</v>
      </c>
      <c r="DD46" s="166">
        <f t="shared" si="36"/>
        <v>6750</v>
      </c>
      <c r="DE46" s="166">
        <f t="shared" si="37"/>
        <v>0</v>
      </c>
      <c r="DO46" s="1472" t="s">
        <v>534</v>
      </c>
      <c r="DP46" s="1473" t="s">
        <v>537</v>
      </c>
      <c r="DQ46" s="1473" t="s">
        <v>447</v>
      </c>
      <c r="DR46" s="1473" t="s">
        <v>447</v>
      </c>
      <c r="DS46" s="1230">
        <v>0</v>
      </c>
      <c r="DT46" s="1230">
        <v>6750000</v>
      </c>
      <c r="DU46" s="1230">
        <v>0</v>
      </c>
      <c r="DV46" s="166">
        <f t="shared" si="42"/>
        <v>0</v>
      </c>
      <c r="DW46" s="166">
        <f t="shared" si="43"/>
        <v>6750</v>
      </c>
      <c r="DX46" s="166">
        <f t="shared" si="44"/>
        <v>0</v>
      </c>
      <c r="EI46" s="1262" t="s">
        <v>465</v>
      </c>
      <c r="EJ46" s="1262" t="s">
        <v>466</v>
      </c>
      <c r="EK46" s="1266" t="s">
        <v>447</v>
      </c>
      <c r="EL46" s="1262" t="s">
        <v>447</v>
      </c>
      <c r="EM46" s="355">
        <v>300292000</v>
      </c>
      <c r="EN46" s="355">
        <v>0</v>
      </c>
      <c r="EO46" s="355">
        <v>0</v>
      </c>
      <c r="EP46" s="1687">
        <f t="shared" si="45"/>
        <v>300292</v>
      </c>
      <c r="EQ46" s="1687">
        <f t="shared" si="46"/>
        <v>0</v>
      </c>
      <c r="ER46" s="1687">
        <f t="shared" si="47"/>
        <v>0</v>
      </c>
      <c r="FD46" s="1266" t="s">
        <v>465</v>
      </c>
      <c r="FE46" s="1266" t="s">
        <v>466</v>
      </c>
      <c r="FF46" s="1266" t="s">
        <v>447</v>
      </c>
      <c r="FG46" s="1266" t="s">
        <v>447</v>
      </c>
      <c r="FH46" s="1262" t="s">
        <v>433</v>
      </c>
      <c r="FI46" s="355">
        <v>300292000</v>
      </c>
      <c r="FJ46" s="355">
        <v>0</v>
      </c>
      <c r="FK46" s="355">
        <v>0</v>
      </c>
      <c r="FL46" s="166">
        <f t="shared" si="39"/>
        <v>300292</v>
      </c>
      <c r="FM46" s="166">
        <f t="shared" si="40"/>
        <v>0</v>
      </c>
      <c r="FN46" s="166">
        <f t="shared" si="41"/>
        <v>0</v>
      </c>
    </row>
    <row r="47" spans="1:170" x14ac:dyDescent="0.35">
      <c r="CB47" s="1316" t="s">
        <v>674</v>
      </c>
      <c r="CC47" s="1316" t="s">
        <v>675</v>
      </c>
      <c r="CD47" s="1316" t="s">
        <v>447</v>
      </c>
      <c r="CE47" s="1316" t="s">
        <v>447</v>
      </c>
      <c r="CF47" s="244">
        <v>50000000</v>
      </c>
      <c r="CG47" s="244">
        <v>0</v>
      </c>
      <c r="CH47" s="244">
        <v>0</v>
      </c>
      <c r="CI47" s="537">
        <f t="shared" si="31"/>
        <v>50000</v>
      </c>
      <c r="CJ47" s="537">
        <f t="shared" si="32"/>
        <v>0</v>
      </c>
      <c r="CK47" s="537">
        <f t="shared" si="33"/>
        <v>0</v>
      </c>
      <c r="CV47" t="s">
        <v>672</v>
      </c>
      <c r="CW47" t="s">
        <v>673</v>
      </c>
      <c r="CX47" t="s">
        <v>447</v>
      </c>
      <c r="CY47" t="s">
        <v>447</v>
      </c>
      <c r="CZ47" s="166">
        <v>35000000</v>
      </c>
      <c r="DA47" s="166">
        <v>0</v>
      </c>
      <c r="DB47" s="166">
        <v>0</v>
      </c>
      <c r="DC47" s="166">
        <f t="shared" si="35"/>
        <v>35000</v>
      </c>
      <c r="DD47" s="166">
        <f t="shared" si="36"/>
        <v>0</v>
      </c>
      <c r="DE47" s="166">
        <f t="shared" si="37"/>
        <v>0</v>
      </c>
      <c r="DO47" s="1472" t="s">
        <v>672</v>
      </c>
      <c r="DP47" s="1473" t="s">
        <v>673</v>
      </c>
      <c r="DQ47" s="1473" t="s">
        <v>447</v>
      </c>
      <c r="DR47" s="1473" t="s">
        <v>447</v>
      </c>
      <c r="DS47" s="1230">
        <v>35000000</v>
      </c>
      <c r="DT47" s="1230">
        <v>0</v>
      </c>
      <c r="DU47" s="1230">
        <v>0</v>
      </c>
      <c r="DV47" s="166">
        <f t="shared" si="42"/>
        <v>35000</v>
      </c>
      <c r="DW47" s="166">
        <f t="shared" si="43"/>
        <v>0</v>
      </c>
      <c r="DX47" s="166">
        <f t="shared" si="44"/>
        <v>0</v>
      </c>
      <c r="EI47" s="1262" t="s">
        <v>465</v>
      </c>
      <c r="EJ47" s="1262" t="s">
        <v>466</v>
      </c>
      <c r="EK47" s="1266" t="s">
        <v>447</v>
      </c>
      <c r="EL47" s="1262" t="s">
        <v>447</v>
      </c>
      <c r="EM47" s="355">
        <v>0</v>
      </c>
      <c r="EN47" s="355">
        <v>210609461</v>
      </c>
      <c r="EO47" s="355">
        <v>113393887</v>
      </c>
      <c r="EP47" s="1687">
        <f t="shared" si="45"/>
        <v>0</v>
      </c>
      <c r="EQ47" s="1687">
        <f t="shared" si="46"/>
        <v>210609.46100000001</v>
      </c>
      <c r="ER47" s="1687">
        <f t="shared" si="47"/>
        <v>113393.887</v>
      </c>
      <c r="FD47" s="1266" t="s">
        <v>465</v>
      </c>
      <c r="FE47" s="1266" t="s">
        <v>466</v>
      </c>
      <c r="FF47" s="1266" t="s">
        <v>447</v>
      </c>
      <c r="FG47" s="1266" t="s">
        <v>447</v>
      </c>
      <c r="FH47" s="1262" t="s">
        <v>433</v>
      </c>
      <c r="FI47" s="355">
        <v>0</v>
      </c>
      <c r="FJ47" s="355">
        <v>210609461</v>
      </c>
      <c r="FK47" s="355">
        <v>144468738</v>
      </c>
      <c r="FL47" s="166">
        <f t="shared" si="39"/>
        <v>0</v>
      </c>
      <c r="FM47" s="166">
        <f t="shared" si="40"/>
        <v>210609.46100000001</v>
      </c>
      <c r="FN47" s="166">
        <f t="shared" si="41"/>
        <v>144468.73800000001</v>
      </c>
    </row>
    <row r="48" spans="1:170" x14ac:dyDescent="0.35">
      <c r="CB48" s="1316" t="s">
        <v>452</v>
      </c>
      <c r="CC48" s="1316" t="s">
        <v>128</v>
      </c>
      <c r="CD48" s="1316" t="s">
        <v>447</v>
      </c>
      <c r="CE48" s="1316" t="s">
        <v>447</v>
      </c>
      <c r="CF48" s="244">
        <v>696450000</v>
      </c>
      <c r="CG48" s="244">
        <v>0</v>
      </c>
      <c r="CH48" s="244">
        <v>0</v>
      </c>
      <c r="CI48" s="537">
        <f t="shared" si="31"/>
        <v>696450</v>
      </c>
      <c r="CJ48" s="537">
        <f t="shared" si="32"/>
        <v>0</v>
      </c>
      <c r="CK48" s="537">
        <f t="shared" si="33"/>
        <v>0</v>
      </c>
      <c r="CV48" t="s">
        <v>674</v>
      </c>
      <c r="CW48" t="s">
        <v>675</v>
      </c>
      <c r="CX48" t="s">
        <v>447</v>
      </c>
      <c r="CY48" t="s">
        <v>447</v>
      </c>
      <c r="CZ48" s="166">
        <v>50000000</v>
      </c>
      <c r="DA48" s="166">
        <v>0</v>
      </c>
      <c r="DB48" s="166">
        <v>0</v>
      </c>
      <c r="DC48" s="166">
        <f t="shared" si="35"/>
        <v>50000</v>
      </c>
      <c r="DD48" s="166">
        <f t="shared" si="36"/>
        <v>0</v>
      </c>
      <c r="DE48" s="166">
        <f t="shared" si="37"/>
        <v>0</v>
      </c>
      <c r="DO48" s="1472" t="s">
        <v>672</v>
      </c>
      <c r="DP48" s="1473" t="s">
        <v>673</v>
      </c>
      <c r="DQ48" s="1473" t="s">
        <v>447</v>
      </c>
      <c r="DR48" s="1473" t="s">
        <v>447</v>
      </c>
      <c r="DS48" s="1230">
        <v>0</v>
      </c>
      <c r="DT48" s="1230">
        <v>28350000</v>
      </c>
      <c r="DU48" s="1230">
        <v>0</v>
      </c>
      <c r="DV48" s="166">
        <f t="shared" si="42"/>
        <v>0</v>
      </c>
      <c r="DW48" s="166">
        <f t="shared" si="43"/>
        <v>28350</v>
      </c>
      <c r="DX48" s="166">
        <f t="shared" si="44"/>
        <v>0</v>
      </c>
      <c r="EI48" s="1262" t="s">
        <v>534</v>
      </c>
      <c r="EJ48" s="1262" t="s">
        <v>537</v>
      </c>
      <c r="EK48" s="1266" t="s">
        <v>447</v>
      </c>
      <c r="EL48" s="1262" t="s">
        <v>447</v>
      </c>
      <c r="EM48" s="355">
        <v>278933000</v>
      </c>
      <c r="EN48" s="355">
        <v>0</v>
      </c>
      <c r="EO48" s="355">
        <v>0</v>
      </c>
      <c r="EP48" s="1687">
        <f t="shared" si="45"/>
        <v>278933</v>
      </c>
      <c r="EQ48" s="1687">
        <f t="shared" si="46"/>
        <v>0</v>
      </c>
      <c r="ER48" s="1687">
        <f t="shared" si="47"/>
        <v>0</v>
      </c>
      <c r="FD48" s="1266" t="s">
        <v>534</v>
      </c>
      <c r="FE48" s="1266" t="s">
        <v>537</v>
      </c>
      <c r="FF48" s="1266" t="s">
        <v>447</v>
      </c>
      <c r="FG48" s="1266" t="s">
        <v>447</v>
      </c>
      <c r="FH48" s="1262" t="s">
        <v>433</v>
      </c>
      <c r="FI48" s="355">
        <v>278933000</v>
      </c>
      <c r="FJ48" s="355">
        <v>0</v>
      </c>
      <c r="FK48" s="355">
        <v>0</v>
      </c>
      <c r="FL48" s="166">
        <f t="shared" si="39"/>
        <v>278933</v>
      </c>
      <c r="FM48" s="166">
        <f t="shared" si="40"/>
        <v>0</v>
      </c>
      <c r="FN48" s="166">
        <f t="shared" si="41"/>
        <v>0</v>
      </c>
    </row>
    <row r="49" spans="80:170" x14ac:dyDescent="0.35">
      <c r="CB49" s="1316" t="s">
        <v>452</v>
      </c>
      <c r="CC49" s="1316" t="s">
        <v>128</v>
      </c>
      <c r="CD49" s="1316" t="s">
        <v>447</v>
      </c>
      <c r="CE49" s="1316" t="s">
        <v>447</v>
      </c>
      <c r="CF49" s="244">
        <v>0</v>
      </c>
      <c r="CG49" s="244">
        <v>696449256</v>
      </c>
      <c r="CH49" s="244">
        <v>696449256</v>
      </c>
      <c r="CI49" s="537">
        <f t="shared" si="31"/>
        <v>0</v>
      </c>
      <c r="CJ49" s="537">
        <f t="shared" si="32"/>
        <v>696449.25600000005</v>
      </c>
      <c r="CK49" s="537">
        <f t="shared" si="33"/>
        <v>696449.25600000005</v>
      </c>
      <c r="CV49" t="s">
        <v>452</v>
      </c>
      <c r="CW49" t="s">
        <v>128</v>
      </c>
      <c r="CX49" t="s">
        <v>447</v>
      </c>
      <c r="CY49" t="s">
        <v>447</v>
      </c>
      <c r="CZ49" s="166">
        <v>696450000</v>
      </c>
      <c r="DA49" s="166">
        <v>0</v>
      </c>
      <c r="DB49" s="166">
        <v>0</v>
      </c>
      <c r="DC49" s="166">
        <f t="shared" si="35"/>
        <v>696450</v>
      </c>
      <c r="DD49" s="166">
        <f t="shared" si="36"/>
        <v>0</v>
      </c>
      <c r="DE49" s="166">
        <f t="shared" si="37"/>
        <v>0</v>
      </c>
      <c r="DO49" s="1472" t="s">
        <v>674</v>
      </c>
      <c r="DP49" s="1473" t="s">
        <v>675</v>
      </c>
      <c r="DQ49" s="1473" t="s">
        <v>447</v>
      </c>
      <c r="DR49" s="1473" t="s">
        <v>447</v>
      </c>
      <c r="DS49" s="1230">
        <v>50000000</v>
      </c>
      <c r="DT49" s="1230">
        <v>0</v>
      </c>
      <c r="DU49" s="1230">
        <v>0</v>
      </c>
      <c r="DV49" s="166">
        <f t="shared" si="42"/>
        <v>50000</v>
      </c>
      <c r="DW49" s="166">
        <f t="shared" si="43"/>
        <v>0</v>
      </c>
      <c r="DX49" s="166">
        <f t="shared" si="44"/>
        <v>0</v>
      </c>
      <c r="EI49" s="1262" t="s">
        <v>534</v>
      </c>
      <c r="EJ49" s="1262" t="s">
        <v>537</v>
      </c>
      <c r="EK49" s="1266" t="s">
        <v>447</v>
      </c>
      <c r="EL49" s="1262" t="s">
        <v>447</v>
      </c>
      <c r="EM49" s="355">
        <v>0</v>
      </c>
      <c r="EN49" s="355">
        <v>113400623</v>
      </c>
      <c r="EO49" s="355">
        <v>0</v>
      </c>
      <c r="EP49" s="1687">
        <f t="shared" si="45"/>
        <v>0</v>
      </c>
      <c r="EQ49" s="1687">
        <f t="shared" si="46"/>
        <v>113400.62300000001</v>
      </c>
      <c r="ER49" s="1687">
        <f t="shared" si="47"/>
        <v>0</v>
      </c>
      <c r="FD49" s="1266" t="s">
        <v>534</v>
      </c>
      <c r="FE49" s="1266" t="s">
        <v>537</v>
      </c>
      <c r="FF49" s="1266" t="s">
        <v>447</v>
      </c>
      <c r="FG49" s="1266" t="s">
        <v>447</v>
      </c>
      <c r="FH49" s="1262" t="s">
        <v>433</v>
      </c>
      <c r="FI49" s="355">
        <v>0</v>
      </c>
      <c r="FJ49" s="355">
        <v>113400623</v>
      </c>
      <c r="FK49" s="355">
        <v>43011212</v>
      </c>
      <c r="FL49" s="166">
        <f t="shared" si="39"/>
        <v>0</v>
      </c>
      <c r="FM49" s="166">
        <f t="shared" si="40"/>
        <v>113400.62300000001</v>
      </c>
      <c r="FN49" s="166">
        <f t="shared" si="41"/>
        <v>43011.212</v>
      </c>
    </row>
    <row r="50" spans="80:170" x14ac:dyDescent="0.35">
      <c r="CV50" t="s">
        <v>452</v>
      </c>
      <c r="CW50" t="s">
        <v>128</v>
      </c>
      <c r="CX50" t="s">
        <v>447</v>
      </c>
      <c r="CY50" t="s">
        <v>447</v>
      </c>
      <c r="CZ50" s="166">
        <v>0</v>
      </c>
      <c r="DA50" s="166">
        <v>696449256</v>
      </c>
      <c r="DB50" s="166">
        <v>696449256</v>
      </c>
      <c r="DC50" s="166">
        <f t="shared" si="35"/>
        <v>0</v>
      </c>
      <c r="DD50" s="166">
        <f t="shared" si="36"/>
        <v>696449.25600000005</v>
      </c>
      <c r="DE50" s="166">
        <f t="shared" si="37"/>
        <v>696449.25600000005</v>
      </c>
      <c r="DO50" s="1472" t="s">
        <v>452</v>
      </c>
      <c r="DP50" s="1473" t="s">
        <v>128</v>
      </c>
      <c r="DQ50" s="1473" t="s">
        <v>447</v>
      </c>
      <c r="DR50" s="1473" t="s">
        <v>447</v>
      </c>
      <c r="DS50" s="1230">
        <v>696450000</v>
      </c>
      <c r="DT50" s="1230">
        <v>0</v>
      </c>
      <c r="DU50" s="1230">
        <v>0</v>
      </c>
      <c r="DV50" s="166">
        <f t="shared" si="42"/>
        <v>696450</v>
      </c>
      <c r="DW50" s="166">
        <f t="shared" si="43"/>
        <v>0</v>
      </c>
      <c r="DX50" s="166">
        <f t="shared" si="44"/>
        <v>0</v>
      </c>
      <c r="EI50" s="1262" t="s">
        <v>672</v>
      </c>
      <c r="EJ50" s="1262" t="s">
        <v>673</v>
      </c>
      <c r="EK50" s="1266" t="s">
        <v>447</v>
      </c>
      <c r="EL50" s="1262" t="s">
        <v>447</v>
      </c>
      <c r="EM50" s="355">
        <v>35000000</v>
      </c>
      <c r="EN50" s="355">
        <v>0</v>
      </c>
      <c r="EO50" s="355">
        <v>0</v>
      </c>
      <c r="EP50" s="1687">
        <f t="shared" si="45"/>
        <v>35000</v>
      </c>
      <c r="EQ50" s="1687">
        <f t="shared" si="46"/>
        <v>0</v>
      </c>
      <c r="ER50" s="1687">
        <f t="shared" si="47"/>
        <v>0</v>
      </c>
      <c r="FD50" s="1266" t="s">
        <v>672</v>
      </c>
      <c r="FE50" s="1266" t="s">
        <v>673</v>
      </c>
      <c r="FF50" s="1266" t="s">
        <v>447</v>
      </c>
      <c r="FG50" s="1266" t="s">
        <v>447</v>
      </c>
      <c r="FH50" s="1262" t="s">
        <v>433</v>
      </c>
      <c r="FI50" s="355">
        <v>35000000</v>
      </c>
      <c r="FJ50" s="355">
        <v>0</v>
      </c>
      <c r="FK50" s="355">
        <v>0</v>
      </c>
      <c r="FL50" s="166">
        <f t="shared" si="39"/>
        <v>35000</v>
      </c>
      <c r="FM50" s="166">
        <f t="shared" si="40"/>
        <v>0</v>
      </c>
      <c r="FN50" s="166">
        <f t="shared" si="41"/>
        <v>0</v>
      </c>
    </row>
    <row r="51" spans="80:170" x14ac:dyDescent="0.35">
      <c r="DO51" s="1472" t="s">
        <v>452</v>
      </c>
      <c r="DP51" s="1473" t="s">
        <v>128</v>
      </c>
      <c r="DQ51" s="1473" t="s">
        <v>447</v>
      </c>
      <c r="DR51" s="1473" t="s">
        <v>447</v>
      </c>
      <c r="DS51" s="1230">
        <v>0</v>
      </c>
      <c r="DT51" s="1230">
        <v>696449256</v>
      </c>
      <c r="DU51" s="1230">
        <v>696449256</v>
      </c>
      <c r="DV51" s="166">
        <f t="shared" si="42"/>
        <v>0</v>
      </c>
      <c r="DW51" s="166">
        <f t="shared" si="43"/>
        <v>696449.25600000005</v>
      </c>
      <c r="DX51" s="166">
        <f t="shared" si="44"/>
        <v>696449.25600000005</v>
      </c>
      <c r="EI51" s="1262" t="s">
        <v>672</v>
      </c>
      <c r="EJ51" s="1262" t="s">
        <v>673</v>
      </c>
      <c r="EK51" s="1266" t="s">
        <v>447</v>
      </c>
      <c r="EL51" s="1262" t="s">
        <v>447</v>
      </c>
      <c r="EM51" s="355">
        <v>0</v>
      </c>
      <c r="EN51" s="355">
        <v>0</v>
      </c>
      <c r="EO51" s="355">
        <v>0</v>
      </c>
      <c r="EP51" s="1687">
        <f t="shared" si="45"/>
        <v>0</v>
      </c>
      <c r="EQ51" s="1687">
        <f t="shared" si="46"/>
        <v>0</v>
      </c>
      <c r="ER51" s="1687">
        <f t="shared" si="47"/>
        <v>0</v>
      </c>
      <c r="FD51" s="1266" t="s">
        <v>672</v>
      </c>
      <c r="FE51" s="1266" t="s">
        <v>673</v>
      </c>
      <c r="FF51" s="1266" t="s">
        <v>447</v>
      </c>
      <c r="FG51" s="1266" t="s">
        <v>447</v>
      </c>
      <c r="FH51" s="1262" t="s">
        <v>433</v>
      </c>
      <c r="FI51" s="355">
        <v>0</v>
      </c>
      <c r="FJ51" s="355">
        <v>0</v>
      </c>
      <c r="FK51" s="355">
        <v>0</v>
      </c>
      <c r="FL51" s="166">
        <f t="shared" si="39"/>
        <v>0</v>
      </c>
      <c r="FM51" s="166">
        <f t="shared" si="40"/>
        <v>0</v>
      </c>
      <c r="FN51" s="166">
        <f t="shared" si="41"/>
        <v>0</v>
      </c>
    </row>
    <row r="52" spans="80:170" x14ac:dyDescent="0.35">
      <c r="EI52" s="1262" t="s">
        <v>674</v>
      </c>
      <c r="EJ52" s="1262" t="s">
        <v>675</v>
      </c>
      <c r="EK52" s="1266" t="s">
        <v>447</v>
      </c>
      <c r="EL52" s="1262" t="s">
        <v>447</v>
      </c>
      <c r="EM52" s="355">
        <v>50000000</v>
      </c>
      <c r="EN52" s="355">
        <v>0</v>
      </c>
      <c r="EO52" s="355">
        <v>0</v>
      </c>
      <c r="EP52" s="1687">
        <f t="shared" si="45"/>
        <v>50000</v>
      </c>
      <c r="EQ52" s="1687">
        <f t="shared" si="46"/>
        <v>0</v>
      </c>
      <c r="ER52" s="1687">
        <f t="shared" si="47"/>
        <v>0</v>
      </c>
      <c r="FD52" s="1266" t="s">
        <v>674</v>
      </c>
      <c r="FE52" s="1266" t="s">
        <v>675</v>
      </c>
      <c r="FF52" s="1266" t="s">
        <v>447</v>
      </c>
      <c r="FG52" s="1266" t="s">
        <v>447</v>
      </c>
      <c r="FH52" s="1262" t="s">
        <v>433</v>
      </c>
      <c r="FI52" s="355">
        <v>50000000</v>
      </c>
      <c r="FJ52" s="355">
        <v>0</v>
      </c>
      <c r="FK52" s="355">
        <v>0</v>
      </c>
      <c r="FL52" s="166">
        <f t="shared" si="39"/>
        <v>50000</v>
      </c>
      <c r="FM52" s="166">
        <f t="shared" si="40"/>
        <v>0</v>
      </c>
      <c r="FN52" s="166">
        <f t="shared" si="41"/>
        <v>0</v>
      </c>
    </row>
    <row r="53" spans="80:170" x14ac:dyDescent="0.35">
      <c r="EI53" s="1262" t="s">
        <v>452</v>
      </c>
      <c r="EJ53" s="1262" t="s">
        <v>128</v>
      </c>
      <c r="EK53" s="1266" t="s">
        <v>447</v>
      </c>
      <c r="EL53" s="1262" t="s">
        <v>447</v>
      </c>
      <c r="EM53" s="355">
        <v>696450000</v>
      </c>
      <c r="EN53" s="355">
        <v>0</v>
      </c>
      <c r="EO53" s="355">
        <v>0</v>
      </c>
      <c r="EP53" s="1687">
        <f t="shared" si="45"/>
        <v>696450</v>
      </c>
      <c r="EQ53" s="1687">
        <f t="shared" si="46"/>
        <v>0</v>
      </c>
      <c r="ER53" s="1687">
        <f t="shared" si="47"/>
        <v>0</v>
      </c>
      <c r="FD53" s="1266" t="s">
        <v>452</v>
      </c>
      <c r="FE53" s="1266" t="s">
        <v>128</v>
      </c>
      <c r="FF53" s="1266" t="s">
        <v>447</v>
      </c>
      <c r="FG53" s="1266" t="s">
        <v>447</v>
      </c>
      <c r="FH53" s="1262" t="s">
        <v>433</v>
      </c>
      <c r="FI53" s="355">
        <v>696450000</v>
      </c>
      <c r="FJ53" s="355">
        <v>0</v>
      </c>
      <c r="FK53" s="355">
        <v>0</v>
      </c>
      <c r="FL53" s="166">
        <f t="shared" si="39"/>
        <v>696450</v>
      </c>
      <c r="FM53" s="166">
        <f t="shared" si="40"/>
        <v>0</v>
      </c>
      <c r="FN53" s="166">
        <f t="shared" si="41"/>
        <v>0</v>
      </c>
    </row>
    <row r="54" spans="80:170" x14ac:dyDescent="0.35">
      <c r="EI54" s="1262" t="s">
        <v>452</v>
      </c>
      <c r="EJ54" s="1262" t="s">
        <v>128</v>
      </c>
      <c r="EK54" s="1266" t="s">
        <v>447</v>
      </c>
      <c r="EL54" s="1262" t="s">
        <v>447</v>
      </c>
      <c r="EM54" s="355">
        <v>0</v>
      </c>
      <c r="EN54" s="355">
        <v>696449256</v>
      </c>
      <c r="EO54" s="355">
        <v>696449256</v>
      </c>
      <c r="EP54" s="1687">
        <f t="shared" si="45"/>
        <v>0</v>
      </c>
      <c r="EQ54" s="1687">
        <f t="shared" si="46"/>
        <v>696449.25600000005</v>
      </c>
      <c r="ER54" s="1687">
        <f t="shared" si="47"/>
        <v>696449.25600000005</v>
      </c>
      <c r="FD54" s="1266" t="s">
        <v>452</v>
      </c>
      <c r="FE54" s="1266" t="s">
        <v>128</v>
      </c>
      <c r="FF54" s="1266" t="s">
        <v>447</v>
      </c>
      <c r="FG54" s="1266" t="s">
        <v>447</v>
      </c>
      <c r="FH54" s="1262" t="s">
        <v>433</v>
      </c>
      <c r="FI54" s="355">
        <v>0</v>
      </c>
      <c r="FJ54" s="355">
        <v>696449256</v>
      </c>
      <c r="FK54" s="355">
        <v>696449256</v>
      </c>
      <c r="FL54" s="166">
        <f t="shared" si="39"/>
        <v>0</v>
      </c>
      <c r="FM54" s="166">
        <f t="shared" si="40"/>
        <v>696449.25600000005</v>
      </c>
      <c r="FN54" s="166">
        <f t="shared" si="41"/>
        <v>696449.25600000005</v>
      </c>
    </row>
    <row r="55" spans="80:170" x14ac:dyDescent="0.35">
      <c r="EP55" s="1689">
        <f>SUM(EP3:EP54)</f>
        <v>8243810</v>
      </c>
      <c r="EQ55" s="1689">
        <f t="shared" ref="EQ55:ER55" si="48">SUM(EQ3:EQ54)</f>
        <v>4931967.4850000003</v>
      </c>
      <c r="ER55" s="1689">
        <f t="shared" si="48"/>
        <v>3132628.5380000002</v>
      </c>
      <c r="FL55" s="283">
        <f>SUM(FL3:FL54)</f>
        <v>8243810</v>
      </c>
      <c r="FM55" s="283">
        <f t="shared" ref="FM55:FN55" si="49">SUM(FM3:FM54)</f>
        <v>5342523.6839999994</v>
      </c>
      <c r="FN55" s="283">
        <f t="shared" si="49"/>
        <v>3398639.63</v>
      </c>
    </row>
  </sheetData>
  <mergeCells count="13">
    <mergeCell ref="A1:E1"/>
    <mergeCell ref="M1:Q1"/>
    <mergeCell ref="U1:AA1"/>
    <mergeCell ref="DO1:DR1"/>
    <mergeCell ref="DH1:DK1"/>
    <mergeCell ref="CN1:CQ1"/>
    <mergeCell ref="CV1:DC1"/>
    <mergeCell ref="AO1:AV1"/>
    <mergeCell ref="EU1:EY1"/>
    <mergeCell ref="FD1:FL1"/>
    <mergeCell ref="EA1:EE1"/>
    <mergeCell ref="EI1:EP1"/>
    <mergeCell ref="AG1:AK1"/>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DFDD"/>
  </sheetPr>
  <dimension ref="A1:JS61"/>
  <sheetViews>
    <sheetView topLeftCell="FW1" zoomScale="80" zoomScaleNormal="80" workbookViewId="0">
      <selection activeCell="GW30" sqref="GW30"/>
    </sheetView>
  </sheetViews>
  <sheetFormatPr baseColWidth="10" defaultRowHeight="15" x14ac:dyDescent="0.25"/>
  <cols>
    <col min="1" max="1" width="15" bestFit="1" customWidth="1"/>
    <col min="2" max="2" width="47.140625" bestFit="1" customWidth="1"/>
    <col min="3" max="3" width="13.28515625" bestFit="1" customWidth="1"/>
    <col min="4" max="4" width="45.42578125" bestFit="1" customWidth="1"/>
    <col min="5" max="5" width="19.140625" hidden="1" customWidth="1"/>
    <col min="6" max="6" width="19.140625" style="74" customWidth="1"/>
    <col min="7" max="7" width="9" hidden="1" customWidth="1"/>
    <col min="8" max="8" width="13.85546875" style="74" customWidth="1"/>
    <col min="12" max="12" width="15.140625" customWidth="1"/>
    <col min="16" max="16" width="0" hidden="1" customWidth="1"/>
    <col min="21" max="21" width="14.140625" customWidth="1"/>
    <col min="24" max="24" width="48.42578125" customWidth="1"/>
    <col min="25" max="25" width="0" hidden="1" customWidth="1"/>
    <col min="33" max="33" width="28" customWidth="1"/>
    <col min="34" max="34" width="14" hidden="1" customWidth="1"/>
    <col min="35" max="35" width="11.42578125" style="74"/>
    <col min="41" max="41" width="29.85546875" customWidth="1"/>
    <col min="43" max="43" width="21" customWidth="1"/>
    <col min="44" max="44" width="17.7109375" customWidth="1"/>
    <col min="50" max="50" width="46.42578125" customWidth="1"/>
    <col min="52" max="52" width="41.42578125" customWidth="1"/>
    <col min="53" max="53" width="10.140625" hidden="1" customWidth="1"/>
    <col min="54" max="54" width="5.85546875" style="74" hidden="1" customWidth="1"/>
    <col min="55" max="55" width="5.85546875" hidden="1" customWidth="1"/>
    <col min="56" max="57" width="10.140625" style="74" customWidth="1"/>
    <col min="58" max="58" width="10.140625" customWidth="1"/>
    <col min="59" max="61" width="11.42578125" style="74"/>
    <col min="67" max="67" width="14" customWidth="1"/>
    <col min="77" max="77" width="14.140625" hidden="1" customWidth="1"/>
    <col min="78" max="79" width="12.28515625" hidden="1" customWidth="1"/>
    <col min="91" max="93" width="0" hidden="1" customWidth="1"/>
    <col min="102" max="102" width="16.5703125" customWidth="1"/>
    <col min="103" max="103" width="22.5703125" customWidth="1"/>
    <col min="104" max="106" width="0" hidden="1" customWidth="1"/>
    <col min="115" max="115" width="20.7109375" customWidth="1"/>
    <col min="117" max="119" width="0" hidden="1" customWidth="1"/>
    <col min="123" max="123" width="6.42578125" customWidth="1"/>
    <col min="124" max="124" width="7.5703125" customWidth="1"/>
    <col min="128" max="128" width="13.85546875" customWidth="1"/>
    <col min="129" max="129" width="34.5703125" style="69" customWidth="1"/>
    <col min="130" max="130" width="19" customWidth="1"/>
    <col min="131" max="134" width="19" hidden="1" customWidth="1"/>
    <col min="135" max="135" width="11.42578125" hidden="1" customWidth="1"/>
    <col min="144" max="146" width="0" hidden="1" customWidth="1"/>
    <col min="147" max="149" width="11.42578125" style="166"/>
    <col min="150" max="150" width="6.140625" customWidth="1"/>
    <col min="151" max="151" width="8.140625" customWidth="1"/>
    <col min="153" max="153" width="14.5703125" bestFit="1" customWidth="1"/>
    <col min="154" max="154" width="39.85546875" bestFit="1" customWidth="1"/>
    <col min="155" max="155" width="12.28515625" bestFit="1" customWidth="1"/>
    <col min="156" max="156" width="35.28515625" customWidth="1"/>
    <col min="157" max="157" width="56.140625" hidden="1" customWidth="1"/>
    <col min="158" max="159" width="0" hidden="1" customWidth="1"/>
    <col min="160" max="160" width="1.42578125" hidden="1" customWidth="1"/>
    <col min="161" max="162" width="0" hidden="1" customWidth="1"/>
    <col min="164" max="164" width="7" customWidth="1"/>
    <col min="165" max="165" width="8.5703125" customWidth="1"/>
    <col min="172" max="174" width="0" hidden="1" customWidth="1"/>
    <col min="185" max="186" width="0" hidden="1" customWidth="1"/>
    <col min="188" max="188" width="7.42578125" customWidth="1"/>
    <col min="189" max="189" width="7.7109375" customWidth="1"/>
    <col min="191" max="191" width="8.140625" style="69" customWidth="1"/>
    <col min="192" max="192" width="21" style="69" customWidth="1"/>
    <col min="193" max="193" width="11.42578125" style="636"/>
    <col min="194" max="194" width="34.5703125" style="69" customWidth="1"/>
    <col min="195" max="198" width="0" style="69" hidden="1" customWidth="1"/>
    <col min="199" max="201" width="11.42578125" style="636"/>
    <col min="207" max="207" width="18.140625" customWidth="1"/>
    <col min="210" max="211" width="0" hidden="1" customWidth="1"/>
    <col min="216" max="218" width="11.42578125" style="727"/>
    <col min="219" max="219" width="30.42578125" style="728" customWidth="1"/>
    <col min="220" max="220" width="34.5703125" style="728" hidden="1" customWidth="1"/>
    <col min="221" max="223" width="0" style="75" hidden="1" customWidth="1"/>
    <col min="224" max="226" width="11.42578125" style="723"/>
    <col min="236" max="238" width="0" hidden="1" customWidth="1"/>
    <col min="243" max="247" width="11.42578125" style="75"/>
    <col min="248" max="250" width="0" style="75" hidden="1" customWidth="1"/>
    <col min="251" max="253" width="11.42578125" style="723"/>
    <col min="258" max="258" width="27" customWidth="1"/>
    <col min="260" max="260" width="35.140625" customWidth="1"/>
    <col min="261" max="262" width="0" hidden="1" customWidth="1"/>
    <col min="263" max="263" width="11.42578125" style="777"/>
    <col min="270" max="270" width="37" customWidth="1"/>
    <col min="271" max="271" width="38" hidden="1" customWidth="1"/>
    <col min="272" max="274" width="0" hidden="1" customWidth="1"/>
  </cols>
  <sheetData>
    <row r="1" spans="1:279" ht="15.75" thickBot="1" x14ac:dyDescent="0.3">
      <c r="A1" s="1912">
        <v>44562</v>
      </c>
      <c r="B1" s="1909"/>
      <c r="C1" s="1909"/>
      <c r="D1" s="1909"/>
      <c r="E1" s="1909"/>
      <c r="F1" s="1909"/>
      <c r="G1" s="1909"/>
      <c r="H1" s="122"/>
      <c r="L1" s="1909" t="s">
        <v>694</v>
      </c>
      <c r="M1" s="1909"/>
      <c r="N1" s="1909"/>
      <c r="O1" s="1909"/>
      <c r="P1" s="1909"/>
      <c r="Q1" s="1909"/>
      <c r="R1">
        <v>1000</v>
      </c>
      <c r="S1">
        <v>1.0629999999999999</v>
      </c>
      <c r="U1" s="1909" t="s">
        <v>764</v>
      </c>
      <c r="V1" s="1909"/>
      <c r="W1" s="1909"/>
      <c r="X1" s="1909"/>
      <c r="Y1" s="1909"/>
      <c r="Z1" s="1909"/>
      <c r="AA1" s="74">
        <v>1000</v>
      </c>
      <c r="AB1" s="74">
        <v>1.0629999999999999</v>
      </c>
      <c r="AD1" s="1909" t="s">
        <v>785</v>
      </c>
      <c r="AE1" s="1909"/>
      <c r="AF1" s="1909"/>
      <c r="AG1" s="1909"/>
      <c r="AH1" s="1909"/>
      <c r="AI1" s="1909"/>
      <c r="AJ1" s="1909"/>
      <c r="AN1" s="1909" t="s">
        <v>692</v>
      </c>
      <c r="AO1" s="1909"/>
      <c r="AP1" s="1909"/>
      <c r="AQ1" s="1909"/>
      <c r="AR1" s="1909"/>
      <c r="AW1" s="1909" t="s">
        <v>695</v>
      </c>
      <c r="AX1" s="1909"/>
      <c r="AY1" s="1909"/>
      <c r="AZ1" s="1909"/>
      <c r="BA1" s="1909"/>
      <c r="BB1" s="1909"/>
      <c r="BC1" s="1909"/>
      <c r="BD1" s="1909"/>
      <c r="BE1" s="1909"/>
      <c r="BF1" s="1909"/>
      <c r="BG1" s="210"/>
      <c r="BH1" s="210"/>
      <c r="BI1" s="210"/>
      <c r="BK1" s="1909" t="s">
        <v>530</v>
      </c>
      <c r="BL1" s="1909"/>
      <c r="BM1" s="1909"/>
      <c r="BN1" s="1909"/>
      <c r="BO1" s="1909"/>
      <c r="BP1" s="74"/>
      <c r="BT1" s="1909" t="s">
        <v>820</v>
      </c>
      <c r="BU1" s="1909"/>
      <c r="BV1" s="1909"/>
      <c r="BW1" s="1909"/>
      <c r="BX1" s="1909"/>
      <c r="BY1" s="1909"/>
      <c r="BZ1" s="1909"/>
      <c r="CA1" s="1909"/>
      <c r="CB1" s="1909"/>
      <c r="CC1" s="1909"/>
      <c r="CD1" s="1909"/>
      <c r="CE1" s="1909"/>
      <c r="CF1" s="1909"/>
      <c r="CH1" s="1909" t="s">
        <v>696</v>
      </c>
      <c r="CI1" s="1909"/>
      <c r="CJ1" s="1909"/>
      <c r="CK1" s="1909"/>
      <c r="CL1" s="1909"/>
      <c r="CM1" s="1909"/>
      <c r="CN1" s="1909"/>
      <c r="CO1" s="1909"/>
      <c r="CP1" s="1909"/>
      <c r="CQ1" s="1909"/>
      <c r="CR1" s="1909"/>
      <c r="CS1" s="1909"/>
      <c r="CT1" s="1909"/>
      <c r="CV1" s="1909" t="s">
        <v>845</v>
      </c>
      <c r="CW1" s="1909"/>
      <c r="CX1" s="1909"/>
      <c r="CY1" s="1909"/>
      <c r="CZ1" s="1909"/>
      <c r="DA1" s="1909"/>
      <c r="DB1" s="1909"/>
      <c r="DC1" s="1909"/>
      <c r="DD1" s="1909"/>
      <c r="DE1" s="1909"/>
      <c r="DI1" s="1909" t="s">
        <v>849</v>
      </c>
      <c r="DJ1" s="1909"/>
      <c r="DK1" s="1909"/>
      <c r="DL1" s="1909"/>
      <c r="DM1" s="1909"/>
      <c r="DN1" s="1909"/>
      <c r="DO1" s="1909"/>
      <c r="DP1" s="1909"/>
      <c r="DQ1" s="1909"/>
      <c r="DR1" s="1909"/>
      <c r="DV1" s="1909" t="s">
        <v>699</v>
      </c>
      <c r="DW1" s="1909"/>
      <c r="DX1" s="1909"/>
      <c r="DY1" s="1909"/>
      <c r="DZ1" s="1909"/>
      <c r="EA1" s="1909"/>
      <c r="EB1" s="1909"/>
      <c r="EC1" s="1909"/>
      <c r="ED1" s="1909"/>
      <c r="EE1" s="1909"/>
      <c r="EF1" s="1909"/>
      <c r="EI1" s="1909" t="s">
        <v>865</v>
      </c>
      <c r="EJ1" s="1909"/>
      <c r="EK1" s="1909"/>
      <c r="EL1" s="1909"/>
      <c r="EM1" s="1909"/>
      <c r="EN1" s="1909"/>
      <c r="EO1" s="1909"/>
      <c r="EP1" s="1909"/>
      <c r="EQ1" s="1909"/>
      <c r="ER1" s="1909"/>
      <c r="ES1" s="1909"/>
      <c r="ET1" s="1909"/>
      <c r="EU1" s="1909"/>
      <c r="EW1" s="1909" t="s">
        <v>10</v>
      </c>
      <c r="EX1" s="1909"/>
      <c r="EY1" s="1909"/>
      <c r="EZ1" s="1909"/>
      <c r="FA1" s="1909"/>
      <c r="FB1" s="1909"/>
      <c r="FC1" s="1909"/>
      <c r="FD1" s="1909"/>
      <c r="FE1" s="1909"/>
      <c r="FF1" s="1909"/>
      <c r="FG1" s="1909"/>
      <c r="FK1" s="1909" t="s">
        <v>871</v>
      </c>
      <c r="FL1" s="1909"/>
      <c r="FM1" s="1909"/>
      <c r="FN1" s="1909"/>
      <c r="FO1" s="1909"/>
      <c r="FP1" s="1909"/>
      <c r="FQ1" s="1909"/>
      <c r="FR1" s="1909"/>
      <c r="FS1" s="1909"/>
      <c r="FT1" s="1909"/>
      <c r="FU1" s="1909"/>
      <c r="FY1" s="1904" t="s">
        <v>11</v>
      </c>
      <c r="FZ1" s="1904"/>
      <c r="GA1" s="1904"/>
      <c r="GB1" s="1904"/>
      <c r="GC1" s="1904"/>
      <c r="GD1" s="1904"/>
      <c r="GE1" s="1904"/>
      <c r="GI1" s="1913" t="s">
        <v>876</v>
      </c>
      <c r="GJ1" s="1914"/>
      <c r="GK1" s="1914"/>
      <c r="GL1" s="1914"/>
      <c r="GM1" s="1914"/>
      <c r="GN1" s="1914"/>
      <c r="GO1" s="1914"/>
      <c r="GP1" s="1914"/>
      <c r="GQ1" s="1914"/>
      <c r="GR1" s="1914"/>
      <c r="GS1" s="1914"/>
      <c r="GT1" s="1915"/>
      <c r="GX1" s="1909" t="s">
        <v>12</v>
      </c>
      <c r="GY1" s="1909"/>
      <c r="GZ1" s="1909"/>
      <c r="HA1" s="1909"/>
      <c r="HB1" s="1909"/>
      <c r="HC1" s="1909"/>
      <c r="HD1" s="1909"/>
      <c r="HE1" s="1909"/>
      <c r="HF1" s="1909"/>
      <c r="HH1" s="1912" t="s">
        <v>898</v>
      </c>
      <c r="HI1" s="1909"/>
      <c r="HJ1" s="1909"/>
      <c r="HK1" s="1909"/>
      <c r="HL1" s="1909"/>
      <c r="HM1" s="1909"/>
      <c r="HN1" s="1909"/>
      <c r="HO1" s="1909"/>
      <c r="HP1" s="1909"/>
      <c r="HQ1" s="1909"/>
      <c r="HR1" s="1909"/>
      <c r="HW1" s="1909" t="s">
        <v>13</v>
      </c>
      <c r="HX1" s="1909"/>
      <c r="HY1" s="1909"/>
      <c r="HZ1" s="1909"/>
      <c r="IA1" s="1909"/>
      <c r="IB1" s="1909"/>
      <c r="IC1" s="1909"/>
      <c r="ID1" s="1909"/>
      <c r="IE1" s="1909"/>
      <c r="IF1" s="1909"/>
      <c r="IG1" s="1909"/>
      <c r="II1" s="1909" t="s">
        <v>909</v>
      </c>
      <c r="IJ1" s="1909"/>
      <c r="IK1" s="1909"/>
      <c r="IL1" s="1909"/>
      <c r="IM1" s="1909"/>
      <c r="IN1" s="1909"/>
      <c r="IO1" s="1909"/>
      <c r="IP1" s="1909"/>
      <c r="IQ1" s="1909"/>
      <c r="IR1" s="1909"/>
      <c r="IS1" s="1909"/>
      <c r="IW1" s="1909" t="s">
        <v>14</v>
      </c>
      <c r="IX1" s="1909"/>
      <c r="IY1" s="1909"/>
      <c r="IZ1" s="1909"/>
      <c r="JA1" s="1909"/>
      <c r="JB1" s="1909"/>
      <c r="JC1" s="1909"/>
      <c r="JG1" s="1909" t="s">
        <v>918</v>
      </c>
      <c r="JH1" s="1909"/>
      <c r="JI1" s="1909"/>
      <c r="JJ1" s="1909"/>
      <c r="JK1" s="1909"/>
      <c r="JL1" s="1909"/>
      <c r="JM1" s="1909"/>
      <c r="JN1" s="1909"/>
      <c r="JO1" s="1909"/>
      <c r="JP1" s="1909"/>
      <c r="JQ1" s="1909"/>
    </row>
    <row r="2" spans="1:279" ht="29.25" customHeight="1" x14ac:dyDescent="0.25">
      <c r="A2" s="96" t="s">
        <v>425</v>
      </c>
      <c r="B2" s="96" t="s">
        <v>453</v>
      </c>
      <c r="C2" s="96" t="s">
        <v>426</v>
      </c>
      <c r="D2" s="96" t="s">
        <v>535</v>
      </c>
      <c r="E2" s="96" t="s">
        <v>467</v>
      </c>
      <c r="F2" s="245" t="s">
        <v>467</v>
      </c>
      <c r="G2" s="245" t="s">
        <v>429</v>
      </c>
      <c r="H2" s="245" t="s">
        <v>429</v>
      </c>
      <c r="I2">
        <v>1000</v>
      </c>
      <c r="J2">
        <v>1.0629999999999999</v>
      </c>
      <c r="L2" s="98" t="s">
        <v>425</v>
      </c>
      <c r="M2" s="98" t="s">
        <v>453</v>
      </c>
      <c r="N2" s="98" t="s">
        <v>426</v>
      </c>
      <c r="O2" s="98" t="s">
        <v>535</v>
      </c>
      <c r="P2" s="98" t="s">
        <v>429</v>
      </c>
      <c r="Q2" s="98" t="s">
        <v>429</v>
      </c>
      <c r="U2" s="98" t="s">
        <v>425</v>
      </c>
      <c r="V2" s="98" t="s">
        <v>453</v>
      </c>
      <c r="W2" s="98" t="s">
        <v>426</v>
      </c>
      <c r="X2" s="98" t="s">
        <v>535</v>
      </c>
      <c r="Y2" s="98" t="s">
        <v>467</v>
      </c>
      <c r="Z2" s="98" t="s">
        <v>467</v>
      </c>
      <c r="AD2" s="98" t="s">
        <v>425</v>
      </c>
      <c r="AE2" s="98" t="s">
        <v>453</v>
      </c>
      <c r="AF2" s="98" t="s">
        <v>426</v>
      </c>
      <c r="AG2" s="98" t="s">
        <v>535</v>
      </c>
      <c r="AH2" s="98" t="s">
        <v>467</v>
      </c>
      <c r="AI2" s="98" t="s">
        <v>467</v>
      </c>
      <c r="AJ2" s="98" t="s">
        <v>429</v>
      </c>
      <c r="AK2">
        <v>1000</v>
      </c>
      <c r="AL2">
        <v>1.0629999999999999</v>
      </c>
      <c r="AN2" s="98" t="s">
        <v>425</v>
      </c>
      <c r="AO2" s="98" t="s">
        <v>453</v>
      </c>
      <c r="AP2" s="98" t="s">
        <v>426</v>
      </c>
      <c r="AQ2" s="98" t="s">
        <v>535</v>
      </c>
      <c r="AR2" s="98" t="s">
        <v>429</v>
      </c>
      <c r="AS2" s="98" t="s">
        <v>429</v>
      </c>
      <c r="AT2">
        <v>1000</v>
      </c>
      <c r="AU2">
        <v>1.0629999999999999</v>
      </c>
      <c r="AW2" s="295" t="s">
        <v>425</v>
      </c>
      <c r="AX2" s="295" t="s">
        <v>453</v>
      </c>
      <c r="AY2" s="295" t="s">
        <v>426</v>
      </c>
      <c r="AZ2" s="295" t="s">
        <v>535</v>
      </c>
      <c r="BA2" s="295" t="s">
        <v>467</v>
      </c>
      <c r="BB2" s="295" t="s">
        <v>487</v>
      </c>
      <c r="BC2" s="295" t="s">
        <v>429</v>
      </c>
      <c r="BD2" s="295" t="s">
        <v>802</v>
      </c>
      <c r="BE2" s="295" t="s">
        <v>800</v>
      </c>
      <c r="BF2" s="295" t="s">
        <v>801</v>
      </c>
      <c r="BG2" s="99">
        <v>1000</v>
      </c>
      <c r="BH2" s="99">
        <v>1.0629999999999999</v>
      </c>
      <c r="BI2" s="99"/>
      <c r="BK2" s="295" t="s">
        <v>425</v>
      </c>
      <c r="BL2" s="295" t="s">
        <v>453</v>
      </c>
      <c r="BM2" s="295" t="s">
        <v>426</v>
      </c>
      <c r="BN2" s="295" t="s">
        <v>535</v>
      </c>
      <c r="BO2" s="295" t="s">
        <v>429</v>
      </c>
      <c r="BP2" s="295" t="s">
        <v>429</v>
      </c>
      <c r="BQ2">
        <v>1000</v>
      </c>
      <c r="BR2">
        <v>1.0629999999999999</v>
      </c>
      <c r="BT2" s="295" t="s">
        <v>425</v>
      </c>
      <c r="BU2" s="295" t="s">
        <v>453</v>
      </c>
      <c r="BV2" s="295" t="s">
        <v>426</v>
      </c>
      <c r="BW2" s="295" t="s">
        <v>535</v>
      </c>
      <c r="BX2" s="295" t="s">
        <v>427</v>
      </c>
      <c r="BY2" s="295" t="s">
        <v>467</v>
      </c>
      <c r="BZ2" s="295" t="s">
        <v>487</v>
      </c>
      <c r="CA2" s="295" t="s">
        <v>429</v>
      </c>
      <c r="CB2" s="295" t="s">
        <v>821</v>
      </c>
      <c r="CC2" s="295" t="s">
        <v>822</v>
      </c>
      <c r="CD2" s="295" t="s">
        <v>823</v>
      </c>
      <c r="CE2">
        <v>1000</v>
      </c>
      <c r="CF2">
        <v>1.0629999999999999</v>
      </c>
      <c r="CH2" s="295" t="s">
        <v>425</v>
      </c>
      <c r="CI2" s="295" t="s">
        <v>453</v>
      </c>
      <c r="CJ2" s="295" t="s">
        <v>426</v>
      </c>
      <c r="CK2" s="295" t="s">
        <v>535</v>
      </c>
      <c r="CL2" s="295" t="s">
        <v>427</v>
      </c>
      <c r="CM2" s="295" t="s">
        <v>467</v>
      </c>
      <c r="CN2" s="295" t="s">
        <v>487</v>
      </c>
      <c r="CO2" s="295" t="s">
        <v>429</v>
      </c>
      <c r="CP2" s="295" t="s">
        <v>821</v>
      </c>
      <c r="CQ2" s="295" t="s">
        <v>822</v>
      </c>
      <c r="CR2" s="295" t="s">
        <v>823</v>
      </c>
      <c r="CS2">
        <v>1000</v>
      </c>
      <c r="CT2">
        <v>1.0629999999999999</v>
      </c>
      <c r="CV2" s="295" t="s">
        <v>425</v>
      </c>
      <c r="CW2" s="295" t="s">
        <v>453</v>
      </c>
      <c r="CX2" s="295" t="s">
        <v>426</v>
      </c>
      <c r="CY2" s="295" t="s">
        <v>535</v>
      </c>
      <c r="CZ2" s="295" t="s">
        <v>467</v>
      </c>
      <c r="DA2" s="295" t="s">
        <v>487</v>
      </c>
      <c r="DB2" s="295" t="s">
        <v>429</v>
      </c>
      <c r="DC2" s="295" t="s">
        <v>467</v>
      </c>
      <c r="DD2" s="295" t="s">
        <v>487</v>
      </c>
      <c r="DE2" s="295" t="s">
        <v>429</v>
      </c>
      <c r="DF2">
        <v>1000</v>
      </c>
      <c r="DG2">
        <v>1.0629999999999999</v>
      </c>
      <c r="DI2" s="295" t="s">
        <v>425</v>
      </c>
      <c r="DJ2" s="295" t="s">
        <v>453</v>
      </c>
      <c r="DK2" s="295" t="s">
        <v>426</v>
      </c>
      <c r="DL2" s="295" t="s">
        <v>535</v>
      </c>
      <c r="DM2" s="295" t="s">
        <v>467</v>
      </c>
      <c r="DN2" s="295" t="s">
        <v>487</v>
      </c>
      <c r="DO2" s="295" t="s">
        <v>429</v>
      </c>
      <c r="DP2" s="295" t="s">
        <v>467</v>
      </c>
      <c r="DQ2" s="295" t="s">
        <v>487</v>
      </c>
      <c r="DR2" s="295" t="s">
        <v>429</v>
      </c>
      <c r="DS2">
        <v>1000</v>
      </c>
      <c r="DT2">
        <v>1.0629999999999999</v>
      </c>
      <c r="DV2" s="295" t="s">
        <v>425</v>
      </c>
      <c r="DW2" s="295" t="s">
        <v>453</v>
      </c>
      <c r="DX2" s="295" t="s">
        <v>426</v>
      </c>
      <c r="DY2" s="295" t="s">
        <v>535</v>
      </c>
      <c r="DZ2" s="295" t="s">
        <v>427</v>
      </c>
      <c r="EA2" s="295" t="s">
        <v>467</v>
      </c>
      <c r="EB2" s="295" t="s">
        <v>487</v>
      </c>
      <c r="EC2" s="295" t="s">
        <v>429</v>
      </c>
      <c r="ED2" s="295" t="s">
        <v>858</v>
      </c>
      <c r="EE2" s="295" t="s">
        <v>862</v>
      </c>
      <c r="EF2" s="295" t="s">
        <v>863</v>
      </c>
      <c r="EG2">
        <v>1000</v>
      </c>
      <c r="EH2">
        <v>1.0629999999999999</v>
      </c>
      <c r="EI2" s="295" t="s">
        <v>425</v>
      </c>
      <c r="EJ2" s="295" t="s">
        <v>453</v>
      </c>
      <c r="EK2" s="295" t="s">
        <v>426</v>
      </c>
      <c r="EL2" s="295" t="s">
        <v>535</v>
      </c>
      <c r="EM2" s="295" t="s">
        <v>427</v>
      </c>
      <c r="EN2" s="295" t="s">
        <v>467</v>
      </c>
      <c r="EO2" s="295" t="s">
        <v>487</v>
      </c>
      <c r="EP2" s="295" t="s">
        <v>429</v>
      </c>
      <c r="EQ2" s="295" t="s">
        <v>858</v>
      </c>
      <c r="ER2" s="295" t="s">
        <v>862</v>
      </c>
      <c r="ES2" s="295" t="s">
        <v>863</v>
      </c>
      <c r="ET2">
        <v>1000</v>
      </c>
      <c r="EU2">
        <v>1.0629999999999999</v>
      </c>
      <c r="EW2" s="295" t="s">
        <v>425</v>
      </c>
      <c r="EX2" s="295" t="s">
        <v>453</v>
      </c>
      <c r="EY2" s="295" t="s">
        <v>426</v>
      </c>
      <c r="EZ2" s="295" t="s">
        <v>535</v>
      </c>
      <c r="FA2" s="295" t="s">
        <v>427</v>
      </c>
      <c r="FB2" s="295" t="s">
        <v>467</v>
      </c>
      <c r="FC2" s="295" t="s">
        <v>487</v>
      </c>
      <c r="FD2" s="295" t="s">
        <v>429</v>
      </c>
      <c r="FE2" s="295" t="s">
        <v>467</v>
      </c>
      <c r="FF2" s="295" t="s">
        <v>487</v>
      </c>
      <c r="FG2" s="295" t="s">
        <v>429</v>
      </c>
      <c r="FH2">
        <v>1000</v>
      </c>
      <c r="FI2">
        <v>1.0629999999999999</v>
      </c>
      <c r="FK2" s="295" t="s">
        <v>425</v>
      </c>
      <c r="FL2" s="295" t="s">
        <v>453</v>
      </c>
      <c r="FM2" s="295" t="s">
        <v>426</v>
      </c>
      <c r="FN2" s="295" t="s">
        <v>535</v>
      </c>
      <c r="FO2" s="295" t="s">
        <v>427</v>
      </c>
      <c r="FP2" s="295" t="s">
        <v>467</v>
      </c>
      <c r="FQ2" s="295" t="s">
        <v>487</v>
      </c>
      <c r="FR2" s="295" t="s">
        <v>429</v>
      </c>
      <c r="FS2" s="295" t="s">
        <v>467</v>
      </c>
      <c r="FT2" s="295" t="s">
        <v>487</v>
      </c>
      <c r="FU2" s="295" t="s">
        <v>429</v>
      </c>
      <c r="FV2">
        <v>1000</v>
      </c>
      <c r="FW2">
        <v>1.0629999999999999</v>
      </c>
      <c r="FY2" s="1758" t="s">
        <v>425</v>
      </c>
      <c r="FZ2" s="1758" t="s">
        <v>453</v>
      </c>
      <c r="GA2" s="1758" t="s">
        <v>426</v>
      </c>
      <c r="GB2" s="1758" t="s">
        <v>535</v>
      </c>
      <c r="GC2" s="1758" t="s">
        <v>427</v>
      </c>
      <c r="GD2" s="1758" t="s">
        <v>429</v>
      </c>
      <c r="GE2" s="1758" t="s">
        <v>429</v>
      </c>
      <c r="GF2">
        <v>1000</v>
      </c>
      <c r="GG2" s="74">
        <v>1.0629999999999999</v>
      </c>
      <c r="GH2" s="74"/>
      <c r="GI2" s="1758" t="s">
        <v>425</v>
      </c>
      <c r="GJ2" s="1758" t="s">
        <v>453</v>
      </c>
      <c r="GK2" s="1758" t="s">
        <v>426</v>
      </c>
      <c r="GL2" s="1758" t="s">
        <v>535</v>
      </c>
      <c r="GM2" s="1758" t="s">
        <v>427</v>
      </c>
      <c r="GN2" s="1758" t="s">
        <v>467</v>
      </c>
      <c r="GO2" s="1758" t="s">
        <v>487</v>
      </c>
      <c r="GP2" s="1758" t="s">
        <v>429</v>
      </c>
      <c r="GQ2" s="1758" t="s">
        <v>467</v>
      </c>
      <c r="GR2" s="1758" t="s">
        <v>487</v>
      </c>
      <c r="GS2" s="1758" t="s">
        <v>429</v>
      </c>
      <c r="GT2">
        <v>1000</v>
      </c>
      <c r="GU2">
        <v>1.0629999999999999</v>
      </c>
      <c r="GX2" s="295" t="s">
        <v>425</v>
      </c>
      <c r="GY2" s="295" t="s">
        <v>453</v>
      </c>
      <c r="GZ2" s="295" t="s">
        <v>426</v>
      </c>
      <c r="HA2" s="295" t="s">
        <v>535</v>
      </c>
      <c r="HB2" s="295" t="s">
        <v>427</v>
      </c>
      <c r="HC2" s="295" t="s">
        <v>429</v>
      </c>
      <c r="HD2" s="295" t="s">
        <v>429</v>
      </c>
      <c r="HE2" s="80">
        <v>1000</v>
      </c>
      <c r="HF2" s="80">
        <v>1</v>
      </c>
      <c r="HH2" s="295" t="s">
        <v>425</v>
      </c>
      <c r="HI2" s="295" t="s">
        <v>453</v>
      </c>
      <c r="HJ2" s="295" t="s">
        <v>426</v>
      </c>
      <c r="HK2" s="295" t="s">
        <v>535</v>
      </c>
      <c r="HL2" s="295" t="s">
        <v>427</v>
      </c>
      <c r="HM2" s="295" t="s">
        <v>467</v>
      </c>
      <c r="HN2" s="295" t="s">
        <v>487</v>
      </c>
      <c r="HO2" s="295" t="s">
        <v>429</v>
      </c>
      <c r="HP2" s="295" t="s">
        <v>467</v>
      </c>
      <c r="HQ2" s="295" t="s">
        <v>487</v>
      </c>
      <c r="HR2" s="295" t="s">
        <v>429</v>
      </c>
      <c r="HS2">
        <v>1000</v>
      </c>
      <c r="HT2">
        <v>1</v>
      </c>
      <c r="HW2" s="295" t="s">
        <v>425</v>
      </c>
      <c r="HX2" s="295" t="s">
        <v>453</v>
      </c>
      <c r="HY2" s="295" t="s">
        <v>426</v>
      </c>
      <c r="HZ2" s="295" t="s">
        <v>535</v>
      </c>
      <c r="IA2" s="295" t="s">
        <v>427</v>
      </c>
      <c r="IB2" s="295" t="s">
        <v>467</v>
      </c>
      <c r="IC2" s="295" t="s">
        <v>487</v>
      </c>
      <c r="ID2" s="295" t="s">
        <v>429</v>
      </c>
      <c r="IE2" s="295" t="s">
        <v>429</v>
      </c>
      <c r="IF2">
        <v>1000</v>
      </c>
      <c r="IG2">
        <v>1</v>
      </c>
      <c r="II2" s="295" t="s">
        <v>425</v>
      </c>
      <c r="IJ2" s="295" t="s">
        <v>453</v>
      </c>
      <c r="IK2" s="295" t="s">
        <v>426</v>
      </c>
      <c r="IL2" s="295" t="s">
        <v>535</v>
      </c>
      <c r="IM2" s="295" t="s">
        <v>427</v>
      </c>
      <c r="IN2" s="295" t="s">
        <v>467</v>
      </c>
      <c r="IO2" s="295" t="s">
        <v>487</v>
      </c>
      <c r="IP2" s="295" t="s">
        <v>429</v>
      </c>
      <c r="IQ2" s="295" t="s">
        <v>467</v>
      </c>
      <c r="IR2" s="295" t="s">
        <v>487</v>
      </c>
      <c r="IS2" s="295" t="s">
        <v>429</v>
      </c>
      <c r="IT2">
        <v>1000</v>
      </c>
      <c r="IU2">
        <v>1</v>
      </c>
      <c r="IW2" s="295" t="s">
        <v>425</v>
      </c>
      <c r="IX2" s="295" t="s">
        <v>453</v>
      </c>
      <c r="IY2" s="295" t="s">
        <v>426</v>
      </c>
      <c r="IZ2" s="295" t="s">
        <v>535</v>
      </c>
      <c r="JA2" s="295" t="s">
        <v>427</v>
      </c>
      <c r="JB2" s="295" t="s">
        <v>429</v>
      </c>
      <c r="JC2" s="295" t="s">
        <v>429</v>
      </c>
      <c r="JD2">
        <v>1000</v>
      </c>
      <c r="JE2">
        <v>1</v>
      </c>
      <c r="JG2" s="295" t="s">
        <v>425</v>
      </c>
      <c r="JH2" s="295" t="s">
        <v>453</v>
      </c>
      <c r="JI2" s="295" t="s">
        <v>426</v>
      </c>
      <c r="JJ2" s="295" t="s">
        <v>535</v>
      </c>
      <c r="JK2" s="295" t="s">
        <v>427</v>
      </c>
      <c r="JL2" s="295" t="s">
        <v>467</v>
      </c>
      <c r="JM2" s="295" t="s">
        <v>487</v>
      </c>
      <c r="JN2" s="295" t="s">
        <v>429</v>
      </c>
      <c r="JO2" s="295" t="s">
        <v>467</v>
      </c>
      <c r="JP2" s="295" t="s">
        <v>487</v>
      </c>
      <c r="JQ2" s="295" t="s">
        <v>429</v>
      </c>
      <c r="JR2">
        <v>1000</v>
      </c>
      <c r="JS2">
        <v>1</v>
      </c>
    </row>
    <row r="3" spans="1:279" ht="15" customHeight="1" x14ac:dyDescent="0.25">
      <c r="A3" s="91" t="s">
        <v>430</v>
      </c>
      <c r="B3" s="91" t="s">
        <v>454</v>
      </c>
      <c r="C3" s="91" t="s">
        <v>457</v>
      </c>
      <c r="D3" s="91" t="s">
        <v>274</v>
      </c>
      <c r="E3" s="92">
        <v>1090011249</v>
      </c>
      <c r="F3" s="92">
        <f>+E3/$I$2*$J$2</f>
        <v>1158681.957687</v>
      </c>
      <c r="G3" s="92">
        <v>0</v>
      </c>
      <c r="H3" s="92">
        <f>+G3/$I$2*$J$2</f>
        <v>0</v>
      </c>
      <c r="L3" s="89" t="s">
        <v>434</v>
      </c>
      <c r="M3" s="89" t="s">
        <v>307</v>
      </c>
      <c r="N3" s="89" t="s">
        <v>437</v>
      </c>
      <c r="O3" s="89" t="s">
        <v>329</v>
      </c>
      <c r="P3" s="90">
        <v>9692789</v>
      </c>
      <c r="Q3" s="90">
        <f t="shared" ref="Q3:Q8" si="0">+P3/$R$1*$S$1</f>
        <v>10303.434707</v>
      </c>
      <c r="U3" s="89" t="s">
        <v>430</v>
      </c>
      <c r="V3" s="89" t="s">
        <v>454</v>
      </c>
      <c r="W3" s="89" t="s">
        <v>457</v>
      </c>
      <c r="X3" s="1228" t="s">
        <v>274</v>
      </c>
      <c r="Y3" s="90">
        <v>1090011249</v>
      </c>
      <c r="Z3" s="90">
        <f>+Y3/$AA$1*$AB$1</f>
        <v>1158681.957687</v>
      </c>
      <c r="AD3" s="89" t="s">
        <v>430</v>
      </c>
      <c r="AE3" s="89" t="s">
        <v>454</v>
      </c>
      <c r="AF3" s="89" t="s">
        <v>457</v>
      </c>
      <c r="AG3" s="89" t="s">
        <v>274</v>
      </c>
      <c r="AH3" s="90">
        <v>1090011249</v>
      </c>
      <c r="AI3" s="90">
        <f>+AH3/$AK$2*$AL$2</f>
        <v>1158681.957687</v>
      </c>
      <c r="AJ3" s="90">
        <v>0</v>
      </c>
      <c r="AM3" s="166"/>
      <c r="AN3" s="89" t="s">
        <v>430</v>
      </c>
      <c r="AO3" s="89" t="s">
        <v>454</v>
      </c>
      <c r="AP3" s="89" t="s">
        <v>457</v>
      </c>
      <c r="AQ3" s="89" t="s">
        <v>274</v>
      </c>
      <c r="AR3" s="90">
        <v>47700000</v>
      </c>
      <c r="AS3" s="90">
        <f>+AR3/$AT$2*$AU$2</f>
        <v>50705.1</v>
      </c>
      <c r="AW3" s="89" t="s">
        <v>430</v>
      </c>
      <c r="AX3" s="89" t="s">
        <v>454</v>
      </c>
      <c r="AY3" s="89">
        <v>42426001</v>
      </c>
      <c r="AZ3" s="89" t="s">
        <v>274</v>
      </c>
      <c r="BA3" s="90">
        <v>1090011249</v>
      </c>
      <c r="BB3" s="90">
        <v>0</v>
      </c>
      <c r="BC3" s="90">
        <v>0</v>
      </c>
      <c r="BD3" s="90">
        <f t="shared" ref="BD3:BD34" si="1">+BA3/$BG$2*$BH$2</f>
        <v>1158681.957687</v>
      </c>
      <c r="BE3" s="90">
        <f t="shared" ref="BE3:BE34" si="2">+BB3/$BG$2*$BH$2</f>
        <v>0</v>
      </c>
      <c r="BF3" s="90">
        <f t="shared" ref="BF3:BF34" si="3">+BC3/$BG$2*$BH$2</f>
        <v>0</v>
      </c>
      <c r="BK3" s="89" t="s">
        <v>438</v>
      </c>
      <c r="BL3" s="89" t="s">
        <v>335</v>
      </c>
      <c r="BM3" s="89" t="s">
        <v>629</v>
      </c>
      <c r="BN3" s="89" t="s">
        <v>630</v>
      </c>
      <c r="BO3" s="90">
        <v>750000</v>
      </c>
      <c r="BP3" s="90">
        <f t="shared" ref="BP3:BP8" si="4">+BO3/$BQ$2*$BR$2</f>
        <v>797.25</v>
      </c>
      <c r="BT3" s="86" t="s">
        <v>430</v>
      </c>
      <c r="BU3" s="86" t="s">
        <v>454</v>
      </c>
      <c r="BV3" s="86" t="s">
        <v>457</v>
      </c>
      <c r="BW3" s="86" t="s">
        <v>274</v>
      </c>
      <c r="BX3" s="296" t="s">
        <v>433</v>
      </c>
      <c r="BY3" s="87">
        <v>1090011249</v>
      </c>
      <c r="BZ3" s="87">
        <v>0</v>
      </c>
      <c r="CA3" s="87">
        <v>0</v>
      </c>
      <c r="CB3" s="166">
        <f>+BY3/$CE$2*$CF$2</f>
        <v>1158681.957687</v>
      </c>
      <c r="CC3" s="166">
        <f>+BZ3/$CE$2*$CF$2</f>
        <v>0</v>
      </c>
      <c r="CD3" s="166">
        <f>+CA3/$CE$2*$CF$2</f>
        <v>0</v>
      </c>
      <c r="CH3" s="86" t="s">
        <v>430</v>
      </c>
      <c r="CI3" s="86" t="s">
        <v>454</v>
      </c>
      <c r="CJ3" s="86">
        <v>42426001</v>
      </c>
      <c r="CK3" s="86" t="s">
        <v>274</v>
      </c>
      <c r="CL3" s="296" t="s">
        <v>433</v>
      </c>
      <c r="CM3" s="87">
        <v>0</v>
      </c>
      <c r="CN3" s="87">
        <v>0</v>
      </c>
      <c r="CO3" s="87">
        <v>18000000</v>
      </c>
      <c r="CP3" s="301">
        <f>+CM3/$CS$2*$CT$2</f>
        <v>0</v>
      </c>
      <c r="CQ3" s="301">
        <f>+CN3/$CS$2*$CT$2</f>
        <v>0</v>
      </c>
      <c r="CR3" s="301">
        <f>+CO3/$CS$2*$CT$2</f>
        <v>19134</v>
      </c>
      <c r="CV3" s="88" t="s">
        <v>430</v>
      </c>
      <c r="CW3" s="88" t="s">
        <v>454</v>
      </c>
      <c r="CX3" s="88" t="s">
        <v>431</v>
      </c>
      <c r="CY3" s="88" t="s">
        <v>432</v>
      </c>
      <c r="CZ3" s="88">
        <v>49731249</v>
      </c>
      <c r="DA3" s="88">
        <v>0</v>
      </c>
      <c r="DB3" s="88">
        <v>0</v>
      </c>
      <c r="DC3" s="557">
        <f>+CZ3/$DF$2*$DG$2</f>
        <v>52864.317687000002</v>
      </c>
      <c r="DD3" s="557">
        <f>+DA3/$DF$2*$DG$2</f>
        <v>0</v>
      </c>
      <c r="DE3" s="557">
        <f>+DB3/$DF$2*$DG$2</f>
        <v>0</v>
      </c>
      <c r="DI3" s="307" t="s">
        <v>430</v>
      </c>
      <c r="DJ3" s="307" t="s">
        <v>454</v>
      </c>
      <c r="DK3" s="307" t="s">
        <v>457</v>
      </c>
      <c r="DL3" s="307" t="s">
        <v>274</v>
      </c>
      <c r="DM3" s="79">
        <v>1087480000</v>
      </c>
      <c r="DN3" s="79">
        <v>0</v>
      </c>
      <c r="DO3" s="79">
        <v>0</v>
      </c>
      <c r="DP3" s="560">
        <f>+DM3/$DS$2*$DT$2</f>
        <v>1155991.24</v>
      </c>
      <c r="DQ3" s="560">
        <f>+DN3/$DS$2*$DT$2</f>
        <v>0</v>
      </c>
      <c r="DR3" s="560">
        <f>+DO3/$DS$2*$DT$2</f>
        <v>0</v>
      </c>
      <c r="DV3" s="534" t="s">
        <v>430</v>
      </c>
      <c r="DW3" s="534" t="s">
        <v>454</v>
      </c>
      <c r="DX3" s="534" t="s">
        <v>457</v>
      </c>
      <c r="DY3" s="536" t="s">
        <v>274</v>
      </c>
      <c r="DZ3" s="561" t="s">
        <v>433</v>
      </c>
      <c r="EA3" s="535">
        <v>14607000</v>
      </c>
      <c r="EB3" s="535">
        <v>0</v>
      </c>
      <c r="EC3" s="535">
        <v>0</v>
      </c>
      <c r="ED3" s="535">
        <f>+EA3/$EG$2*$EH$2</f>
        <v>15527.241</v>
      </c>
      <c r="EE3" s="535">
        <f>+EB3/$EG$2*$EH$2</f>
        <v>0</v>
      </c>
      <c r="EF3" s="535">
        <f>+EC3/$EG$2*$EH$2</f>
        <v>0</v>
      </c>
      <c r="EG3" s="95"/>
      <c r="EI3" s="88" t="s">
        <v>430</v>
      </c>
      <c r="EJ3" s="88" t="s">
        <v>454</v>
      </c>
      <c r="EK3" s="88" t="s">
        <v>457</v>
      </c>
      <c r="EL3" s="88" t="s">
        <v>274</v>
      </c>
      <c r="EM3" s="88" t="s">
        <v>433</v>
      </c>
      <c r="EN3" s="88">
        <v>1102087000</v>
      </c>
      <c r="EO3" s="88">
        <v>0</v>
      </c>
      <c r="EP3" s="88">
        <v>0</v>
      </c>
      <c r="EQ3" s="557">
        <f>+EN3/$ET$2*$EU$2</f>
        <v>1171518.4809999999</v>
      </c>
      <c r="ER3" s="557">
        <f>+EO3/$ET$2*$EU$2</f>
        <v>0</v>
      </c>
      <c r="ES3" s="557">
        <f>+EP3/$ET$2*$EU$2</f>
        <v>0</v>
      </c>
      <c r="EW3" s="534" t="s">
        <v>430</v>
      </c>
      <c r="EX3" s="534" t="s">
        <v>454</v>
      </c>
      <c r="EY3" s="534" t="s">
        <v>447</v>
      </c>
      <c r="EZ3" s="534" t="s">
        <v>447</v>
      </c>
      <c r="FA3" s="561" t="s">
        <v>433</v>
      </c>
      <c r="FB3" s="535">
        <v>0</v>
      </c>
      <c r="FC3" s="535">
        <v>0</v>
      </c>
      <c r="FD3" s="535">
        <v>0</v>
      </c>
      <c r="FE3" s="535">
        <f>+FB3/$FH$2*$FI$2</f>
        <v>0</v>
      </c>
      <c r="FF3" s="535">
        <f>+FC3/$FH$2*$FI$2</f>
        <v>0</v>
      </c>
      <c r="FG3" s="535">
        <f>+FD3/$FH$2*$FI$2</f>
        <v>0</v>
      </c>
      <c r="FK3" s="88" t="s">
        <v>430</v>
      </c>
      <c r="FL3" s="88" t="s">
        <v>454</v>
      </c>
      <c r="FM3" s="88" t="s">
        <v>457</v>
      </c>
      <c r="FN3" s="88" t="s">
        <v>274</v>
      </c>
      <c r="FO3" s="354" t="s">
        <v>433</v>
      </c>
      <c r="FP3" s="79">
        <v>1102087000</v>
      </c>
      <c r="FQ3" s="79">
        <v>0</v>
      </c>
      <c r="FR3" s="79">
        <v>0</v>
      </c>
      <c r="FS3" s="535">
        <f>+FP3/$FV$2*$FW$2</f>
        <v>1171518.4809999999</v>
      </c>
      <c r="FT3" s="535">
        <f>+FQ3/$FV$2*$FW$2</f>
        <v>0</v>
      </c>
      <c r="FU3" s="535">
        <f>+FR3/$FV$2*$FW$2</f>
        <v>0</v>
      </c>
      <c r="FY3" s="534" t="s">
        <v>430</v>
      </c>
      <c r="FZ3" s="536" t="s">
        <v>454</v>
      </c>
      <c r="GA3" s="536" t="s">
        <v>447</v>
      </c>
      <c r="GB3" s="536" t="s">
        <v>447</v>
      </c>
      <c r="GC3" s="561" t="s">
        <v>433</v>
      </c>
      <c r="GD3" s="535">
        <v>0</v>
      </c>
      <c r="GE3" s="660">
        <f>+GD3/$GF$2*$GG$2</f>
        <v>0</v>
      </c>
      <c r="GI3" s="638" t="s">
        <v>430</v>
      </c>
      <c r="GJ3" s="638" t="s">
        <v>454</v>
      </c>
      <c r="GK3" s="350" t="s">
        <v>457</v>
      </c>
      <c r="GL3" s="638" t="s">
        <v>274</v>
      </c>
      <c r="GM3" s="638" t="s">
        <v>433</v>
      </c>
      <c r="GN3" s="669">
        <v>1102087000</v>
      </c>
      <c r="GO3" s="669">
        <v>0</v>
      </c>
      <c r="GP3" s="669">
        <v>0</v>
      </c>
      <c r="GQ3" s="670">
        <f>+GN3/$GT$2*$GU$2</f>
        <v>1171518.4809999999</v>
      </c>
      <c r="GR3" s="670">
        <f>+GO3/$GT$2*$GU$2</f>
        <v>0</v>
      </c>
      <c r="GS3" s="670">
        <f>+GP3/$GT$2*$GU$2</f>
        <v>0</v>
      </c>
      <c r="GX3" s="624" t="s">
        <v>430</v>
      </c>
      <c r="GY3" s="536" t="s">
        <v>454</v>
      </c>
      <c r="GZ3" s="536" t="s">
        <v>455</v>
      </c>
      <c r="HA3" s="536" t="s">
        <v>456</v>
      </c>
      <c r="HB3" s="536" t="s">
        <v>433</v>
      </c>
      <c r="HC3" s="721">
        <v>0</v>
      </c>
      <c r="HD3" s="722">
        <f>+HC3/$HE$2*$HF$2</f>
        <v>0</v>
      </c>
      <c r="HE3" s="80"/>
      <c r="HF3" s="80"/>
      <c r="HH3" s="725" t="s">
        <v>430</v>
      </c>
      <c r="HI3" s="725" t="s">
        <v>454</v>
      </c>
      <c r="HJ3" s="725" t="s">
        <v>457</v>
      </c>
      <c r="HK3" s="726" t="s">
        <v>274</v>
      </c>
      <c r="HL3" s="726" t="s">
        <v>433</v>
      </c>
      <c r="HM3" s="355">
        <v>1029687000</v>
      </c>
      <c r="HN3" s="355">
        <v>0</v>
      </c>
      <c r="HO3" s="355">
        <v>0</v>
      </c>
      <c r="HP3" s="724">
        <f>+HM3/$HS$2*$HT$2</f>
        <v>1029687</v>
      </c>
      <c r="HQ3" s="724">
        <f>+HN3/$HS$2*$HT$2</f>
        <v>0</v>
      </c>
      <c r="HR3" s="724">
        <f>+HO3/$HS$2*$HT$2</f>
        <v>0</v>
      </c>
      <c r="HW3" s="726" t="s">
        <v>430</v>
      </c>
      <c r="HX3" s="726" t="s">
        <v>454</v>
      </c>
      <c r="HY3" s="726" t="s">
        <v>455</v>
      </c>
      <c r="HZ3" s="726" t="s">
        <v>456</v>
      </c>
      <c r="IA3" s="726" t="s">
        <v>433</v>
      </c>
      <c r="IB3" s="761">
        <v>16000000</v>
      </c>
      <c r="IC3" s="761">
        <v>0</v>
      </c>
      <c r="ID3" s="761">
        <v>0</v>
      </c>
      <c r="IE3" s="537">
        <f>+ID3/$IF$2*$IG$2</f>
        <v>0</v>
      </c>
      <c r="II3" s="350" t="s">
        <v>430</v>
      </c>
      <c r="IJ3" s="350" t="s">
        <v>454</v>
      </c>
      <c r="IK3" s="350" t="s">
        <v>457</v>
      </c>
      <c r="IL3" s="350" t="s">
        <v>274</v>
      </c>
      <c r="IM3" s="638" t="s">
        <v>433</v>
      </c>
      <c r="IN3" s="244">
        <v>1022896000</v>
      </c>
      <c r="IO3" s="244">
        <v>0</v>
      </c>
      <c r="IP3" s="244">
        <v>0</v>
      </c>
      <c r="IQ3" s="756">
        <f>+IN3/$IT$2*$IU$2</f>
        <v>1022896</v>
      </c>
      <c r="IR3" s="756">
        <f t="shared" ref="IR3:IS3" si="5">+IO3/$IT$2*$IU$2</f>
        <v>0</v>
      </c>
      <c r="IS3" s="756">
        <f t="shared" si="5"/>
        <v>0</v>
      </c>
      <c r="IW3" s="536" t="s">
        <v>430</v>
      </c>
      <c r="IX3" s="536" t="s">
        <v>454</v>
      </c>
      <c r="IY3" s="536" t="s">
        <v>715</v>
      </c>
      <c r="IZ3" s="536" t="s">
        <v>716</v>
      </c>
      <c r="JA3" s="561" t="s">
        <v>433</v>
      </c>
      <c r="JB3" s="535">
        <v>8948512</v>
      </c>
      <c r="JC3" s="756">
        <f>+JB3/$JD$2*$JE$2</f>
        <v>8948.5120000000006</v>
      </c>
      <c r="JG3" s="536" t="s">
        <v>430</v>
      </c>
      <c r="JH3" s="536" t="s">
        <v>454</v>
      </c>
      <c r="JI3" s="536" t="s">
        <v>457</v>
      </c>
      <c r="JJ3" s="536" t="s">
        <v>274</v>
      </c>
      <c r="JK3" s="536" t="s">
        <v>433</v>
      </c>
      <c r="JL3" s="79">
        <v>1022896000</v>
      </c>
      <c r="JM3" s="79">
        <v>0</v>
      </c>
      <c r="JN3" s="79">
        <v>0</v>
      </c>
      <c r="JO3" s="166">
        <f>+JL3/$JR$2*$JS$2</f>
        <v>1022896</v>
      </c>
      <c r="JP3" s="166">
        <f t="shared" ref="JP3:JQ3" si="6">+JM3/$JR$2*$JS$2</f>
        <v>0</v>
      </c>
      <c r="JQ3" s="166">
        <f t="shared" si="6"/>
        <v>0</v>
      </c>
    </row>
    <row r="4" spans="1:279" ht="15" customHeight="1" x14ac:dyDescent="0.25">
      <c r="A4" s="91" t="s">
        <v>430</v>
      </c>
      <c r="B4" s="91" t="s">
        <v>454</v>
      </c>
      <c r="C4" s="91" t="s">
        <v>455</v>
      </c>
      <c r="D4" s="91" t="s">
        <v>456</v>
      </c>
      <c r="E4" s="92">
        <v>167200000</v>
      </c>
      <c r="F4" s="92">
        <f t="shared" ref="F4:F39" si="7">+E4/$I$2*$J$2</f>
        <v>177733.59999999998</v>
      </c>
      <c r="G4" s="92">
        <v>0</v>
      </c>
      <c r="H4" s="92">
        <f t="shared" ref="H4:H39" si="8">+G4/$I$2*$J$2</f>
        <v>0</v>
      </c>
      <c r="L4" s="89" t="s">
        <v>434</v>
      </c>
      <c r="M4" s="89" t="s">
        <v>307</v>
      </c>
      <c r="N4" s="89" t="s">
        <v>435</v>
      </c>
      <c r="O4" s="89" t="s">
        <v>328</v>
      </c>
      <c r="P4" s="90">
        <v>64025300</v>
      </c>
      <c r="Q4" s="90">
        <f t="shared" si="0"/>
        <v>68058.893899999995</v>
      </c>
      <c r="U4" s="89" t="s">
        <v>430</v>
      </c>
      <c r="V4" s="89" t="s">
        <v>454</v>
      </c>
      <c r="W4" s="89" t="s">
        <v>455</v>
      </c>
      <c r="X4" s="1228" t="s">
        <v>456</v>
      </c>
      <c r="Y4" s="90">
        <v>167200000</v>
      </c>
      <c r="Z4" s="90">
        <f t="shared" ref="Z4:Z25" si="9">+Y4/$AA$1*$AB$1</f>
        <v>177733.59999999998</v>
      </c>
      <c r="AD4" s="89" t="s">
        <v>430</v>
      </c>
      <c r="AE4" s="89" t="s">
        <v>454</v>
      </c>
      <c r="AF4" s="89" t="s">
        <v>455</v>
      </c>
      <c r="AG4" s="89" t="s">
        <v>456</v>
      </c>
      <c r="AH4" s="90">
        <v>167200000</v>
      </c>
      <c r="AI4" s="90">
        <f t="shared" ref="AI4:AI48" si="10">+AH4/$AK$2*$AL$2</f>
        <v>177733.59999999998</v>
      </c>
      <c r="AJ4" s="90">
        <v>0</v>
      </c>
      <c r="AM4" s="166"/>
      <c r="AN4" s="89" t="s">
        <v>430</v>
      </c>
      <c r="AO4" s="89" t="s">
        <v>454</v>
      </c>
      <c r="AP4" s="89" t="s">
        <v>455</v>
      </c>
      <c r="AQ4" s="89" t="s">
        <v>456</v>
      </c>
      <c r="AR4" s="90">
        <v>40000000</v>
      </c>
      <c r="AS4" s="90">
        <f t="shared" ref="AS4:AS14" si="11">+AR4/$AT$2*$AU$2</f>
        <v>42520</v>
      </c>
      <c r="AW4" s="89" t="s">
        <v>430</v>
      </c>
      <c r="AX4" s="89" t="s">
        <v>454</v>
      </c>
      <c r="AY4" s="89" t="s">
        <v>457</v>
      </c>
      <c r="AZ4" s="89" t="s">
        <v>274</v>
      </c>
      <c r="BA4" s="90">
        <v>0</v>
      </c>
      <c r="BB4" s="90">
        <v>109500000</v>
      </c>
      <c r="BC4" s="90">
        <v>47700000</v>
      </c>
      <c r="BD4" s="90">
        <f t="shared" si="1"/>
        <v>0</v>
      </c>
      <c r="BE4" s="90">
        <f t="shared" si="2"/>
        <v>116398.5</v>
      </c>
      <c r="BF4" s="90">
        <f t="shared" si="3"/>
        <v>50705.1</v>
      </c>
      <c r="BK4" s="89" t="s">
        <v>434</v>
      </c>
      <c r="BL4" s="89" t="s">
        <v>307</v>
      </c>
      <c r="BM4" s="89" t="s">
        <v>435</v>
      </c>
      <c r="BN4" s="89" t="s">
        <v>328</v>
      </c>
      <c r="BO4" s="90">
        <v>84799100</v>
      </c>
      <c r="BP4" s="90">
        <f t="shared" si="4"/>
        <v>90141.443299999999</v>
      </c>
      <c r="BT4" s="86" t="s">
        <v>430</v>
      </c>
      <c r="BU4" s="86" t="s">
        <v>454</v>
      </c>
      <c r="BV4" s="86" t="s">
        <v>457</v>
      </c>
      <c r="BW4" s="86" t="s">
        <v>274</v>
      </c>
      <c r="BX4" s="296" t="s">
        <v>433</v>
      </c>
      <c r="BY4" s="87">
        <v>0</v>
      </c>
      <c r="BZ4" s="87">
        <v>109500000</v>
      </c>
      <c r="CA4" s="87">
        <v>65700000</v>
      </c>
      <c r="CB4" s="166">
        <f t="shared" ref="CB4:CB48" si="12">+BY4/$CE$2*$CF$2</f>
        <v>0</v>
      </c>
      <c r="CC4" s="166">
        <f t="shared" ref="CC4:CC48" si="13">+BZ4/$CE$2*$CF$2</f>
        <v>116398.5</v>
      </c>
      <c r="CD4" s="166">
        <f t="shared" ref="CD4:CD48" si="14">+CA4/$CE$2*$CF$2</f>
        <v>69839.099999999991</v>
      </c>
      <c r="CH4" s="86" t="s">
        <v>434</v>
      </c>
      <c r="CI4" s="86" t="s">
        <v>307</v>
      </c>
      <c r="CJ4" s="86">
        <v>42433001</v>
      </c>
      <c r="CK4" s="86" t="s">
        <v>328</v>
      </c>
      <c r="CL4" s="296" t="s">
        <v>433</v>
      </c>
      <c r="CM4" s="87">
        <v>0</v>
      </c>
      <c r="CN4" s="87">
        <v>338002928</v>
      </c>
      <c r="CO4" s="87">
        <v>25683889</v>
      </c>
      <c r="CP4" s="301">
        <f t="shared" ref="CP4:CP16" si="15">+CM4/$CS$2*$CT$2</f>
        <v>0</v>
      </c>
      <c r="CQ4" s="301">
        <f t="shared" ref="CQ4:CQ16" si="16">+CN4/$CS$2*$CT$2</f>
        <v>359297.11246400001</v>
      </c>
      <c r="CR4" s="301">
        <f t="shared" ref="CR4:CR16" si="17">+CO4/$CS$2*$CT$2</f>
        <v>27301.974006999997</v>
      </c>
      <c r="CV4" s="88" t="s">
        <v>430</v>
      </c>
      <c r="CW4" s="88" t="s">
        <v>454</v>
      </c>
      <c r="CX4" s="88" t="s">
        <v>447</v>
      </c>
      <c r="CY4" s="88" t="s">
        <v>447</v>
      </c>
      <c r="CZ4" s="88">
        <v>0</v>
      </c>
      <c r="DA4" s="88">
        <v>0</v>
      </c>
      <c r="DB4" s="88">
        <v>0</v>
      </c>
      <c r="DC4" s="557">
        <f t="shared" ref="DC4:DC24" si="18">+CZ4/$DF$2*$DG$2</f>
        <v>0</v>
      </c>
      <c r="DD4" s="557">
        <f t="shared" ref="DD4:DD24" si="19">+DA4/$DF$2*$DG$2</f>
        <v>0</v>
      </c>
      <c r="DE4" s="557">
        <f t="shared" ref="DE4:DE24" si="20">+DB4/$DF$2*$DG$2</f>
        <v>0</v>
      </c>
      <c r="DI4" s="307" t="s">
        <v>430</v>
      </c>
      <c r="DJ4" s="307" t="s">
        <v>454</v>
      </c>
      <c r="DK4" s="307" t="s">
        <v>455</v>
      </c>
      <c r="DL4" s="307" t="s">
        <v>456</v>
      </c>
      <c r="DM4" s="79">
        <v>120000000</v>
      </c>
      <c r="DN4" s="79">
        <v>0</v>
      </c>
      <c r="DO4" s="79">
        <v>0</v>
      </c>
      <c r="DP4" s="560">
        <f t="shared" ref="DP4:DP51" si="21">+DM4/$DS$2*$DT$2</f>
        <v>127560</v>
      </c>
      <c r="DQ4" s="560">
        <f t="shared" ref="DQ4:DQ51" si="22">+DN4/$DS$2*$DT$2</f>
        <v>0</v>
      </c>
      <c r="DR4" s="560">
        <f t="shared" ref="DR4:DR51" si="23">+DO4/$DS$2*$DT$2</f>
        <v>0</v>
      </c>
      <c r="DV4" s="534" t="s">
        <v>430</v>
      </c>
      <c r="DW4" s="534" t="s">
        <v>454</v>
      </c>
      <c r="DX4" s="534" t="s">
        <v>447</v>
      </c>
      <c r="DY4" s="536" t="s">
        <v>447</v>
      </c>
      <c r="DZ4" s="561" t="s">
        <v>433</v>
      </c>
      <c r="EA4" s="535">
        <v>0</v>
      </c>
      <c r="EB4" s="535">
        <v>0</v>
      </c>
      <c r="EC4" s="535">
        <v>0</v>
      </c>
      <c r="ED4" s="535">
        <f t="shared" ref="ED4:ED25" si="24">+EA4/$EG$2*$EH$2</f>
        <v>0</v>
      </c>
      <c r="EE4" s="535">
        <f t="shared" ref="EE4:EE25" si="25">+EB4/$EG$2*$EH$2</f>
        <v>0</v>
      </c>
      <c r="EF4" s="535">
        <f t="shared" ref="EF4:EF25" si="26">+EC4/$EG$2*$EH$2</f>
        <v>0</v>
      </c>
      <c r="EG4" s="95"/>
      <c r="EI4" s="88" t="s">
        <v>430</v>
      </c>
      <c r="EJ4" s="88" t="s">
        <v>454</v>
      </c>
      <c r="EK4" s="88" t="s">
        <v>455</v>
      </c>
      <c r="EL4" s="88" t="s">
        <v>456</v>
      </c>
      <c r="EM4" s="88" t="s">
        <v>433</v>
      </c>
      <c r="EN4" s="88">
        <v>120000000</v>
      </c>
      <c r="EO4" s="88">
        <v>0</v>
      </c>
      <c r="EP4" s="88">
        <v>0</v>
      </c>
      <c r="EQ4" s="557">
        <f t="shared" ref="EQ4:EQ52" si="27">+EN4/$ET$2*$EU$2</f>
        <v>127560</v>
      </c>
      <c r="ER4" s="557">
        <f t="shared" ref="ER4:ER52" si="28">+EO4/$ET$2*$EU$2</f>
        <v>0</v>
      </c>
      <c r="ES4" s="557">
        <f t="shared" ref="ES4:ES52" si="29">+EP4/$ET$2*$EU$2</f>
        <v>0</v>
      </c>
      <c r="EW4" s="534" t="s">
        <v>430</v>
      </c>
      <c r="EX4" s="534" t="s">
        <v>454</v>
      </c>
      <c r="EY4" s="534" t="s">
        <v>457</v>
      </c>
      <c r="EZ4" s="534" t="s">
        <v>274</v>
      </c>
      <c r="FA4" s="561" t="s">
        <v>433</v>
      </c>
      <c r="FB4" s="535">
        <v>0</v>
      </c>
      <c r="FC4" s="535">
        <v>0</v>
      </c>
      <c r="FD4" s="535">
        <v>121356000</v>
      </c>
      <c r="FE4" s="535">
        <f t="shared" ref="FE4:FE23" si="30">+FB4/$FH$2*$FI$2</f>
        <v>0</v>
      </c>
      <c r="FF4" s="535">
        <f t="shared" ref="FF4:FF23" si="31">+FC4/$FH$2*$FI$2</f>
        <v>0</v>
      </c>
      <c r="FG4" s="535">
        <f t="shared" ref="FG4:FG23" si="32">+FD4/$FH$2*$FI$2</f>
        <v>129001.428</v>
      </c>
      <c r="FK4" s="88" t="s">
        <v>430</v>
      </c>
      <c r="FL4" s="88" t="s">
        <v>454</v>
      </c>
      <c r="FM4" s="88" t="s">
        <v>455</v>
      </c>
      <c r="FN4" s="88" t="s">
        <v>456</v>
      </c>
      <c r="FO4" s="354" t="s">
        <v>433</v>
      </c>
      <c r="FP4" s="79">
        <v>120000000</v>
      </c>
      <c r="FQ4" s="79">
        <v>0</v>
      </c>
      <c r="FR4" s="79">
        <v>0</v>
      </c>
      <c r="FS4" s="535">
        <f t="shared" ref="FS4:FS52" si="33">+FP4/$FV$2*$FW$2</f>
        <v>127560</v>
      </c>
      <c r="FT4" s="535">
        <f t="shared" ref="FT4:FT52" si="34">+FQ4/$FV$2*$FW$2</f>
        <v>0</v>
      </c>
      <c r="FU4" s="535">
        <f t="shared" ref="FU4:FU52" si="35">+FR4/$FV$2*$FW$2</f>
        <v>0</v>
      </c>
      <c r="FY4" s="534" t="s">
        <v>430</v>
      </c>
      <c r="FZ4" s="536" t="s">
        <v>454</v>
      </c>
      <c r="GA4" s="536" t="s">
        <v>457</v>
      </c>
      <c r="GB4" s="536" t="s">
        <v>274</v>
      </c>
      <c r="GC4" s="561" t="s">
        <v>433</v>
      </c>
      <c r="GD4" s="535">
        <v>99372000</v>
      </c>
      <c r="GE4" s="660">
        <f>+GD4/$GF$2*$GG$2</f>
        <v>105632.436</v>
      </c>
      <c r="GI4" s="638" t="s">
        <v>430</v>
      </c>
      <c r="GJ4" s="638" t="s">
        <v>454</v>
      </c>
      <c r="GK4" s="350" t="s">
        <v>455</v>
      </c>
      <c r="GL4" s="638" t="s">
        <v>456</v>
      </c>
      <c r="GM4" s="638" t="s">
        <v>433</v>
      </c>
      <c r="GN4" s="669">
        <v>120000000</v>
      </c>
      <c r="GO4" s="669">
        <v>0</v>
      </c>
      <c r="GP4" s="669">
        <v>0</v>
      </c>
      <c r="GQ4" s="670">
        <f t="shared" ref="GQ4:GQ53" si="36">+GN4/$GT$2*$GU$2</f>
        <v>127560</v>
      </c>
      <c r="GR4" s="670">
        <f t="shared" ref="GR4:GR53" si="37">+GO4/$GT$2*$GU$2</f>
        <v>0</v>
      </c>
      <c r="GS4" s="670">
        <f t="shared" ref="GS4:GS53" si="38">+GP4/$GT$2*$GU$2</f>
        <v>0</v>
      </c>
      <c r="GX4" s="624" t="s">
        <v>430</v>
      </c>
      <c r="GY4" s="536" t="s">
        <v>454</v>
      </c>
      <c r="GZ4" s="536" t="s">
        <v>431</v>
      </c>
      <c r="HA4" s="536" t="s">
        <v>432</v>
      </c>
      <c r="HB4" s="536" t="s">
        <v>433</v>
      </c>
      <c r="HC4" s="721">
        <v>0</v>
      </c>
      <c r="HD4" s="722">
        <f t="shared" ref="HD4:HD24" si="39">+HC4/$HE$2*$HF$2</f>
        <v>0</v>
      </c>
      <c r="HE4" s="80"/>
      <c r="HF4" s="80"/>
      <c r="HH4" s="725" t="s">
        <v>430</v>
      </c>
      <c r="HI4" s="725" t="s">
        <v>454</v>
      </c>
      <c r="HJ4" s="725" t="s">
        <v>455</v>
      </c>
      <c r="HK4" s="726" t="s">
        <v>456</v>
      </c>
      <c r="HL4" s="726" t="s">
        <v>433</v>
      </c>
      <c r="HM4" s="355">
        <v>164000000</v>
      </c>
      <c r="HN4" s="355">
        <v>0</v>
      </c>
      <c r="HO4" s="355">
        <v>0</v>
      </c>
      <c r="HP4" s="724">
        <f t="shared" ref="HP4:HP55" si="40">+HM4/$HS$2*$HT$2</f>
        <v>164000</v>
      </c>
      <c r="HQ4" s="724">
        <f t="shared" ref="HQ4:HQ55" si="41">+HN4/$HS$2*$HT$2</f>
        <v>0</v>
      </c>
      <c r="HR4" s="724">
        <f t="shared" ref="HR4:HR55" si="42">+HO4/$HS$2*$HT$2</f>
        <v>0</v>
      </c>
      <c r="HW4" s="726" t="s">
        <v>430</v>
      </c>
      <c r="HX4" s="726" t="s">
        <v>454</v>
      </c>
      <c r="HY4" s="726" t="s">
        <v>715</v>
      </c>
      <c r="HZ4" s="726" t="s">
        <v>716</v>
      </c>
      <c r="IA4" s="726" t="s">
        <v>433</v>
      </c>
      <c r="IB4" s="761">
        <v>500000</v>
      </c>
      <c r="IC4" s="761">
        <v>0</v>
      </c>
      <c r="ID4" s="761">
        <v>0</v>
      </c>
      <c r="IE4" s="537">
        <f t="shared" ref="IE4:IE35" si="43">+ID4/$IF$2*$IG$2</f>
        <v>0</v>
      </c>
      <c r="II4" s="350" t="s">
        <v>430</v>
      </c>
      <c r="IJ4" s="350" t="s">
        <v>454</v>
      </c>
      <c r="IK4" s="350" t="s">
        <v>455</v>
      </c>
      <c r="IL4" s="350" t="s">
        <v>456</v>
      </c>
      <c r="IM4" s="638" t="s">
        <v>433</v>
      </c>
      <c r="IN4" s="244">
        <v>180000000</v>
      </c>
      <c r="IO4" s="244">
        <v>0</v>
      </c>
      <c r="IP4" s="244">
        <v>0</v>
      </c>
      <c r="IQ4" s="756">
        <f t="shared" ref="IQ4:IQ53" si="44">+IN4/$IT$2*$IU$2</f>
        <v>180000</v>
      </c>
      <c r="IR4" s="756">
        <f t="shared" ref="IR4:IR54" si="45">+IO4/$IT$2*$IU$2</f>
        <v>0</v>
      </c>
      <c r="IS4" s="756">
        <f t="shared" ref="IS4:IS54" si="46">+IP4/$IT$2*$IU$2</f>
        <v>0</v>
      </c>
      <c r="IW4" s="536" t="s">
        <v>430</v>
      </c>
      <c r="IX4" s="536" t="s">
        <v>454</v>
      </c>
      <c r="IY4" s="536" t="s">
        <v>455</v>
      </c>
      <c r="IZ4" s="536" t="s">
        <v>456</v>
      </c>
      <c r="JA4" s="561" t="s">
        <v>433</v>
      </c>
      <c r="JB4" s="535">
        <v>120000000</v>
      </c>
      <c r="JC4" s="756">
        <f t="shared" ref="JC4:JC19" si="47">+JB4/$JD$2*$JE$2</f>
        <v>120000</v>
      </c>
      <c r="JG4" s="536" t="s">
        <v>430</v>
      </c>
      <c r="JH4" s="536" t="s">
        <v>454</v>
      </c>
      <c r="JI4" s="536" t="s">
        <v>455</v>
      </c>
      <c r="JJ4" s="536" t="s">
        <v>456</v>
      </c>
      <c r="JK4" s="536" t="s">
        <v>433</v>
      </c>
      <c r="JL4" s="79">
        <v>180000000</v>
      </c>
      <c r="JM4" s="79">
        <v>0</v>
      </c>
      <c r="JN4" s="79">
        <v>0</v>
      </c>
      <c r="JO4" s="166">
        <f t="shared" ref="JO4:JO57" si="48">+JL4/$JR$2*$JS$2</f>
        <v>180000</v>
      </c>
      <c r="JP4" s="166">
        <f t="shared" ref="JP4:JP58" si="49">+JM4/$JR$2*$JS$2</f>
        <v>0</v>
      </c>
      <c r="JQ4" s="166">
        <f t="shared" ref="JQ4:JQ58" si="50">+JN4/$JR$2*$JS$2</f>
        <v>0</v>
      </c>
    </row>
    <row r="5" spans="1:279" ht="15" customHeight="1" x14ac:dyDescent="0.25">
      <c r="A5" s="91" t="s">
        <v>430</v>
      </c>
      <c r="B5" s="91" t="s">
        <v>454</v>
      </c>
      <c r="C5" s="91" t="s">
        <v>431</v>
      </c>
      <c r="D5" s="91" t="s">
        <v>432</v>
      </c>
      <c r="E5" s="92">
        <v>22000000</v>
      </c>
      <c r="F5" s="92">
        <f t="shared" si="7"/>
        <v>23386</v>
      </c>
      <c r="G5" s="92">
        <v>0</v>
      </c>
      <c r="H5" s="92">
        <f t="shared" si="8"/>
        <v>0</v>
      </c>
      <c r="L5" s="89" t="s">
        <v>438</v>
      </c>
      <c r="M5" s="89" t="s">
        <v>335</v>
      </c>
      <c r="N5" s="89" t="s">
        <v>462</v>
      </c>
      <c r="O5" s="89" t="s">
        <v>633</v>
      </c>
      <c r="P5" s="90">
        <v>97000000</v>
      </c>
      <c r="Q5" s="90">
        <f t="shared" si="0"/>
        <v>103111</v>
      </c>
      <c r="U5" s="89" t="s">
        <v>430</v>
      </c>
      <c r="V5" s="89" t="s">
        <v>454</v>
      </c>
      <c r="W5" s="89" t="s">
        <v>431</v>
      </c>
      <c r="X5" s="1228" t="s">
        <v>432</v>
      </c>
      <c r="Y5" s="90">
        <v>22000000</v>
      </c>
      <c r="Z5" s="90">
        <f t="shared" si="9"/>
        <v>23386</v>
      </c>
      <c r="AD5" s="89" t="s">
        <v>430</v>
      </c>
      <c r="AE5" s="89" t="s">
        <v>454</v>
      </c>
      <c r="AF5" s="89" t="s">
        <v>431</v>
      </c>
      <c r="AG5" s="89" t="s">
        <v>432</v>
      </c>
      <c r="AH5" s="90">
        <v>22000000</v>
      </c>
      <c r="AI5" s="90">
        <f t="shared" si="10"/>
        <v>23386</v>
      </c>
      <c r="AJ5" s="90">
        <v>0</v>
      </c>
      <c r="AM5" s="166"/>
      <c r="AN5" s="89" t="s">
        <v>434</v>
      </c>
      <c r="AO5" s="89" t="s">
        <v>307</v>
      </c>
      <c r="AP5" s="89" t="s">
        <v>436</v>
      </c>
      <c r="AQ5" s="89" t="s">
        <v>339</v>
      </c>
      <c r="AR5" s="90">
        <v>10474662</v>
      </c>
      <c r="AS5" s="90">
        <f t="shared" si="11"/>
        <v>11134.565705999999</v>
      </c>
      <c r="AW5" s="89" t="s">
        <v>430</v>
      </c>
      <c r="AX5" s="89" t="s">
        <v>454</v>
      </c>
      <c r="AY5" s="89" t="s">
        <v>455</v>
      </c>
      <c r="AZ5" s="89" t="s">
        <v>456</v>
      </c>
      <c r="BA5" s="90">
        <v>167200000</v>
      </c>
      <c r="BB5" s="90">
        <v>0</v>
      </c>
      <c r="BC5" s="90">
        <v>0</v>
      </c>
      <c r="BD5" s="90">
        <f t="shared" si="1"/>
        <v>177733.59999999998</v>
      </c>
      <c r="BE5" s="90">
        <f t="shared" si="2"/>
        <v>0</v>
      </c>
      <c r="BF5" s="90">
        <f t="shared" si="3"/>
        <v>0</v>
      </c>
      <c r="BK5" s="89" t="s">
        <v>434</v>
      </c>
      <c r="BL5" s="89" t="s">
        <v>307</v>
      </c>
      <c r="BM5" s="89" t="s">
        <v>436</v>
      </c>
      <c r="BN5" s="89" t="s">
        <v>339</v>
      </c>
      <c r="BO5" s="90">
        <v>24116387</v>
      </c>
      <c r="BP5" s="90">
        <f t="shared" si="4"/>
        <v>25635.719380999999</v>
      </c>
      <c r="BT5" s="86" t="s">
        <v>430</v>
      </c>
      <c r="BU5" s="86" t="s">
        <v>454</v>
      </c>
      <c r="BV5" s="86" t="s">
        <v>455</v>
      </c>
      <c r="BW5" s="86" t="s">
        <v>456</v>
      </c>
      <c r="BX5" s="296" t="s">
        <v>433</v>
      </c>
      <c r="BY5" s="87">
        <v>167200000</v>
      </c>
      <c r="BZ5" s="87">
        <v>0</v>
      </c>
      <c r="CA5" s="87">
        <v>0</v>
      </c>
      <c r="CB5" s="166">
        <f t="shared" si="12"/>
        <v>177733.59999999998</v>
      </c>
      <c r="CC5" s="166">
        <f t="shared" si="13"/>
        <v>0</v>
      </c>
      <c r="CD5" s="166">
        <f t="shared" si="14"/>
        <v>0</v>
      </c>
      <c r="CH5" s="86" t="s">
        <v>434</v>
      </c>
      <c r="CI5" s="86" t="s">
        <v>307</v>
      </c>
      <c r="CJ5" s="86">
        <v>42433002</v>
      </c>
      <c r="CK5" s="86" t="s">
        <v>339</v>
      </c>
      <c r="CL5" s="296" t="s">
        <v>433</v>
      </c>
      <c r="CM5" s="87">
        <v>0</v>
      </c>
      <c r="CN5" s="87">
        <v>9561835</v>
      </c>
      <c r="CO5" s="87">
        <v>0</v>
      </c>
      <c r="CP5" s="301">
        <f t="shared" si="15"/>
        <v>0</v>
      </c>
      <c r="CQ5" s="301">
        <f t="shared" si="16"/>
        <v>10164.230604999999</v>
      </c>
      <c r="CR5" s="301">
        <f t="shared" si="17"/>
        <v>0</v>
      </c>
      <c r="CV5" s="88" t="s">
        <v>430</v>
      </c>
      <c r="CW5" s="88" t="s">
        <v>454</v>
      </c>
      <c r="CX5" s="88" t="s">
        <v>457</v>
      </c>
      <c r="CY5" s="88" t="s">
        <v>274</v>
      </c>
      <c r="CZ5" s="88">
        <v>0</v>
      </c>
      <c r="DA5" s="88">
        <v>540480000</v>
      </c>
      <c r="DB5" s="88">
        <v>115200000</v>
      </c>
      <c r="DC5" s="557">
        <f t="shared" si="18"/>
        <v>0</v>
      </c>
      <c r="DD5" s="557">
        <f t="shared" si="19"/>
        <v>574530.24</v>
      </c>
      <c r="DE5" s="557">
        <f t="shared" si="20"/>
        <v>122457.59999999999</v>
      </c>
      <c r="DI5" s="307" t="s">
        <v>430</v>
      </c>
      <c r="DJ5" s="307" t="s">
        <v>454</v>
      </c>
      <c r="DK5" s="307" t="s">
        <v>431</v>
      </c>
      <c r="DL5" s="307" t="s">
        <v>432</v>
      </c>
      <c r="DM5" s="79">
        <v>71731249</v>
      </c>
      <c r="DN5" s="79">
        <v>0</v>
      </c>
      <c r="DO5" s="79">
        <v>0</v>
      </c>
      <c r="DP5" s="560">
        <f t="shared" si="21"/>
        <v>76250.317686999988</v>
      </c>
      <c r="DQ5" s="560">
        <f t="shared" si="22"/>
        <v>0</v>
      </c>
      <c r="DR5" s="560">
        <f t="shared" si="23"/>
        <v>0</v>
      </c>
      <c r="DV5" s="534" t="s">
        <v>430</v>
      </c>
      <c r="DW5" s="534" t="s">
        <v>454</v>
      </c>
      <c r="DX5" s="534" t="s">
        <v>457</v>
      </c>
      <c r="DY5" s="536" t="s">
        <v>274</v>
      </c>
      <c r="DZ5" s="561" t="s">
        <v>433</v>
      </c>
      <c r="EA5" s="535">
        <v>0</v>
      </c>
      <c r="EB5" s="535">
        <v>27000000</v>
      </c>
      <c r="EC5" s="535">
        <v>12960000</v>
      </c>
      <c r="ED5" s="535">
        <f t="shared" si="24"/>
        <v>0</v>
      </c>
      <c r="EE5" s="535">
        <f t="shared" si="25"/>
        <v>28701</v>
      </c>
      <c r="EF5" s="535">
        <f t="shared" si="26"/>
        <v>13776.48</v>
      </c>
      <c r="EG5" s="95"/>
      <c r="EI5" s="88" t="s">
        <v>430</v>
      </c>
      <c r="EJ5" s="88" t="s">
        <v>454</v>
      </c>
      <c r="EK5" s="88" t="s">
        <v>431</v>
      </c>
      <c r="EL5" s="88" t="s">
        <v>432</v>
      </c>
      <c r="EM5" s="88" t="s">
        <v>433</v>
      </c>
      <c r="EN5" s="88">
        <v>70000000</v>
      </c>
      <c r="EO5" s="88">
        <v>0</v>
      </c>
      <c r="EP5" s="88">
        <v>0</v>
      </c>
      <c r="EQ5" s="557">
        <f t="shared" si="27"/>
        <v>74410</v>
      </c>
      <c r="ER5" s="557">
        <f t="shared" si="28"/>
        <v>0</v>
      </c>
      <c r="ES5" s="557">
        <f t="shared" si="29"/>
        <v>0</v>
      </c>
      <c r="EW5" s="534" t="s">
        <v>434</v>
      </c>
      <c r="EX5" s="534" t="s">
        <v>307</v>
      </c>
      <c r="EY5" s="534" t="s">
        <v>435</v>
      </c>
      <c r="EZ5" s="534" t="s">
        <v>328</v>
      </c>
      <c r="FA5" s="561" t="s">
        <v>433</v>
      </c>
      <c r="FB5" s="535">
        <v>308288000</v>
      </c>
      <c r="FC5" s="535">
        <v>0</v>
      </c>
      <c r="FD5" s="535">
        <v>0</v>
      </c>
      <c r="FE5" s="535">
        <f t="shared" si="30"/>
        <v>327710.14399999997</v>
      </c>
      <c r="FF5" s="535">
        <f t="shared" si="31"/>
        <v>0</v>
      </c>
      <c r="FG5" s="535">
        <f t="shared" si="32"/>
        <v>0</v>
      </c>
      <c r="FK5" s="88" t="s">
        <v>430</v>
      </c>
      <c r="FL5" s="88" t="s">
        <v>454</v>
      </c>
      <c r="FM5" s="88" t="s">
        <v>431</v>
      </c>
      <c r="FN5" s="88" t="s">
        <v>432</v>
      </c>
      <c r="FO5" s="354" t="s">
        <v>433</v>
      </c>
      <c r="FP5" s="79">
        <v>70000000</v>
      </c>
      <c r="FQ5" s="79">
        <v>0</v>
      </c>
      <c r="FR5" s="79">
        <v>0</v>
      </c>
      <c r="FS5" s="535">
        <f t="shared" si="33"/>
        <v>74410</v>
      </c>
      <c r="FT5" s="535">
        <f t="shared" si="34"/>
        <v>0</v>
      </c>
      <c r="FU5" s="535">
        <f t="shared" si="35"/>
        <v>0</v>
      </c>
      <c r="FY5" s="664" t="s">
        <v>434</v>
      </c>
      <c r="FZ5" s="665" t="s">
        <v>307</v>
      </c>
      <c r="GA5" s="665" t="s">
        <v>436</v>
      </c>
      <c r="GB5" s="665" t="s">
        <v>339</v>
      </c>
      <c r="GC5" s="666" t="s">
        <v>433</v>
      </c>
      <c r="GD5" s="667">
        <v>5428422</v>
      </c>
      <c r="GE5" s="668">
        <f t="shared" ref="GE5:GE16" si="51">+GD5/$GF$2*$GG$2</f>
        <v>5770.4125859999995</v>
      </c>
      <c r="GI5" s="638" t="s">
        <v>430</v>
      </c>
      <c r="GJ5" s="638" t="s">
        <v>454</v>
      </c>
      <c r="GK5" s="350" t="s">
        <v>431</v>
      </c>
      <c r="GL5" s="638" t="s">
        <v>432</v>
      </c>
      <c r="GM5" s="638" t="s">
        <v>433</v>
      </c>
      <c r="GN5" s="669">
        <v>70000000</v>
      </c>
      <c r="GO5" s="669">
        <v>0</v>
      </c>
      <c r="GP5" s="669">
        <v>0</v>
      </c>
      <c r="GQ5" s="670">
        <f t="shared" si="36"/>
        <v>74410</v>
      </c>
      <c r="GR5" s="670">
        <f t="shared" si="37"/>
        <v>0</v>
      </c>
      <c r="GS5" s="670">
        <f t="shared" si="38"/>
        <v>0</v>
      </c>
      <c r="GX5" s="624" t="s">
        <v>430</v>
      </c>
      <c r="GY5" s="536" t="s">
        <v>454</v>
      </c>
      <c r="GZ5" s="536" t="s">
        <v>455</v>
      </c>
      <c r="HA5" s="536" t="s">
        <v>456</v>
      </c>
      <c r="HB5" s="536" t="s">
        <v>433</v>
      </c>
      <c r="HC5" s="721">
        <v>20000000</v>
      </c>
      <c r="HD5" s="722">
        <f t="shared" si="39"/>
        <v>20000</v>
      </c>
      <c r="HE5" s="80"/>
      <c r="HF5" s="80"/>
      <c r="HH5" s="725" t="s">
        <v>430</v>
      </c>
      <c r="HI5" s="725" t="s">
        <v>454</v>
      </c>
      <c r="HJ5" s="725" t="s">
        <v>431</v>
      </c>
      <c r="HK5" s="726" t="s">
        <v>432</v>
      </c>
      <c r="HL5" s="726" t="s">
        <v>433</v>
      </c>
      <c r="HM5" s="355">
        <v>100000000</v>
      </c>
      <c r="HN5" s="355">
        <v>0</v>
      </c>
      <c r="HO5" s="355">
        <v>0</v>
      </c>
      <c r="HP5" s="724">
        <f t="shared" si="40"/>
        <v>100000</v>
      </c>
      <c r="HQ5" s="724">
        <f t="shared" si="41"/>
        <v>0</v>
      </c>
      <c r="HR5" s="724">
        <f t="shared" si="42"/>
        <v>0</v>
      </c>
      <c r="HW5" s="726" t="s">
        <v>430</v>
      </c>
      <c r="HX5" s="726" t="s">
        <v>454</v>
      </c>
      <c r="HY5" s="726" t="s">
        <v>628</v>
      </c>
      <c r="HZ5" s="726" t="s">
        <v>331</v>
      </c>
      <c r="IA5" s="726" t="s">
        <v>433</v>
      </c>
      <c r="IB5" s="761">
        <v>160293</v>
      </c>
      <c r="IC5" s="761">
        <v>0</v>
      </c>
      <c r="ID5" s="761">
        <v>0</v>
      </c>
      <c r="IE5" s="537">
        <f t="shared" si="43"/>
        <v>0</v>
      </c>
      <c r="II5" s="350" t="s">
        <v>430</v>
      </c>
      <c r="IJ5" s="350" t="s">
        <v>454</v>
      </c>
      <c r="IK5" s="350" t="s">
        <v>431</v>
      </c>
      <c r="IL5" s="350" t="s">
        <v>432</v>
      </c>
      <c r="IM5" s="638" t="s">
        <v>433</v>
      </c>
      <c r="IN5" s="244">
        <v>90130707</v>
      </c>
      <c r="IO5" s="244">
        <v>0</v>
      </c>
      <c r="IP5" s="244">
        <v>0</v>
      </c>
      <c r="IQ5" s="756">
        <f t="shared" si="44"/>
        <v>90130.706999999995</v>
      </c>
      <c r="IR5" s="756">
        <f t="shared" si="45"/>
        <v>0</v>
      </c>
      <c r="IS5" s="756">
        <f t="shared" si="46"/>
        <v>0</v>
      </c>
      <c r="IW5" s="536" t="s">
        <v>430</v>
      </c>
      <c r="IX5" s="536" t="s">
        <v>454</v>
      </c>
      <c r="IY5" s="536" t="s">
        <v>457</v>
      </c>
      <c r="IZ5" s="536" t="s">
        <v>274</v>
      </c>
      <c r="JA5" s="561" t="s">
        <v>433</v>
      </c>
      <c r="JB5" s="535">
        <v>401994000</v>
      </c>
      <c r="JC5" s="756">
        <f t="shared" si="47"/>
        <v>401994</v>
      </c>
      <c r="JG5" s="536" t="s">
        <v>430</v>
      </c>
      <c r="JH5" s="536" t="s">
        <v>454</v>
      </c>
      <c r="JI5" s="536" t="s">
        <v>431</v>
      </c>
      <c r="JJ5" s="536" t="s">
        <v>432</v>
      </c>
      <c r="JK5" s="536" t="s">
        <v>433</v>
      </c>
      <c r="JL5" s="79">
        <v>10130707</v>
      </c>
      <c r="JM5" s="79">
        <v>0</v>
      </c>
      <c r="JN5" s="79">
        <v>0</v>
      </c>
      <c r="JO5" s="166">
        <f t="shared" si="48"/>
        <v>10130.707</v>
      </c>
      <c r="JP5" s="166">
        <f t="shared" si="49"/>
        <v>0</v>
      </c>
      <c r="JQ5" s="166">
        <f t="shared" si="50"/>
        <v>0</v>
      </c>
    </row>
    <row r="6" spans="1:279" ht="15" customHeight="1" x14ac:dyDescent="0.25">
      <c r="A6" s="91" t="s">
        <v>430</v>
      </c>
      <c r="B6" s="91" t="s">
        <v>454</v>
      </c>
      <c r="C6" s="91" t="s">
        <v>715</v>
      </c>
      <c r="D6" s="91" t="s">
        <v>716</v>
      </c>
      <c r="E6" s="92">
        <v>21890000</v>
      </c>
      <c r="F6" s="92">
        <f t="shared" si="7"/>
        <v>23269.07</v>
      </c>
      <c r="G6" s="92">
        <v>0</v>
      </c>
      <c r="H6" s="92">
        <f t="shared" si="8"/>
        <v>0</v>
      </c>
      <c r="L6" s="89" t="s">
        <v>438</v>
      </c>
      <c r="M6" s="89" t="s">
        <v>335</v>
      </c>
      <c r="N6" s="89" t="s">
        <v>629</v>
      </c>
      <c r="O6" s="89" t="s">
        <v>630</v>
      </c>
      <c r="P6" s="90">
        <v>750000</v>
      </c>
      <c r="Q6" s="90">
        <f t="shared" si="0"/>
        <v>797.25</v>
      </c>
      <c r="U6" s="89" t="s">
        <v>430</v>
      </c>
      <c r="V6" s="89" t="s">
        <v>454</v>
      </c>
      <c r="W6" s="89" t="s">
        <v>715</v>
      </c>
      <c r="X6" s="1228" t="s">
        <v>716</v>
      </c>
      <c r="Y6" s="90">
        <v>21890000</v>
      </c>
      <c r="Z6" s="90">
        <f t="shared" si="9"/>
        <v>23269.07</v>
      </c>
      <c r="AD6" s="89" t="s">
        <v>430</v>
      </c>
      <c r="AE6" s="89" t="s">
        <v>454</v>
      </c>
      <c r="AF6" s="89" t="s">
        <v>715</v>
      </c>
      <c r="AG6" s="89" t="s">
        <v>716</v>
      </c>
      <c r="AH6" s="90">
        <v>21890000</v>
      </c>
      <c r="AI6" s="90">
        <f t="shared" si="10"/>
        <v>23269.07</v>
      </c>
      <c r="AJ6" s="90">
        <v>0</v>
      </c>
      <c r="AM6" s="166"/>
      <c r="AN6" s="89" t="s">
        <v>434</v>
      </c>
      <c r="AO6" s="89" t="s">
        <v>307</v>
      </c>
      <c r="AP6" s="89" t="s">
        <v>437</v>
      </c>
      <c r="AQ6" s="89" t="s">
        <v>329</v>
      </c>
      <c r="AR6" s="90">
        <v>9692789</v>
      </c>
      <c r="AS6" s="90">
        <f t="shared" si="11"/>
        <v>10303.434707</v>
      </c>
      <c r="AW6" s="89" t="s">
        <v>430</v>
      </c>
      <c r="AX6" s="89" t="s">
        <v>454</v>
      </c>
      <c r="AY6" s="89" t="s">
        <v>455</v>
      </c>
      <c r="AZ6" s="89" t="s">
        <v>456</v>
      </c>
      <c r="BA6" s="90">
        <v>0</v>
      </c>
      <c r="BB6" s="90">
        <v>100000000</v>
      </c>
      <c r="BC6" s="90">
        <v>40000000</v>
      </c>
      <c r="BD6" s="90">
        <f t="shared" si="1"/>
        <v>0</v>
      </c>
      <c r="BE6" s="90">
        <f t="shared" si="2"/>
        <v>106300</v>
      </c>
      <c r="BF6" s="90">
        <f t="shared" si="3"/>
        <v>42520</v>
      </c>
      <c r="BK6" s="89" t="s">
        <v>434</v>
      </c>
      <c r="BL6" s="89" t="s">
        <v>307</v>
      </c>
      <c r="BM6" s="89" t="s">
        <v>437</v>
      </c>
      <c r="BN6" s="89" t="s">
        <v>329</v>
      </c>
      <c r="BO6" s="90">
        <v>9692789</v>
      </c>
      <c r="BP6" s="90">
        <f t="shared" si="4"/>
        <v>10303.434707</v>
      </c>
      <c r="BT6" s="86" t="s">
        <v>430</v>
      </c>
      <c r="BU6" s="86" t="s">
        <v>454</v>
      </c>
      <c r="BV6" s="86" t="s">
        <v>455</v>
      </c>
      <c r="BW6" s="86" t="s">
        <v>456</v>
      </c>
      <c r="BX6" s="296" t="s">
        <v>433</v>
      </c>
      <c r="BY6" s="87">
        <v>0</v>
      </c>
      <c r="BZ6" s="87">
        <v>100000000</v>
      </c>
      <c r="CA6" s="87">
        <v>40000000</v>
      </c>
      <c r="CB6" s="166">
        <f t="shared" si="12"/>
        <v>0</v>
      </c>
      <c r="CC6" s="166">
        <f t="shared" si="13"/>
        <v>106300</v>
      </c>
      <c r="CD6" s="166">
        <f t="shared" si="14"/>
        <v>42520</v>
      </c>
      <c r="CH6" s="86" t="s">
        <v>434</v>
      </c>
      <c r="CI6" s="86" t="s">
        <v>307</v>
      </c>
      <c r="CJ6" s="86">
        <v>42433003</v>
      </c>
      <c r="CK6" s="86" t="s">
        <v>329</v>
      </c>
      <c r="CL6" s="296" t="s">
        <v>433</v>
      </c>
      <c r="CM6" s="87">
        <v>0</v>
      </c>
      <c r="CN6" s="87">
        <v>-39469138</v>
      </c>
      <c r="CO6" s="87">
        <v>8796954</v>
      </c>
      <c r="CP6" s="301">
        <f t="shared" si="15"/>
        <v>0</v>
      </c>
      <c r="CQ6" s="301">
        <f t="shared" si="16"/>
        <v>-41955.693693999994</v>
      </c>
      <c r="CR6" s="301">
        <f t="shared" si="17"/>
        <v>9351.1621019999984</v>
      </c>
      <c r="CV6" s="88" t="s">
        <v>430</v>
      </c>
      <c r="CW6" s="88" t="s">
        <v>454</v>
      </c>
      <c r="CX6" s="88" t="s">
        <v>455</v>
      </c>
      <c r="CY6" s="88" t="s">
        <v>456</v>
      </c>
      <c r="CZ6" s="88">
        <v>0</v>
      </c>
      <c r="DA6" s="88">
        <v>-20000000</v>
      </c>
      <c r="DB6" s="88">
        <v>0</v>
      </c>
      <c r="DC6" s="557">
        <f t="shared" si="18"/>
        <v>0</v>
      </c>
      <c r="DD6" s="557">
        <f t="shared" si="19"/>
        <v>-21260</v>
      </c>
      <c r="DE6" s="557">
        <f t="shared" si="20"/>
        <v>0</v>
      </c>
      <c r="DI6" s="307" t="s">
        <v>430</v>
      </c>
      <c r="DJ6" s="307" t="s">
        <v>454</v>
      </c>
      <c r="DK6" s="307" t="s">
        <v>715</v>
      </c>
      <c r="DL6" s="307" t="s">
        <v>716</v>
      </c>
      <c r="DM6" s="79">
        <v>21890000</v>
      </c>
      <c r="DN6" s="79">
        <v>0</v>
      </c>
      <c r="DO6" s="79">
        <v>0</v>
      </c>
      <c r="DP6" s="560">
        <f t="shared" si="21"/>
        <v>23269.07</v>
      </c>
      <c r="DQ6" s="560">
        <f t="shared" si="22"/>
        <v>0</v>
      </c>
      <c r="DR6" s="560">
        <f t="shared" si="23"/>
        <v>0</v>
      </c>
      <c r="DV6" s="534" t="s">
        <v>430</v>
      </c>
      <c r="DW6" s="534" t="s">
        <v>454</v>
      </c>
      <c r="DX6" s="534" t="s">
        <v>431</v>
      </c>
      <c r="DY6" s="536" t="s">
        <v>432</v>
      </c>
      <c r="DZ6" s="561" t="s">
        <v>433</v>
      </c>
      <c r="EA6" s="535">
        <v>-1731249</v>
      </c>
      <c r="EB6" s="535">
        <v>0</v>
      </c>
      <c r="EC6" s="535">
        <v>0</v>
      </c>
      <c r="ED6" s="535">
        <f t="shared" si="24"/>
        <v>-1840.317687</v>
      </c>
      <c r="EE6" s="535">
        <f t="shared" si="25"/>
        <v>0</v>
      </c>
      <c r="EF6" s="535">
        <f t="shared" si="26"/>
        <v>0</v>
      </c>
      <c r="EG6" s="95"/>
      <c r="EI6" s="88" t="s">
        <v>430</v>
      </c>
      <c r="EJ6" s="88" t="s">
        <v>454</v>
      </c>
      <c r="EK6" s="88" t="s">
        <v>715</v>
      </c>
      <c r="EL6" s="88" t="s">
        <v>716</v>
      </c>
      <c r="EM6" s="88" t="s">
        <v>433</v>
      </c>
      <c r="EN6" s="88">
        <v>11000000</v>
      </c>
      <c r="EO6" s="88">
        <v>0</v>
      </c>
      <c r="EP6" s="88">
        <v>0</v>
      </c>
      <c r="EQ6" s="557">
        <f t="shared" si="27"/>
        <v>11693</v>
      </c>
      <c r="ER6" s="557">
        <f t="shared" si="28"/>
        <v>0</v>
      </c>
      <c r="ES6" s="557">
        <f t="shared" si="29"/>
        <v>0</v>
      </c>
      <c r="EW6" s="534" t="s">
        <v>434</v>
      </c>
      <c r="EX6" s="534" t="s">
        <v>307</v>
      </c>
      <c r="EY6" s="534" t="s">
        <v>436</v>
      </c>
      <c r="EZ6" s="534" t="s">
        <v>339</v>
      </c>
      <c r="FA6" s="561" t="s">
        <v>433</v>
      </c>
      <c r="FB6" s="535">
        <v>0</v>
      </c>
      <c r="FC6" s="535">
        <v>1675190</v>
      </c>
      <c r="FD6" s="535">
        <v>34134654</v>
      </c>
      <c r="FE6" s="535">
        <f t="shared" si="30"/>
        <v>0</v>
      </c>
      <c r="FF6" s="535">
        <f t="shared" si="31"/>
        <v>1780.7269699999999</v>
      </c>
      <c r="FG6" s="535">
        <f t="shared" si="32"/>
        <v>36285.137201999998</v>
      </c>
      <c r="FK6" s="88" t="s">
        <v>430</v>
      </c>
      <c r="FL6" s="88" t="s">
        <v>454</v>
      </c>
      <c r="FM6" s="88" t="s">
        <v>715</v>
      </c>
      <c r="FN6" s="88" t="s">
        <v>716</v>
      </c>
      <c r="FO6" s="354" t="s">
        <v>433</v>
      </c>
      <c r="FP6" s="79">
        <v>11000000</v>
      </c>
      <c r="FQ6" s="79">
        <v>0</v>
      </c>
      <c r="FR6" s="79">
        <v>0</v>
      </c>
      <c r="FS6" s="535">
        <f t="shared" si="33"/>
        <v>11693</v>
      </c>
      <c r="FT6" s="535">
        <f t="shared" si="34"/>
        <v>0</v>
      </c>
      <c r="FU6" s="535">
        <f t="shared" si="35"/>
        <v>0</v>
      </c>
      <c r="FY6" s="664" t="s">
        <v>434</v>
      </c>
      <c r="FZ6" s="665" t="s">
        <v>307</v>
      </c>
      <c r="GA6" s="665" t="s">
        <v>447</v>
      </c>
      <c r="GB6" s="665" t="s">
        <v>447</v>
      </c>
      <c r="GC6" s="666" t="s">
        <v>433</v>
      </c>
      <c r="GD6" s="667">
        <v>0</v>
      </c>
      <c r="GE6" s="668">
        <f t="shared" si="51"/>
        <v>0</v>
      </c>
      <c r="GI6" s="638" t="s">
        <v>430</v>
      </c>
      <c r="GJ6" s="638" t="s">
        <v>454</v>
      </c>
      <c r="GK6" s="350" t="s">
        <v>715</v>
      </c>
      <c r="GL6" s="638" t="s">
        <v>716</v>
      </c>
      <c r="GM6" s="638" t="s">
        <v>433</v>
      </c>
      <c r="GN6" s="669">
        <v>11000000</v>
      </c>
      <c r="GO6" s="669">
        <v>0</v>
      </c>
      <c r="GP6" s="669">
        <v>0</v>
      </c>
      <c r="GQ6" s="670">
        <f t="shared" si="36"/>
        <v>11693</v>
      </c>
      <c r="GR6" s="670">
        <f t="shared" si="37"/>
        <v>0</v>
      </c>
      <c r="GS6" s="670">
        <f t="shared" si="38"/>
        <v>0</v>
      </c>
      <c r="GX6" s="624" t="s">
        <v>430</v>
      </c>
      <c r="GY6" s="536" t="s">
        <v>454</v>
      </c>
      <c r="GZ6" s="536" t="s">
        <v>457</v>
      </c>
      <c r="HA6" s="536" t="s">
        <v>274</v>
      </c>
      <c r="HB6" s="536" t="s">
        <v>433</v>
      </c>
      <c r="HC6" s="721">
        <v>39000000</v>
      </c>
      <c r="HD6" s="722">
        <f t="shared" si="39"/>
        <v>39000</v>
      </c>
      <c r="HE6" s="80"/>
      <c r="HF6" s="80"/>
      <c r="HH6" s="725" t="s">
        <v>430</v>
      </c>
      <c r="HI6" s="725" t="s">
        <v>454</v>
      </c>
      <c r="HJ6" s="725" t="s">
        <v>715</v>
      </c>
      <c r="HK6" s="726" t="s">
        <v>716</v>
      </c>
      <c r="HL6" s="726" t="s">
        <v>433</v>
      </c>
      <c r="HM6" s="355">
        <v>9400000</v>
      </c>
      <c r="HN6" s="355">
        <v>0</v>
      </c>
      <c r="HO6" s="355">
        <v>0</v>
      </c>
      <c r="HP6" s="724">
        <f t="shared" si="40"/>
        <v>9400</v>
      </c>
      <c r="HQ6" s="724">
        <f t="shared" si="41"/>
        <v>0</v>
      </c>
      <c r="HR6" s="724">
        <f t="shared" si="42"/>
        <v>0</v>
      </c>
      <c r="HW6" s="726" t="s">
        <v>430</v>
      </c>
      <c r="HX6" s="726" t="s">
        <v>454</v>
      </c>
      <c r="HY6" s="726" t="s">
        <v>447</v>
      </c>
      <c r="HZ6" s="726" t="s">
        <v>447</v>
      </c>
      <c r="IA6" s="726" t="s">
        <v>433</v>
      </c>
      <c r="IB6" s="761">
        <v>0</v>
      </c>
      <c r="IC6" s="761">
        <v>0</v>
      </c>
      <c r="ID6" s="761">
        <v>0</v>
      </c>
      <c r="IE6" s="537">
        <f t="shared" si="43"/>
        <v>0</v>
      </c>
      <c r="II6" s="350" t="s">
        <v>430</v>
      </c>
      <c r="IJ6" s="350" t="s">
        <v>454</v>
      </c>
      <c r="IK6" s="350" t="s">
        <v>715</v>
      </c>
      <c r="IL6" s="350" t="s">
        <v>716</v>
      </c>
      <c r="IM6" s="638" t="s">
        <v>433</v>
      </c>
      <c r="IN6" s="244">
        <v>9900000</v>
      </c>
      <c r="IO6" s="244">
        <v>0</v>
      </c>
      <c r="IP6" s="244">
        <v>0</v>
      </c>
      <c r="IQ6" s="756">
        <f t="shared" si="44"/>
        <v>9900</v>
      </c>
      <c r="IR6" s="756">
        <f t="shared" si="45"/>
        <v>0</v>
      </c>
      <c r="IS6" s="756">
        <f t="shared" si="46"/>
        <v>0</v>
      </c>
      <c r="IW6" s="536" t="s">
        <v>430</v>
      </c>
      <c r="IX6" s="536" t="s">
        <v>454</v>
      </c>
      <c r="IY6" s="536" t="s">
        <v>431</v>
      </c>
      <c r="IZ6" s="536" t="s">
        <v>432</v>
      </c>
      <c r="JA6" s="561" t="s">
        <v>433</v>
      </c>
      <c r="JB6" s="535">
        <v>2194241</v>
      </c>
      <c r="JC6" s="756">
        <f t="shared" si="47"/>
        <v>2194.241</v>
      </c>
      <c r="JG6" s="536" t="s">
        <v>430</v>
      </c>
      <c r="JH6" s="536" t="s">
        <v>454</v>
      </c>
      <c r="JI6" s="536" t="s">
        <v>715</v>
      </c>
      <c r="JJ6" s="536" t="s">
        <v>716</v>
      </c>
      <c r="JK6" s="536" t="s">
        <v>433</v>
      </c>
      <c r="JL6" s="79">
        <v>9900000</v>
      </c>
      <c r="JM6" s="79">
        <v>0</v>
      </c>
      <c r="JN6" s="79">
        <v>0</v>
      </c>
      <c r="JO6" s="166">
        <f t="shared" si="48"/>
        <v>9900</v>
      </c>
      <c r="JP6" s="166">
        <f t="shared" si="49"/>
        <v>0</v>
      </c>
      <c r="JQ6" s="166">
        <f t="shared" si="50"/>
        <v>0</v>
      </c>
    </row>
    <row r="7" spans="1:279" ht="15" customHeight="1" x14ac:dyDescent="0.25">
      <c r="A7" s="91" t="s">
        <v>430</v>
      </c>
      <c r="B7" s="91" t="s">
        <v>454</v>
      </c>
      <c r="C7" s="91" t="s">
        <v>628</v>
      </c>
      <c r="D7" s="91" t="s">
        <v>331</v>
      </c>
      <c r="E7" s="92">
        <v>1985751</v>
      </c>
      <c r="F7" s="92">
        <f t="shared" si="7"/>
        <v>2110.8533130000001</v>
      </c>
      <c r="G7" s="92">
        <v>0</v>
      </c>
      <c r="H7" s="92">
        <f t="shared" si="8"/>
        <v>0</v>
      </c>
      <c r="L7" s="89" t="s">
        <v>465</v>
      </c>
      <c r="M7" s="89" t="s">
        <v>466</v>
      </c>
      <c r="N7" s="89" t="s">
        <v>447</v>
      </c>
      <c r="O7" s="89" t="s">
        <v>447</v>
      </c>
      <c r="P7" s="90">
        <v>10392341</v>
      </c>
      <c r="Q7" s="90">
        <f t="shared" si="0"/>
        <v>11047.058483000001</v>
      </c>
      <c r="U7" s="89" t="s">
        <v>430</v>
      </c>
      <c r="V7" s="89" t="s">
        <v>454</v>
      </c>
      <c r="W7" s="89" t="s">
        <v>628</v>
      </c>
      <c r="X7" s="1228" t="s">
        <v>331</v>
      </c>
      <c r="Y7" s="90">
        <v>1985751</v>
      </c>
      <c r="Z7" s="90">
        <f t="shared" si="9"/>
        <v>2110.8533130000001</v>
      </c>
      <c r="AD7" s="89" t="s">
        <v>430</v>
      </c>
      <c r="AE7" s="89" t="s">
        <v>454</v>
      </c>
      <c r="AF7" s="89" t="s">
        <v>628</v>
      </c>
      <c r="AG7" s="89" t="s">
        <v>331</v>
      </c>
      <c r="AH7" s="90">
        <v>1985751</v>
      </c>
      <c r="AI7" s="90">
        <f t="shared" si="10"/>
        <v>2110.8533130000001</v>
      </c>
      <c r="AJ7" s="90">
        <v>0</v>
      </c>
      <c r="AM7" s="166"/>
      <c r="AN7" s="89" t="s">
        <v>434</v>
      </c>
      <c r="AO7" s="89" t="s">
        <v>307</v>
      </c>
      <c r="AP7" s="89" t="s">
        <v>459</v>
      </c>
      <c r="AQ7" s="89" t="s">
        <v>331</v>
      </c>
      <c r="AR7" s="90">
        <v>2250000</v>
      </c>
      <c r="AS7" s="90">
        <f t="shared" si="11"/>
        <v>2391.75</v>
      </c>
      <c r="AW7" s="89" t="s">
        <v>430</v>
      </c>
      <c r="AX7" s="89" t="s">
        <v>454</v>
      </c>
      <c r="AY7" s="89" t="s">
        <v>431</v>
      </c>
      <c r="AZ7" s="89" t="s">
        <v>432</v>
      </c>
      <c r="BA7" s="90">
        <v>22000000</v>
      </c>
      <c r="BB7" s="90">
        <v>0</v>
      </c>
      <c r="BC7" s="90">
        <v>0</v>
      </c>
      <c r="BD7" s="90">
        <f t="shared" si="1"/>
        <v>23386</v>
      </c>
      <c r="BE7" s="90">
        <f t="shared" si="2"/>
        <v>0</v>
      </c>
      <c r="BF7" s="90">
        <f t="shared" si="3"/>
        <v>0</v>
      </c>
      <c r="BK7" s="89" t="s">
        <v>434</v>
      </c>
      <c r="BL7" s="89" t="s">
        <v>307</v>
      </c>
      <c r="BM7" s="89" t="s">
        <v>459</v>
      </c>
      <c r="BN7" s="89" t="s">
        <v>331</v>
      </c>
      <c r="BO7" s="90">
        <v>2250000</v>
      </c>
      <c r="BP7" s="90">
        <f t="shared" si="4"/>
        <v>2391.75</v>
      </c>
      <c r="BT7" s="86" t="s">
        <v>430</v>
      </c>
      <c r="BU7" s="86" t="s">
        <v>454</v>
      </c>
      <c r="BV7" s="86" t="s">
        <v>431</v>
      </c>
      <c r="BW7" s="86" t="s">
        <v>432</v>
      </c>
      <c r="BX7" s="296" t="s">
        <v>433</v>
      </c>
      <c r="BY7" s="87">
        <v>22000000</v>
      </c>
      <c r="BZ7" s="87">
        <v>0</v>
      </c>
      <c r="CA7" s="87">
        <v>0</v>
      </c>
      <c r="CB7" s="166">
        <f t="shared" si="12"/>
        <v>23386</v>
      </c>
      <c r="CC7" s="166">
        <f t="shared" si="13"/>
        <v>0</v>
      </c>
      <c r="CD7" s="166">
        <f t="shared" si="14"/>
        <v>0</v>
      </c>
      <c r="CH7" s="86" t="s">
        <v>434</v>
      </c>
      <c r="CI7" s="86" t="s">
        <v>307</v>
      </c>
      <c r="CJ7" s="86">
        <v>42433005</v>
      </c>
      <c r="CK7" s="86" t="s">
        <v>331</v>
      </c>
      <c r="CL7" s="296" t="s">
        <v>433</v>
      </c>
      <c r="CM7" s="87">
        <v>0</v>
      </c>
      <c r="CN7" s="87">
        <v>0</v>
      </c>
      <c r="CO7" s="87">
        <v>4500000</v>
      </c>
      <c r="CP7" s="301">
        <f t="shared" si="15"/>
        <v>0</v>
      </c>
      <c r="CQ7" s="301">
        <f t="shared" si="16"/>
        <v>0</v>
      </c>
      <c r="CR7" s="301">
        <f t="shared" si="17"/>
        <v>4783.5</v>
      </c>
      <c r="CV7" s="88" t="s">
        <v>430</v>
      </c>
      <c r="CW7" s="88" t="s">
        <v>454</v>
      </c>
      <c r="CX7" s="88" t="s">
        <v>457</v>
      </c>
      <c r="CY7" s="88" t="s">
        <v>274</v>
      </c>
      <c r="CZ7" s="88">
        <v>-2531249</v>
      </c>
      <c r="DA7" s="88">
        <v>0</v>
      </c>
      <c r="DB7" s="88">
        <v>0</v>
      </c>
      <c r="DC7" s="557">
        <f t="shared" si="18"/>
        <v>-2690.7176869999998</v>
      </c>
      <c r="DD7" s="557">
        <f t="shared" si="19"/>
        <v>0</v>
      </c>
      <c r="DE7" s="557">
        <f t="shared" si="20"/>
        <v>0</v>
      </c>
      <c r="DI7" s="307" t="s">
        <v>430</v>
      </c>
      <c r="DJ7" s="307" t="s">
        <v>454</v>
      </c>
      <c r="DK7" s="307" t="s">
        <v>628</v>
      </c>
      <c r="DL7" s="307" t="s">
        <v>331</v>
      </c>
      <c r="DM7" s="79">
        <v>1985751</v>
      </c>
      <c r="DN7" s="79">
        <v>0</v>
      </c>
      <c r="DO7" s="79">
        <v>0</v>
      </c>
      <c r="DP7" s="560">
        <f t="shared" si="21"/>
        <v>2110.8533130000001</v>
      </c>
      <c r="DQ7" s="560">
        <f t="shared" si="22"/>
        <v>0</v>
      </c>
      <c r="DR7" s="560">
        <f t="shared" si="23"/>
        <v>0</v>
      </c>
      <c r="DV7" s="534" t="s">
        <v>430</v>
      </c>
      <c r="DW7" s="534" t="s">
        <v>454</v>
      </c>
      <c r="DX7" s="534" t="s">
        <v>628</v>
      </c>
      <c r="DY7" s="536" t="s">
        <v>331</v>
      </c>
      <c r="DZ7" s="561" t="s">
        <v>433</v>
      </c>
      <c r="EA7" s="535">
        <v>-1985751</v>
      </c>
      <c r="EB7" s="535">
        <v>0</v>
      </c>
      <c r="EC7" s="535">
        <v>0</v>
      </c>
      <c r="ED7" s="535">
        <f t="shared" si="24"/>
        <v>-2110.8533130000001</v>
      </c>
      <c r="EE7" s="535">
        <f t="shared" si="25"/>
        <v>0</v>
      </c>
      <c r="EF7" s="535">
        <f t="shared" si="26"/>
        <v>0</v>
      </c>
      <c r="EG7" s="95"/>
      <c r="EI7" s="88" t="s">
        <v>430</v>
      </c>
      <c r="EJ7" s="88" t="s">
        <v>454</v>
      </c>
      <c r="EK7" s="88" t="s">
        <v>447</v>
      </c>
      <c r="EL7" s="88" t="s">
        <v>447</v>
      </c>
      <c r="EM7" s="88" t="s">
        <v>433</v>
      </c>
      <c r="EN7" s="88">
        <v>0</v>
      </c>
      <c r="EO7" s="88">
        <v>0</v>
      </c>
      <c r="EP7" s="88">
        <v>0</v>
      </c>
      <c r="EQ7" s="557">
        <f t="shared" si="27"/>
        <v>0</v>
      </c>
      <c r="ER7" s="557">
        <f t="shared" si="28"/>
        <v>0</v>
      </c>
      <c r="ES7" s="557">
        <f t="shared" si="29"/>
        <v>0</v>
      </c>
      <c r="EW7" s="534" t="s">
        <v>434</v>
      </c>
      <c r="EX7" s="534" t="s">
        <v>307</v>
      </c>
      <c r="EY7" s="534" t="s">
        <v>447</v>
      </c>
      <c r="EZ7" s="534" t="s">
        <v>447</v>
      </c>
      <c r="FA7" s="561" t="s">
        <v>433</v>
      </c>
      <c r="FB7" s="535">
        <v>0</v>
      </c>
      <c r="FC7" s="535">
        <v>0</v>
      </c>
      <c r="FD7" s="535">
        <v>0</v>
      </c>
      <c r="FE7" s="535">
        <f t="shared" si="30"/>
        <v>0</v>
      </c>
      <c r="FF7" s="535">
        <f t="shared" si="31"/>
        <v>0</v>
      </c>
      <c r="FG7" s="535">
        <f t="shared" si="32"/>
        <v>0</v>
      </c>
      <c r="FK7" s="88" t="s">
        <v>430</v>
      </c>
      <c r="FL7" s="88" t="s">
        <v>454</v>
      </c>
      <c r="FM7" s="88" t="s">
        <v>457</v>
      </c>
      <c r="FN7" s="88" t="s">
        <v>274</v>
      </c>
      <c r="FO7" s="354" t="s">
        <v>433</v>
      </c>
      <c r="FP7" s="79">
        <v>0</v>
      </c>
      <c r="FQ7" s="79">
        <v>676980000</v>
      </c>
      <c r="FR7" s="79">
        <v>315216000</v>
      </c>
      <c r="FS7" s="535">
        <f t="shared" si="33"/>
        <v>0</v>
      </c>
      <c r="FT7" s="535">
        <f t="shared" si="34"/>
        <v>719629.74</v>
      </c>
      <c r="FU7" s="535">
        <f t="shared" si="35"/>
        <v>335074.60800000001</v>
      </c>
      <c r="FY7" s="664" t="s">
        <v>434</v>
      </c>
      <c r="FZ7" s="665" t="s">
        <v>307</v>
      </c>
      <c r="GA7" s="665" t="s">
        <v>459</v>
      </c>
      <c r="GB7" s="665" t="s">
        <v>331</v>
      </c>
      <c r="GC7" s="666" t="s">
        <v>433</v>
      </c>
      <c r="GD7" s="667">
        <v>98980</v>
      </c>
      <c r="GE7" s="668">
        <f t="shared" si="51"/>
        <v>105.21574</v>
      </c>
      <c r="GI7" s="638" t="s">
        <v>430</v>
      </c>
      <c r="GJ7" s="638" t="s">
        <v>454</v>
      </c>
      <c r="GK7" s="350" t="s">
        <v>457</v>
      </c>
      <c r="GL7" s="638" t="s">
        <v>274</v>
      </c>
      <c r="GM7" s="638" t="s">
        <v>433</v>
      </c>
      <c r="GN7" s="669">
        <v>0</v>
      </c>
      <c r="GO7" s="669">
        <v>754980000</v>
      </c>
      <c r="GP7" s="669">
        <v>414588000</v>
      </c>
      <c r="GQ7" s="670">
        <f t="shared" si="36"/>
        <v>0</v>
      </c>
      <c r="GR7" s="670">
        <f t="shared" si="37"/>
        <v>802543.74</v>
      </c>
      <c r="GS7" s="670">
        <f t="shared" si="38"/>
        <v>440707.04399999999</v>
      </c>
      <c r="GX7" s="624" t="s">
        <v>430</v>
      </c>
      <c r="GY7" s="536" t="s">
        <v>454</v>
      </c>
      <c r="GZ7" s="536" t="s">
        <v>447</v>
      </c>
      <c r="HA7" s="536" t="s">
        <v>447</v>
      </c>
      <c r="HB7" s="536" t="s">
        <v>433</v>
      </c>
      <c r="HC7" s="721">
        <v>0</v>
      </c>
      <c r="HD7" s="722">
        <f t="shared" si="39"/>
        <v>0</v>
      </c>
      <c r="HE7" s="80"/>
      <c r="HF7" s="80"/>
      <c r="HH7" s="725" t="s">
        <v>430</v>
      </c>
      <c r="HI7" s="725" t="s">
        <v>454</v>
      </c>
      <c r="HJ7" s="725" t="s">
        <v>447</v>
      </c>
      <c r="HK7" s="726" t="s">
        <v>447</v>
      </c>
      <c r="HL7" s="726" t="s">
        <v>433</v>
      </c>
      <c r="HM7" s="355">
        <v>0</v>
      </c>
      <c r="HN7" s="355">
        <v>0</v>
      </c>
      <c r="HO7" s="355">
        <v>0</v>
      </c>
      <c r="HP7" s="724">
        <f t="shared" si="40"/>
        <v>0</v>
      </c>
      <c r="HQ7" s="724">
        <f t="shared" si="41"/>
        <v>0</v>
      </c>
      <c r="HR7" s="724">
        <f t="shared" si="42"/>
        <v>0</v>
      </c>
      <c r="HW7" s="726" t="s">
        <v>430</v>
      </c>
      <c r="HX7" s="726" t="s">
        <v>454</v>
      </c>
      <c r="HY7" s="726" t="s">
        <v>431</v>
      </c>
      <c r="HZ7" s="726" t="s">
        <v>432</v>
      </c>
      <c r="IA7" s="726" t="s">
        <v>433</v>
      </c>
      <c r="IB7" s="761">
        <v>0</v>
      </c>
      <c r="IC7" s="761">
        <v>1242241</v>
      </c>
      <c r="ID7" s="761">
        <v>0</v>
      </c>
      <c r="IE7" s="537">
        <f t="shared" si="43"/>
        <v>0</v>
      </c>
      <c r="II7" s="350" t="s">
        <v>430</v>
      </c>
      <c r="IJ7" s="350" t="s">
        <v>454</v>
      </c>
      <c r="IK7" s="350" t="s">
        <v>628</v>
      </c>
      <c r="IL7" s="350" t="s">
        <v>331</v>
      </c>
      <c r="IM7" s="638" t="s">
        <v>433</v>
      </c>
      <c r="IN7" s="244">
        <v>160293</v>
      </c>
      <c r="IO7" s="244">
        <v>0</v>
      </c>
      <c r="IP7" s="244">
        <v>0</v>
      </c>
      <c r="IQ7" s="756">
        <f t="shared" si="44"/>
        <v>160.29300000000001</v>
      </c>
      <c r="IR7" s="756">
        <f t="shared" si="45"/>
        <v>0</v>
      </c>
      <c r="IS7" s="756">
        <f t="shared" si="46"/>
        <v>0</v>
      </c>
      <c r="IW7" s="536" t="s">
        <v>434</v>
      </c>
      <c r="IX7" s="536" t="s">
        <v>307</v>
      </c>
      <c r="IY7" s="536" t="s">
        <v>459</v>
      </c>
      <c r="IZ7" s="536" t="s">
        <v>331</v>
      </c>
      <c r="JA7" s="561" t="s">
        <v>433</v>
      </c>
      <c r="JB7" s="535">
        <v>6053959</v>
      </c>
      <c r="JC7" s="756">
        <f t="shared" si="47"/>
        <v>6053.9589999999998</v>
      </c>
      <c r="JG7" s="536" t="s">
        <v>430</v>
      </c>
      <c r="JH7" s="536" t="s">
        <v>454</v>
      </c>
      <c r="JI7" s="536" t="s">
        <v>628</v>
      </c>
      <c r="JJ7" s="536" t="s">
        <v>331</v>
      </c>
      <c r="JK7" s="536" t="s">
        <v>433</v>
      </c>
      <c r="JL7" s="79">
        <v>160293</v>
      </c>
      <c r="JM7" s="79">
        <v>0</v>
      </c>
      <c r="JN7" s="79">
        <v>0</v>
      </c>
      <c r="JO7" s="166">
        <f t="shared" si="48"/>
        <v>160.29300000000001</v>
      </c>
      <c r="JP7" s="166">
        <f t="shared" si="49"/>
        <v>0</v>
      </c>
      <c r="JQ7" s="166">
        <f t="shared" si="50"/>
        <v>0</v>
      </c>
    </row>
    <row r="8" spans="1:279" ht="15" customHeight="1" x14ac:dyDescent="0.25">
      <c r="A8" s="91" t="s">
        <v>434</v>
      </c>
      <c r="B8" s="91" t="s">
        <v>307</v>
      </c>
      <c r="C8" s="91" t="s">
        <v>435</v>
      </c>
      <c r="D8" s="91" t="s">
        <v>328</v>
      </c>
      <c r="E8" s="92">
        <v>1912129000</v>
      </c>
      <c r="F8" s="92">
        <f t="shared" si="7"/>
        <v>2032593.1269999999</v>
      </c>
      <c r="G8" s="92">
        <v>0</v>
      </c>
      <c r="H8" s="92">
        <f t="shared" si="8"/>
        <v>0</v>
      </c>
      <c r="L8" s="89" t="s">
        <v>452</v>
      </c>
      <c r="M8" s="89" t="s">
        <v>128</v>
      </c>
      <c r="N8" s="89" t="s">
        <v>447</v>
      </c>
      <c r="O8" s="89" t="s">
        <v>447</v>
      </c>
      <c r="P8" s="90">
        <v>859772544</v>
      </c>
      <c r="Q8" s="90">
        <f t="shared" si="0"/>
        <v>913938.2142719999</v>
      </c>
      <c r="U8" s="89" t="s">
        <v>434</v>
      </c>
      <c r="V8" s="89" t="s">
        <v>307</v>
      </c>
      <c r="W8" s="89" t="s">
        <v>435</v>
      </c>
      <c r="X8" s="1228" t="s">
        <v>328</v>
      </c>
      <c r="Y8" s="90">
        <v>1912129000</v>
      </c>
      <c r="Z8" s="90">
        <f t="shared" si="9"/>
        <v>2032593.1269999999</v>
      </c>
      <c r="AD8" s="89" t="s">
        <v>430</v>
      </c>
      <c r="AE8" s="89" t="s">
        <v>454</v>
      </c>
      <c r="AF8" s="89" t="s">
        <v>447</v>
      </c>
      <c r="AG8" s="89" t="s">
        <v>447</v>
      </c>
      <c r="AH8" s="90">
        <v>0</v>
      </c>
      <c r="AI8" s="90">
        <f t="shared" si="10"/>
        <v>0</v>
      </c>
      <c r="AJ8" s="90">
        <v>0</v>
      </c>
      <c r="AM8" s="166"/>
      <c r="AN8" s="89" t="s">
        <v>434</v>
      </c>
      <c r="AO8" s="89" t="s">
        <v>307</v>
      </c>
      <c r="AP8" s="89" t="s">
        <v>435</v>
      </c>
      <c r="AQ8" s="89" t="str">
        <f>+'P02 2022'!II2</f>
        <v>Código Concepto</v>
      </c>
      <c r="AR8" s="90">
        <v>14382470</v>
      </c>
      <c r="AS8" s="90">
        <f t="shared" si="11"/>
        <v>15288.565609999998</v>
      </c>
      <c r="AW8" s="89" t="s">
        <v>430</v>
      </c>
      <c r="AX8" s="89" t="s">
        <v>454</v>
      </c>
      <c r="AY8" s="89" t="s">
        <v>628</v>
      </c>
      <c r="AZ8" s="89" t="s">
        <v>331</v>
      </c>
      <c r="BA8" s="90">
        <v>1985751</v>
      </c>
      <c r="BB8" s="90">
        <v>0</v>
      </c>
      <c r="BC8" s="90">
        <v>0</v>
      </c>
      <c r="BD8" s="90">
        <f t="shared" si="1"/>
        <v>2110.8533130000001</v>
      </c>
      <c r="BE8" s="90">
        <f t="shared" si="2"/>
        <v>0</v>
      </c>
      <c r="BF8" s="90">
        <f t="shared" si="3"/>
        <v>0</v>
      </c>
      <c r="BK8" s="89" t="s">
        <v>465</v>
      </c>
      <c r="BL8" s="89" t="s">
        <v>466</v>
      </c>
      <c r="BM8" s="89" t="s">
        <v>447</v>
      </c>
      <c r="BN8" s="89" t="s">
        <v>447</v>
      </c>
      <c r="BO8" s="90">
        <v>10329576</v>
      </c>
      <c r="BP8" s="90">
        <f t="shared" si="4"/>
        <v>10980.339287999999</v>
      </c>
      <c r="BT8" s="86" t="s">
        <v>430</v>
      </c>
      <c r="BU8" s="86" t="s">
        <v>454</v>
      </c>
      <c r="BV8" s="86" t="s">
        <v>628</v>
      </c>
      <c r="BW8" s="86" t="s">
        <v>331</v>
      </c>
      <c r="BX8" s="296" t="s">
        <v>433</v>
      </c>
      <c r="BY8" s="87">
        <v>1985751</v>
      </c>
      <c r="BZ8" s="87">
        <v>0</v>
      </c>
      <c r="CA8" s="87">
        <v>0</v>
      </c>
      <c r="CB8" s="166">
        <f t="shared" si="12"/>
        <v>2110.8533130000001</v>
      </c>
      <c r="CC8" s="166">
        <f t="shared" si="13"/>
        <v>0</v>
      </c>
      <c r="CD8" s="166">
        <f t="shared" si="14"/>
        <v>0</v>
      </c>
      <c r="CH8" s="86" t="s">
        <v>434</v>
      </c>
      <c r="CI8" s="86" t="s">
        <v>307</v>
      </c>
      <c r="CJ8" s="86" t="s">
        <v>447</v>
      </c>
      <c r="CK8" s="86" t="s">
        <v>447</v>
      </c>
      <c r="CL8" s="296" t="s">
        <v>433</v>
      </c>
      <c r="CM8" s="87">
        <v>0</v>
      </c>
      <c r="CN8" s="87">
        <v>0</v>
      </c>
      <c r="CO8" s="87">
        <v>0</v>
      </c>
      <c r="CP8" s="301">
        <f t="shared" si="15"/>
        <v>0</v>
      </c>
      <c r="CQ8" s="301">
        <f t="shared" si="16"/>
        <v>0</v>
      </c>
      <c r="CR8" s="301">
        <f t="shared" si="17"/>
        <v>0</v>
      </c>
      <c r="CV8" s="88" t="s">
        <v>430</v>
      </c>
      <c r="CW8" s="88" t="s">
        <v>454</v>
      </c>
      <c r="CX8" s="88" t="s">
        <v>455</v>
      </c>
      <c r="CY8" s="88" t="s">
        <v>456</v>
      </c>
      <c r="CZ8" s="88">
        <v>-47200000</v>
      </c>
      <c r="DA8" s="88">
        <v>0</v>
      </c>
      <c r="DB8" s="88">
        <v>0</v>
      </c>
      <c r="DC8" s="557">
        <f t="shared" si="18"/>
        <v>-50173.599999999999</v>
      </c>
      <c r="DD8" s="557">
        <f t="shared" si="19"/>
        <v>0</v>
      </c>
      <c r="DE8" s="557">
        <f t="shared" si="20"/>
        <v>0</v>
      </c>
      <c r="DI8" s="307" t="s">
        <v>430</v>
      </c>
      <c r="DJ8" s="307" t="s">
        <v>454</v>
      </c>
      <c r="DK8" s="307" t="s">
        <v>447</v>
      </c>
      <c r="DL8" s="307" t="s">
        <v>447</v>
      </c>
      <c r="DM8" s="79">
        <v>0</v>
      </c>
      <c r="DN8" s="79">
        <v>0</v>
      </c>
      <c r="DO8" s="79">
        <v>0</v>
      </c>
      <c r="DP8" s="560">
        <f t="shared" si="21"/>
        <v>0</v>
      </c>
      <c r="DQ8" s="560">
        <f t="shared" si="22"/>
        <v>0</v>
      </c>
      <c r="DR8" s="560">
        <f t="shared" si="23"/>
        <v>0</v>
      </c>
      <c r="DV8" s="534" t="s">
        <v>430</v>
      </c>
      <c r="DW8" s="534" t="s">
        <v>454</v>
      </c>
      <c r="DX8" s="534" t="s">
        <v>715</v>
      </c>
      <c r="DY8" s="536" t="s">
        <v>716</v>
      </c>
      <c r="DZ8" s="561" t="s">
        <v>433</v>
      </c>
      <c r="EA8" s="535">
        <v>-10890000</v>
      </c>
      <c r="EB8" s="535">
        <v>0</v>
      </c>
      <c r="EC8" s="535">
        <v>0</v>
      </c>
      <c r="ED8" s="535">
        <f t="shared" si="24"/>
        <v>-11576.07</v>
      </c>
      <c r="EE8" s="535">
        <f t="shared" si="25"/>
        <v>0</v>
      </c>
      <c r="EF8" s="535">
        <f t="shared" si="26"/>
        <v>0</v>
      </c>
      <c r="EG8" s="95"/>
      <c r="EI8" s="88" t="s">
        <v>430</v>
      </c>
      <c r="EJ8" s="88" t="s">
        <v>454</v>
      </c>
      <c r="EK8" s="88" t="s">
        <v>455</v>
      </c>
      <c r="EL8" s="88" t="s">
        <v>456</v>
      </c>
      <c r="EM8" s="88" t="s">
        <v>433</v>
      </c>
      <c r="EN8" s="88">
        <v>0</v>
      </c>
      <c r="EO8" s="88">
        <v>80000000</v>
      </c>
      <c r="EP8" s="88">
        <v>40000000</v>
      </c>
      <c r="EQ8" s="557">
        <f t="shared" si="27"/>
        <v>0</v>
      </c>
      <c r="ER8" s="557">
        <f t="shared" si="28"/>
        <v>85040</v>
      </c>
      <c r="ES8" s="557">
        <f t="shared" si="29"/>
        <v>42520</v>
      </c>
      <c r="EW8" s="534" t="s">
        <v>434</v>
      </c>
      <c r="EX8" s="534" t="s">
        <v>307</v>
      </c>
      <c r="EY8" s="534" t="s">
        <v>435</v>
      </c>
      <c r="EZ8" s="534" t="s">
        <v>328</v>
      </c>
      <c r="FA8" s="561" t="s">
        <v>433</v>
      </c>
      <c r="FB8" s="535">
        <v>0</v>
      </c>
      <c r="FC8" s="535">
        <v>60339625</v>
      </c>
      <c r="FD8" s="535">
        <v>189158111</v>
      </c>
      <c r="FE8" s="535">
        <f t="shared" si="30"/>
        <v>0</v>
      </c>
      <c r="FF8" s="535">
        <f t="shared" si="31"/>
        <v>64141.021374999997</v>
      </c>
      <c r="FG8" s="535">
        <f t="shared" si="32"/>
        <v>201075.07199299999</v>
      </c>
      <c r="FK8" s="88" t="s">
        <v>430</v>
      </c>
      <c r="FL8" s="88" t="s">
        <v>454</v>
      </c>
      <c r="FM8" s="88" t="s">
        <v>447</v>
      </c>
      <c r="FN8" s="88" t="s">
        <v>447</v>
      </c>
      <c r="FO8" s="354" t="s">
        <v>433</v>
      </c>
      <c r="FP8" s="79">
        <v>0</v>
      </c>
      <c r="FQ8" s="79">
        <v>0</v>
      </c>
      <c r="FR8" s="79">
        <v>0</v>
      </c>
      <c r="FS8" s="535">
        <f t="shared" si="33"/>
        <v>0</v>
      </c>
      <c r="FT8" s="535">
        <f t="shared" si="34"/>
        <v>0</v>
      </c>
      <c r="FU8" s="535">
        <f t="shared" si="35"/>
        <v>0</v>
      </c>
      <c r="FY8" s="664" t="s">
        <v>434</v>
      </c>
      <c r="FZ8" s="665" t="s">
        <v>307</v>
      </c>
      <c r="GA8" s="665" t="s">
        <v>437</v>
      </c>
      <c r="GB8" s="665" t="s">
        <v>329</v>
      </c>
      <c r="GC8" s="666" t="s">
        <v>433</v>
      </c>
      <c r="GD8" s="667">
        <v>11117383</v>
      </c>
      <c r="GE8" s="668">
        <f t="shared" si="51"/>
        <v>11817.778128999998</v>
      </c>
      <c r="GI8" s="638" t="s">
        <v>430</v>
      </c>
      <c r="GJ8" s="638" t="s">
        <v>454</v>
      </c>
      <c r="GK8" s="350" t="s">
        <v>455</v>
      </c>
      <c r="GL8" s="638" t="s">
        <v>456</v>
      </c>
      <c r="GM8" s="638" t="s">
        <v>433</v>
      </c>
      <c r="GN8" s="669">
        <v>0</v>
      </c>
      <c r="GO8" s="669">
        <v>80000000</v>
      </c>
      <c r="GP8" s="669">
        <v>40000000</v>
      </c>
      <c r="GQ8" s="670">
        <f t="shared" si="36"/>
        <v>0</v>
      </c>
      <c r="GR8" s="670">
        <f t="shared" si="37"/>
        <v>85040</v>
      </c>
      <c r="GS8" s="670">
        <f t="shared" si="38"/>
        <v>42520</v>
      </c>
      <c r="GX8" s="624" t="s">
        <v>430</v>
      </c>
      <c r="GY8" s="536" t="s">
        <v>454</v>
      </c>
      <c r="GZ8" s="536" t="s">
        <v>715</v>
      </c>
      <c r="HA8" s="536" t="s">
        <v>716</v>
      </c>
      <c r="HB8" s="536" t="s">
        <v>433</v>
      </c>
      <c r="HC8" s="721">
        <v>0</v>
      </c>
      <c r="HD8" s="722">
        <f t="shared" si="39"/>
        <v>0</v>
      </c>
      <c r="HE8" s="80"/>
      <c r="HF8" s="80"/>
      <c r="HH8" s="725" t="s">
        <v>430</v>
      </c>
      <c r="HI8" s="725" t="s">
        <v>454</v>
      </c>
      <c r="HJ8" s="725" t="s">
        <v>455</v>
      </c>
      <c r="HK8" s="726" t="s">
        <v>456</v>
      </c>
      <c r="HL8" s="726" t="s">
        <v>433</v>
      </c>
      <c r="HM8" s="355">
        <v>0</v>
      </c>
      <c r="HN8" s="355">
        <v>80000000</v>
      </c>
      <c r="HO8" s="355">
        <v>60000000</v>
      </c>
      <c r="HP8" s="724">
        <f t="shared" si="40"/>
        <v>0</v>
      </c>
      <c r="HQ8" s="724">
        <f t="shared" si="41"/>
        <v>80000</v>
      </c>
      <c r="HR8" s="724">
        <f t="shared" si="42"/>
        <v>60000</v>
      </c>
      <c r="HW8" s="726" t="s">
        <v>430</v>
      </c>
      <c r="HX8" s="726" t="s">
        <v>454</v>
      </c>
      <c r="HY8" s="726" t="s">
        <v>457</v>
      </c>
      <c r="HZ8" s="726" t="s">
        <v>274</v>
      </c>
      <c r="IA8" s="726" t="s">
        <v>433</v>
      </c>
      <c r="IB8" s="761">
        <v>0</v>
      </c>
      <c r="IC8" s="761">
        <v>34272000</v>
      </c>
      <c r="ID8" s="761">
        <v>167314000</v>
      </c>
      <c r="IE8" s="537">
        <f t="shared" si="43"/>
        <v>167314</v>
      </c>
      <c r="II8" s="350" t="s">
        <v>430</v>
      </c>
      <c r="IJ8" s="350" t="s">
        <v>454</v>
      </c>
      <c r="IK8" s="350" t="s">
        <v>447</v>
      </c>
      <c r="IL8" s="350" t="s">
        <v>447</v>
      </c>
      <c r="IM8" s="638" t="s">
        <v>433</v>
      </c>
      <c r="IN8" s="244">
        <v>0</v>
      </c>
      <c r="IO8" s="244">
        <v>0</v>
      </c>
      <c r="IP8" s="244">
        <v>0</v>
      </c>
      <c r="IQ8" s="756">
        <f t="shared" si="44"/>
        <v>0</v>
      </c>
      <c r="IR8" s="756">
        <f t="shared" si="45"/>
        <v>0</v>
      </c>
      <c r="IS8" s="756">
        <f t="shared" si="46"/>
        <v>0</v>
      </c>
      <c r="IW8" s="536" t="s">
        <v>434</v>
      </c>
      <c r="IX8" s="536" t="s">
        <v>307</v>
      </c>
      <c r="IY8" s="536" t="s">
        <v>436</v>
      </c>
      <c r="IZ8" s="536" t="s">
        <v>339</v>
      </c>
      <c r="JA8" s="561" t="s">
        <v>433</v>
      </c>
      <c r="JB8" s="535">
        <v>15021614</v>
      </c>
      <c r="JC8" s="756">
        <f t="shared" si="47"/>
        <v>15021.614</v>
      </c>
      <c r="JG8" s="536" t="s">
        <v>430</v>
      </c>
      <c r="JH8" s="536" t="s">
        <v>454</v>
      </c>
      <c r="JI8" s="536" t="s">
        <v>457</v>
      </c>
      <c r="JJ8" s="536" t="s">
        <v>274</v>
      </c>
      <c r="JK8" s="536" t="s">
        <v>433</v>
      </c>
      <c r="JL8" s="79">
        <v>0</v>
      </c>
      <c r="JM8" s="79">
        <v>1022896000</v>
      </c>
      <c r="JN8" s="79">
        <v>1022896000</v>
      </c>
      <c r="JO8" s="166">
        <f t="shared" si="48"/>
        <v>0</v>
      </c>
      <c r="JP8" s="166">
        <f t="shared" si="49"/>
        <v>1022896</v>
      </c>
      <c r="JQ8" s="166">
        <f t="shared" si="50"/>
        <v>1022896</v>
      </c>
    </row>
    <row r="9" spans="1:279" ht="15" customHeight="1" x14ac:dyDescent="0.25">
      <c r="A9" s="91" t="s">
        <v>434</v>
      </c>
      <c r="B9" s="91" t="s">
        <v>307</v>
      </c>
      <c r="C9" s="91" t="s">
        <v>436</v>
      </c>
      <c r="D9" s="91" t="s">
        <v>339</v>
      </c>
      <c r="E9" s="92">
        <v>508288000</v>
      </c>
      <c r="F9" s="92">
        <f t="shared" si="7"/>
        <v>540310.14399999997</v>
      </c>
      <c r="G9" s="92">
        <v>0</v>
      </c>
      <c r="H9" s="92">
        <f t="shared" si="8"/>
        <v>0</v>
      </c>
      <c r="U9" s="89" t="s">
        <v>434</v>
      </c>
      <c r="V9" s="89" t="s">
        <v>307</v>
      </c>
      <c r="W9" s="89" t="s">
        <v>436</v>
      </c>
      <c r="X9" s="1228" t="s">
        <v>339</v>
      </c>
      <c r="Y9" s="90">
        <v>508288000</v>
      </c>
      <c r="Z9" s="90">
        <f t="shared" si="9"/>
        <v>540310.14399999997</v>
      </c>
      <c r="AD9" s="89" t="s">
        <v>430</v>
      </c>
      <c r="AE9" s="89" t="s">
        <v>454</v>
      </c>
      <c r="AF9" s="89" t="s">
        <v>457</v>
      </c>
      <c r="AG9" s="89" t="s">
        <v>274</v>
      </c>
      <c r="AH9" s="90">
        <v>0</v>
      </c>
      <c r="AI9" s="90">
        <f t="shared" si="10"/>
        <v>0</v>
      </c>
      <c r="AJ9" s="90">
        <v>47700000</v>
      </c>
      <c r="AM9" s="166"/>
      <c r="AN9" s="89" t="s">
        <v>508</v>
      </c>
      <c r="AO9" s="89" t="s">
        <v>523</v>
      </c>
      <c r="AP9" s="89" t="s">
        <v>447</v>
      </c>
      <c r="AQ9" s="89" t="s">
        <v>447</v>
      </c>
      <c r="AR9" s="90">
        <v>14500000</v>
      </c>
      <c r="AS9" s="90">
        <f t="shared" si="11"/>
        <v>15413.5</v>
      </c>
      <c r="AW9" s="89" t="s">
        <v>430</v>
      </c>
      <c r="AX9" s="89" t="s">
        <v>454</v>
      </c>
      <c r="AY9" s="89" t="s">
        <v>715</v>
      </c>
      <c r="AZ9" s="89" t="s">
        <v>716</v>
      </c>
      <c r="BA9" s="90">
        <v>21890000</v>
      </c>
      <c r="BB9" s="90">
        <v>0</v>
      </c>
      <c r="BC9" s="90">
        <v>0</v>
      </c>
      <c r="BD9" s="90">
        <f t="shared" si="1"/>
        <v>23269.07</v>
      </c>
      <c r="BE9" s="90">
        <f t="shared" si="2"/>
        <v>0</v>
      </c>
      <c r="BF9" s="90">
        <f t="shared" si="3"/>
        <v>0</v>
      </c>
      <c r="BK9" s="221"/>
      <c r="BL9" s="221"/>
      <c r="BM9" s="221"/>
      <c r="BN9" s="90"/>
      <c r="BO9" s="90">
        <f>SUM(BO3:BO8)</f>
        <v>131937852</v>
      </c>
      <c r="BP9" s="90">
        <f>SUM(BP3:BP8)</f>
        <v>140249.93667599998</v>
      </c>
      <c r="BT9" s="86" t="s">
        <v>430</v>
      </c>
      <c r="BU9" s="86" t="s">
        <v>454</v>
      </c>
      <c r="BV9" s="86" t="s">
        <v>715</v>
      </c>
      <c r="BW9" s="86" t="s">
        <v>716</v>
      </c>
      <c r="BX9" s="296" t="s">
        <v>433</v>
      </c>
      <c r="BY9" s="87">
        <v>21890000</v>
      </c>
      <c r="BZ9" s="87">
        <v>0</v>
      </c>
      <c r="CA9" s="87">
        <v>0</v>
      </c>
      <c r="CB9" s="166">
        <f t="shared" si="12"/>
        <v>23269.07</v>
      </c>
      <c r="CC9" s="166">
        <f t="shared" si="13"/>
        <v>0</v>
      </c>
      <c r="CD9" s="166">
        <f t="shared" si="14"/>
        <v>0</v>
      </c>
      <c r="CH9" s="86" t="s">
        <v>508</v>
      </c>
      <c r="CI9" s="86" t="s">
        <v>523</v>
      </c>
      <c r="CJ9" s="86" t="s">
        <v>447</v>
      </c>
      <c r="CK9" s="86" t="s">
        <v>447</v>
      </c>
      <c r="CL9" s="296" t="s">
        <v>433</v>
      </c>
      <c r="CM9" s="87">
        <v>0</v>
      </c>
      <c r="CN9" s="87">
        <v>0</v>
      </c>
      <c r="CO9" s="87">
        <v>6747300</v>
      </c>
      <c r="CP9" s="301">
        <f t="shared" si="15"/>
        <v>0</v>
      </c>
      <c r="CQ9" s="301">
        <f t="shared" si="16"/>
        <v>0</v>
      </c>
      <c r="CR9" s="301">
        <f t="shared" si="17"/>
        <v>7172.3798999999999</v>
      </c>
      <c r="CV9" s="88" t="s">
        <v>434</v>
      </c>
      <c r="CW9" s="88" t="s">
        <v>307</v>
      </c>
      <c r="CX9" s="88" t="s">
        <v>458</v>
      </c>
      <c r="CY9" s="88" t="s">
        <v>330</v>
      </c>
      <c r="CZ9" s="88">
        <v>4000000</v>
      </c>
      <c r="DA9" s="88">
        <v>0</v>
      </c>
      <c r="DB9" s="88">
        <v>0</v>
      </c>
      <c r="DC9" s="557">
        <f t="shared" si="18"/>
        <v>4252</v>
      </c>
      <c r="DD9" s="557">
        <f t="shared" si="19"/>
        <v>0</v>
      </c>
      <c r="DE9" s="557">
        <f t="shared" si="20"/>
        <v>0</v>
      </c>
      <c r="DI9" s="307" t="s">
        <v>430</v>
      </c>
      <c r="DJ9" s="307" t="s">
        <v>454</v>
      </c>
      <c r="DK9" s="307" t="s">
        <v>457</v>
      </c>
      <c r="DL9" s="307" t="s">
        <v>274</v>
      </c>
      <c r="DM9" s="79">
        <v>0</v>
      </c>
      <c r="DN9" s="79">
        <v>649980000</v>
      </c>
      <c r="DO9" s="79">
        <v>180900000</v>
      </c>
      <c r="DP9" s="560">
        <f t="shared" si="21"/>
        <v>0</v>
      </c>
      <c r="DQ9" s="560">
        <f t="shared" si="22"/>
        <v>690928.74</v>
      </c>
      <c r="DR9" s="560">
        <f t="shared" si="23"/>
        <v>192296.69999999998</v>
      </c>
      <c r="DV9" s="534" t="s">
        <v>434</v>
      </c>
      <c r="DW9" s="534" t="s">
        <v>307</v>
      </c>
      <c r="DX9" s="534" t="s">
        <v>447</v>
      </c>
      <c r="DY9" s="536" t="s">
        <v>447</v>
      </c>
      <c r="DZ9" s="561" t="s">
        <v>433</v>
      </c>
      <c r="EA9" s="535">
        <v>0</v>
      </c>
      <c r="EB9" s="535">
        <v>0</v>
      </c>
      <c r="EC9" s="535">
        <v>0</v>
      </c>
      <c r="ED9" s="535">
        <f t="shared" si="24"/>
        <v>0</v>
      </c>
      <c r="EE9" s="535">
        <f t="shared" si="25"/>
        <v>0</v>
      </c>
      <c r="EF9" s="535">
        <f t="shared" si="26"/>
        <v>0</v>
      </c>
      <c r="EG9" s="95"/>
      <c r="EI9" s="88" t="s">
        <v>430</v>
      </c>
      <c r="EJ9" s="88" t="s">
        <v>454</v>
      </c>
      <c r="EK9" s="88" t="s">
        <v>457</v>
      </c>
      <c r="EL9" s="88" t="s">
        <v>274</v>
      </c>
      <c r="EM9" s="88" t="s">
        <v>433</v>
      </c>
      <c r="EN9" s="88">
        <v>0</v>
      </c>
      <c r="EO9" s="88">
        <v>676980000</v>
      </c>
      <c r="EP9" s="88">
        <v>193860000</v>
      </c>
      <c r="EQ9" s="557">
        <f t="shared" si="27"/>
        <v>0</v>
      </c>
      <c r="ER9" s="557">
        <f t="shared" si="28"/>
        <v>719629.74</v>
      </c>
      <c r="ES9" s="557">
        <f t="shared" si="29"/>
        <v>206073.18</v>
      </c>
      <c r="EW9" s="534" t="s">
        <v>434</v>
      </c>
      <c r="EX9" s="534" t="s">
        <v>307</v>
      </c>
      <c r="EY9" s="534" t="s">
        <v>459</v>
      </c>
      <c r="EZ9" s="534" t="s">
        <v>331</v>
      </c>
      <c r="FA9" s="561" t="s">
        <v>433</v>
      </c>
      <c r="FB9" s="535">
        <v>0</v>
      </c>
      <c r="FC9" s="535">
        <v>11250000</v>
      </c>
      <c r="FD9" s="535">
        <v>2250000</v>
      </c>
      <c r="FE9" s="535">
        <f t="shared" si="30"/>
        <v>0</v>
      </c>
      <c r="FF9" s="535">
        <f t="shared" si="31"/>
        <v>11958.75</v>
      </c>
      <c r="FG9" s="535">
        <f t="shared" si="32"/>
        <v>2391.75</v>
      </c>
      <c r="FK9" s="88" t="s">
        <v>430</v>
      </c>
      <c r="FL9" s="88" t="s">
        <v>454</v>
      </c>
      <c r="FM9" s="88" t="s">
        <v>455</v>
      </c>
      <c r="FN9" s="88" t="s">
        <v>456</v>
      </c>
      <c r="FO9" s="354" t="s">
        <v>433</v>
      </c>
      <c r="FP9" s="79">
        <v>0</v>
      </c>
      <c r="FQ9" s="79">
        <v>80000000</v>
      </c>
      <c r="FR9" s="79">
        <v>40000000</v>
      </c>
      <c r="FS9" s="535">
        <f t="shared" si="33"/>
        <v>0</v>
      </c>
      <c r="FT9" s="535">
        <f t="shared" si="34"/>
        <v>85040</v>
      </c>
      <c r="FU9" s="535">
        <f t="shared" si="35"/>
        <v>42520</v>
      </c>
      <c r="FY9" s="664" t="s">
        <v>434</v>
      </c>
      <c r="FZ9" s="665" t="s">
        <v>307</v>
      </c>
      <c r="GA9" s="665" t="s">
        <v>435</v>
      </c>
      <c r="GB9" s="665" t="s">
        <v>328</v>
      </c>
      <c r="GC9" s="666" t="s">
        <v>433</v>
      </c>
      <c r="GD9" s="667">
        <v>166541703</v>
      </c>
      <c r="GE9" s="668">
        <f t="shared" si="51"/>
        <v>177033.830289</v>
      </c>
      <c r="GI9" s="638" t="s">
        <v>430</v>
      </c>
      <c r="GJ9" s="638" t="s">
        <v>454</v>
      </c>
      <c r="GK9" s="350" t="s">
        <v>447</v>
      </c>
      <c r="GL9" s="638" t="s">
        <v>447</v>
      </c>
      <c r="GM9" s="638" t="s">
        <v>433</v>
      </c>
      <c r="GN9" s="669">
        <v>0</v>
      </c>
      <c r="GO9" s="669">
        <v>0</v>
      </c>
      <c r="GP9" s="669">
        <v>0</v>
      </c>
      <c r="GQ9" s="670">
        <f t="shared" si="36"/>
        <v>0</v>
      </c>
      <c r="GR9" s="670">
        <f t="shared" si="37"/>
        <v>0</v>
      </c>
      <c r="GS9" s="670">
        <f t="shared" si="38"/>
        <v>0</v>
      </c>
      <c r="GX9" s="624" t="s">
        <v>430</v>
      </c>
      <c r="GY9" s="536" t="s">
        <v>454</v>
      </c>
      <c r="GZ9" s="536" t="s">
        <v>457</v>
      </c>
      <c r="HA9" s="536" t="s">
        <v>274</v>
      </c>
      <c r="HB9" s="536" t="s">
        <v>433</v>
      </c>
      <c r="HC9" s="721">
        <v>0</v>
      </c>
      <c r="HD9" s="722">
        <f t="shared" si="39"/>
        <v>0</v>
      </c>
      <c r="HE9" s="80"/>
      <c r="HF9" s="80"/>
      <c r="HH9" s="725" t="s">
        <v>430</v>
      </c>
      <c r="HI9" s="725" t="s">
        <v>454</v>
      </c>
      <c r="HJ9" s="725" t="s">
        <v>457</v>
      </c>
      <c r="HK9" s="726" t="s">
        <v>274</v>
      </c>
      <c r="HL9" s="726" t="s">
        <v>433</v>
      </c>
      <c r="HM9" s="355">
        <v>0</v>
      </c>
      <c r="HN9" s="355">
        <v>886224000</v>
      </c>
      <c r="HO9" s="355">
        <v>453588000</v>
      </c>
      <c r="HP9" s="724">
        <f t="shared" si="40"/>
        <v>0</v>
      </c>
      <c r="HQ9" s="724">
        <f t="shared" si="41"/>
        <v>886224</v>
      </c>
      <c r="HR9" s="724">
        <f t="shared" si="42"/>
        <v>453588</v>
      </c>
      <c r="HW9" s="726" t="s">
        <v>430</v>
      </c>
      <c r="HX9" s="726" t="s">
        <v>454</v>
      </c>
      <c r="HY9" s="726" t="s">
        <v>628</v>
      </c>
      <c r="HZ9" s="726" t="s">
        <v>331</v>
      </c>
      <c r="IA9" s="726" t="s">
        <v>433</v>
      </c>
      <c r="IB9" s="761">
        <v>0</v>
      </c>
      <c r="IC9" s="761">
        <v>160293</v>
      </c>
      <c r="ID9" s="761">
        <v>160293</v>
      </c>
      <c r="IE9" s="537">
        <f t="shared" si="43"/>
        <v>160.29300000000001</v>
      </c>
      <c r="II9" s="350" t="s">
        <v>430</v>
      </c>
      <c r="IJ9" s="350" t="s">
        <v>454</v>
      </c>
      <c r="IK9" s="350" t="s">
        <v>431</v>
      </c>
      <c r="IL9" s="350" t="s">
        <v>432</v>
      </c>
      <c r="IM9" s="638" t="s">
        <v>433</v>
      </c>
      <c r="IN9" s="244">
        <v>0</v>
      </c>
      <c r="IO9" s="244">
        <v>1242241</v>
      </c>
      <c r="IP9" s="244">
        <v>0</v>
      </c>
      <c r="IQ9" s="756">
        <f t="shared" si="44"/>
        <v>0</v>
      </c>
      <c r="IR9" s="756">
        <f t="shared" si="45"/>
        <v>1242.241</v>
      </c>
      <c r="IS9" s="756">
        <f t="shared" si="46"/>
        <v>0</v>
      </c>
      <c r="IW9" s="536" t="s">
        <v>434</v>
      </c>
      <c r="IX9" s="536" t="s">
        <v>307</v>
      </c>
      <c r="IY9" s="536" t="s">
        <v>437</v>
      </c>
      <c r="IZ9" s="536" t="s">
        <v>329</v>
      </c>
      <c r="JA9" s="561" t="s">
        <v>433</v>
      </c>
      <c r="JB9" s="535">
        <v>10701808</v>
      </c>
      <c r="JC9" s="756">
        <f t="shared" si="47"/>
        <v>10701.808000000001</v>
      </c>
      <c r="JG9" s="536" t="s">
        <v>430</v>
      </c>
      <c r="JH9" s="536" t="s">
        <v>454</v>
      </c>
      <c r="JI9" s="536" t="s">
        <v>455</v>
      </c>
      <c r="JJ9" s="536" t="s">
        <v>456</v>
      </c>
      <c r="JK9" s="536" t="s">
        <v>433</v>
      </c>
      <c r="JL9" s="79">
        <v>0</v>
      </c>
      <c r="JM9" s="79">
        <v>180000000</v>
      </c>
      <c r="JN9" s="79">
        <v>180000000</v>
      </c>
      <c r="JO9" s="166">
        <f t="shared" si="48"/>
        <v>0</v>
      </c>
      <c r="JP9" s="166">
        <f t="shared" si="49"/>
        <v>180000</v>
      </c>
      <c r="JQ9" s="166">
        <f t="shared" si="50"/>
        <v>180000</v>
      </c>
    </row>
    <row r="10" spans="1:279" ht="15" customHeight="1" x14ac:dyDescent="0.25">
      <c r="A10" s="91" t="s">
        <v>434</v>
      </c>
      <c r="B10" s="91" t="s">
        <v>307</v>
      </c>
      <c r="C10" s="91" t="s">
        <v>437</v>
      </c>
      <c r="D10" s="91" t="s">
        <v>329</v>
      </c>
      <c r="E10" s="92">
        <v>122164211</v>
      </c>
      <c r="F10" s="92">
        <f t="shared" si="7"/>
        <v>129860.55629299999</v>
      </c>
      <c r="G10" s="92">
        <v>0</v>
      </c>
      <c r="H10" s="92">
        <f t="shared" si="8"/>
        <v>0</v>
      </c>
      <c r="I10" s="78">
        <f>+F10+F12</f>
        <v>140163.99099999998</v>
      </c>
      <c r="U10" s="89" t="s">
        <v>434</v>
      </c>
      <c r="V10" s="89" t="s">
        <v>307</v>
      </c>
      <c r="W10" s="89" t="s">
        <v>437</v>
      </c>
      <c r="X10" s="1228" t="s">
        <v>329</v>
      </c>
      <c r="Y10" s="90">
        <v>122164211</v>
      </c>
      <c r="Z10" s="90">
        <f t="shared" si="9"/>
        <v>129860.55629299999</v>
      </c>
      <c r="AD10" s="89" t="s">
        <v>430</v>
      </c>
      <c r="AE10" s="89" t="s">
        <v>454</v>
      </c>
      <c r="AF10" s="89" t="s">
        <v>455</v>
      </c>
      <c r="AG10" s="89" t="s">
        <v>456</v>
      </c>
      <c r="AH10" s="90">
        <v>0</v>
      </c>
      <c r="AI10" s="90">
        <f t="shared" si="10"/>
        <v>0</v>
      </c>
      <c r="AJ10" s="90">
        <v>40000000</v>
      </c>
      <c r="AM10" s="166"/>
      <c r="AN10" s="89" t="s">
        <v>438</v>
      </c>
      <c r="AO10" s="89" t="s">
        <v>335</v>
      </c>
      <c r="AP10" s="89" t="s">
        <v>499</v>
      </c>
      <c r="AQ10" s="89" t="s">
        <v>632</v>
      </c>
      <c r="AR10" s="90">
        <v>385000000</v>
      </c>
      <c r="AS10" s="90">
        <f t="shared" si="11"/>
        <v>409255</v>
      </c>
      <c r="AW10" s="89" t="s">
        <v>430</v>
      </c>
      <c r="AX10" s="89" t="s">
        <v>454</v>
      </c>
      <c r="AY10" s="89" t="s">
        <v>447</v>
      </c>
      <c r="AZ10" s="89" t="s">
        <v>447</v>
      </c>
      <c r="BA10" s="90">
        <v>0</v>
      </c>
      <c r="BB10" s="90">
        <v>0</v>
      </c>
      <c r="BC10" s="90">
        <v>0</v>
      </c>
      <c r="BD10" s="90">
        <f t="shared" si="1"/>
        <v>0</v>
      </c>
      <c r="BE10" s="90">
        <f t="shared" si="2"/>
        <v>0</v>
      </c>
      <c r="BF10" s="90">
        <f t="shared" si="3"/>
        <v>0</v>
      </c>
      <c r="BN10" s="74"/>
      <c r="BO10" s="74"/>
      <c r="BP10" s="74"/>
      <c r="BT10" s="86" t="s">
        <v>430</v>
      </c>
      <c r="BU10" s="86" t="s">
        <v>454</v>
      </c>
      <c r="BV10" s="86" t="s">
        <v>447</v>
      </c>
      <c r="BW10" s="86" t="s">
        <v>447</v>
      </c>
      <c r="BX10" s="296" t="s">
        <v>433</v>
      </c>
      <c r="BY10" s="87">
        <v>0</v>
      </c>
      <c r="BZ10" s="87">
        <v>0</v>
      </c>
      <c r="CA10" s="87">
        <v>0</v>
      </c>
      <c r="CB10" s="166">
        <f t="shared" si="12"/>
        <v>0</v>
      </c>
      <c r="CC10" s="166">
        <f t="shared" si="13"/>
        <v>0</v>
      </c>
      <c r="CD10" s="166">
        <f t="shared" si="14"/>
        <v>0</v>
      </c>
      <c r="CH10" s="86" t="s">
        <v>438</v>
      </c>
      <c r="CI10" s="86" t="s">
        <v>335</v>
      </c>
      <c r="CJ10" s="86">
        <v>42402004</v>
      </c>
      <c r="CK10" s="86" t="s">
        <v>633</v>
      </c>
      <c r="CL10" s="296" t="s">
        <v>433</v>
      </c>
      <c r="CM10" s="87">
        <v>15000000</v>
      </c>
      <c r="CN10" s="87">
        <v>0</v>
      </c>
      <c r="CO10" s="87">
        <v>0</v>
      </c>
      <c r="CP10" s="301">
        <f t="shared" si="15"/>
        <v>15945</v>
      </c>
      <c r="CQ10" s="301">
        <f t="shared" si="16"/>
        <v>0</v>
      </c>
      <c r="CR10" s="301">
        <f t="shared" si="17"/>
        <v>0</v>
      </c>
      <c r="CV10" s="88" t="s">
        <v>434</v>
      </c>
      <c r="CW10" s="88" t="s">
        <v>307</v>
      </c>
      <c r="CX10" s="88" t="s">
        <v>436</v>
      </c>
      <c r="CY10" s="88" t="s">
        <v>339</v>
      </c>
      <c r="CZ10" s="88">
        <v>0</v>
      </c>
      <c r="DA10" s="88">
        <v>0</v>
      </c>
      <c r="DB10" s="88">
        <v>10170501</v>
      </c>
      <c r="DC10" s="557">
        <f t="shared" si="18"/>
        <v>0</v>
      </c>
      <c r="DD10" s="557">
        <f t="shared" si="19"/>
        <v>0</v>
      </c>
      <c r="DE10" s="557">
        <f t="shared" si="20"/>
        <v>10811.242563</v>
      </c>
      <c r="DI10" s="307" t="s">
        <v>430</v>
      </c>
      <c r="DJ10" s="307" t="s">
        <v>454</v>
      </c>
      <c r="DK10" s="307" t="s">
        <v>455</v>
      </c>
      <c r="DL10" s="307" t="s">
        <v>456</v>
      </c>
      <c r="DM10" s="79">
        <v>0</v>
      </c>
      <c r="DN10" s="79">
        <v>80000000</v>
      </c>
      <c r="DO10" s="79">
        <v>40000000</v>
      </c>
      <c r="DP10" s="560">
        <f t="shared" si="21"/>
        <v>0</v>
      </c>
      <c r="DQ10" s="560">
        <f t="shared" si="22"/>
        <v>85040</v>
      </c>
      <c r="DR10" s="560">
        <f t="shared" si="23"/>
        <v>42520</v>
      </c>
      <c r="DV10" s="534" t="s">
        <v>434</v>
      </c>
      <c r="DW10" s="534" t="s">
        <v>307</v>
      </c>
      <c r="DX10" s="534" t="s">
        <v>435</v>
      </c>
      <c r="DY10" s="536" t="s">
        <v>328</v>
      </c>
      <c r="DZ10" s="561" t="s">
        <v>433</v>
      </c>
      <c r="EA10" s="535">
        <v>0</v>
      </c>
      <c r="EB10" s="535">
        <v>287582386</v>
      </c>
      <c r="EC10" s="535">
        <v>26540627</v>
      </c>
      <c r="ED10" s="535">
        <f t="shared" si="24"/>
        <v>0</v>
      </c>
      <c r="EE10" s="535">
        <f t="shared" si="25"/>
        <v>305700.07631799998</v>
      </c>
      <c r="EF10" s="535">
        <f t="shared" si="26"/>
        <v>28212.686501</v>
      </c>
      <c r="EG10" s="95"/>
      <c r="EI10" s="88" t="s">
        <v>430</v>
      </c>
      <c r="EJ10" s="88" t="s">
        <v>454</v>
      </c>
      <c r="EK10" s="88" t="s">
        <v>628</v>
      </c>
      <c r="EL10" s="88" t="s">
        <v>331</v>
      </c>
      <c r="EM10" s="88" t="s">
        <v>433</v>
      </c>
      <c r="EN10" s="88">
        <v>0</v>
      </c>
      <c r="EO10" s="88">
        <v>0</v>
      </c>
      <c r="EP10" s="88">
        <v>0</v>
      </c>
      <c r="EQ10" s="557">
        <f t="shared" si="27"/>
        <v>0</v>
      </c>
      <c r="ER10" s="557">
        <f t="shared" si="28"/>
        <v>0</v>
      </c>
      <c r="ES10" s="557">
        <f t="shared" si="29"/>
        <v>0</v>
      </c>
      <c r="EW10" s="534" t="s">
        <v>434</v>
      </c>
      <c r="EX10" s="534" t="s">
        <v>307</v>
      </c>
      <c r="EY10" s="534" t="s">
        <v>437</v>
      </c>
      <c r="EZ10" s="534" t="s">
        <v>329</v>
      </c>
      <c r="FA10" s="561" t="s">
        <v>433</v>
      </c>
      <c r="FB10" s="535">
        <v>0</v>
      </c>
      <c r="FC10" s="535">
        <v>0</v>
      </c>
      <c r="FD10" s="535">
        <v>9454999</v>
      </c>
      <c r="FE10" s="535">
        <f t="shared" si="30"/>
        <v>0</v>
      </c>
      <c r="FF10" s="535">
        <f t="shared" si="31"/>
        <v>0</v>
      </c>
      <c r="FG10" s="535">
        <f t="shared" si="32"/>
        <v>10050.663936999999</v>
      </c>
      <c r="FK10" s="88" t="s">
        <v>430</v>
      </c>
      <c r="FL10" s="88" t="s">
        <v>454</v>
      </c>
      <c r="FM10" s="88" t="s">
        <v>628</v>
      </c>
      <c r="FN10" s="88" t="s">
        <v>331</v>
      </c>
      <c r="FO10" s="354" t="s">
        <v>433</v>
      </c>
      <c r="FP10" s="79">
        <v>0</v>
      </c>
      <c r="FQ10" s="79">
        <v>0</v>
      </c>
      <c r="FR10" s="79">
        <v>0</v>
      </c>
      <c r="FS10" s="535">
        <f t="shared" si="33"/>
        <v>0</v>
      </c>
      <c r="FT10" s="535">
        <f t="shared" si="34"/>
        <v>0</v>
      </c>
      <c r="FU10" s="535">
        <f t="shared" si="35"/>
        <v>0</v>
      </c>
      <c r="FY10" s="664" t="s">
        <v>438</v>
      </c>
      <c r="FZ10" s="665" t="s">
        <v>335</v>
      </c>
      <c r="GA10" s="665" t="s">
        <v>447</v>
      </c>
      <c r="GB10" s="665" t="s">
        <v>447</v>
      </c>
      <c r="GC10" s="666" t="s">
        <v>433</v>
      </c>
      <c r="GD10" s="667">
        <v>0</v>
      </c>
      <c r="GE10" s="668">
        <f t="shared" si="51"/>
        <v>0</v>
      </c>
      <c r="GI10" s="638" t="s">
        <v>430</v>
      </c>
      <c r="GJ10" s="638" t="s">
        <v>454</v>
      </c>
      <c r="GK10" s="350" t="s">
        <v>628</v>
      </c>
      <c r="GL10" s="638" t="s">
        <v>331</v>
      </c>
      <c r="GM10" s="638" t="s">
        <v>433</v>
      </c>
      <c r="GN10" s="669">
        <v>0</v>
      </c>
      <c r="GO10" s="669">
        <v>0</v>
      </c>
      <c r="GP10" s="669">
        <v>0</v>
      </c>
      <c r="GQ10" s="670">
        <f t="shared" si="36"/>
        <v>0</v>
      </c>
      <c r="GR10" s="670">
        <f t="shared" si="37"/>
        <v>0</v>
      </c>
      <c r="GS10" s="670">
        <f t="shared" si="38"/>
        <v>0</v>
      </c>
      <c r="GX10" s="624" t="s">
        <v>434</v>
      </c>
      <c r="GY10" s="536" t="s">
        <v>307</v>
      </c>
      <c r="GZ10" s="536" t="s">
        <v>436</v>
      </c>
      <c r="HA10" s="536" t="s">
        <v>339</v>
      </c>
      <c r="HB10" s="536" t="s">
        <v>433</v>
      </c>
      <c r="HC10" s="721">
        <v>5428422</v>
      </c>
      <c r="HD10" s="722">
        <f t="shared" si="39"/>
        <v>5428.4219999999996</v>
      </c>
      <c r="HE10" s="80"/>
      <c r="HF10" s="80"/>
      <c r="HH10" s="725" t="s">
        <v>430</v>
      </c>
      <c r="HI10" s="725" t="s">
        <v>454</v>
      </c>
      <c r="HJ10" s="725" t="s">
        <v>628</v>
      </c>
      <c r="HK10" s="726" t="s">
        <v>331</v>
      </c>
      <c r="HL10" s="726" t="s">
        <v>433</v>
      </c>
      <c r="HM10" s="355">
        <v>0</v>
      </c>
      <c r="HN10" s="355">
        <v>0</v>
      </c>
      <c r="HO10" s="355">
        <v>0</v>
      </c>
      <c r="HP10" s="724">
        <f t="shared" si="40"/>
        <v>0</v>
      </c>
      <c r="HQ10" s="724">
        <f t="shared" si="41"/>
        <v>0</v>
      </c>
      <c r="HR10" s="724">
        <f t="shared" si="42"/>
        <v>0</v>
      </c>
      <c r="HW10" s="726" t="s">
        <v>430</v>
      </c>
      <c r="HX10" s="726" t="s">
        <v>454</v>
      </c>
      <c r="HY10" s="726" t="s">
        <v>457</v>
      </c>
      <c r="HZ10" s="726" t="s">
        <v>274</v>
      </c>
      <c r="IA10" s="726" t="s">
        <v>433</v>
      </c>
      <c r="IB10" s="761">
        <v>-6791000</v>
      </c>
      <c r="IC10" s="761">
        <v>0</v>
      </c>
      <c r="ID10" s="761">
        <v>0</v>
      </c>
      <c r="IE10" s="537">
        <f t="shared" si="43"/>
        <v>0</v>
      </c>
      <c r="II10" s="350" t="s">
        <v>430</v>
      </c>
      <c r="IJ10" s="350" t="s">
        <v>454</v>
      </c>
      <c r="IK10" s="350" t="s">
        <v>457</v>
      </c>
      <c r="IL10" s="350" t="s">
        <v>274</v>
      </c>
      <c r="IM10" s="638" t="s">
        <v>433</v>
      </c>
      <c r="IN10" s="244">
        <v>0</v>
      </c>
      <c r="IO10" s="244">
        <v>920496000</v>
      </c>
      <c r="IP10" s="244">
        <v>620902000</v>
      </c>
      <c r="IQ10" s="756">
        <f t="shared" si="44"/>
        <v>0</v>
      </c>
      <c r="IR10" s="756">
        <f t="shared" si="45"/>
        <v>920496</v>
      </c>
      <c r="IS10" s="756">
        <f t="shared" si="46"/>
        <v>620902</v>
      </c>
      <c r="IW10" s="536" t="s">
        <v>434</v>
      </c>
      <c r="IX10" s="536" t="s">
        <v>307</v>
      </c>
      <c r="IY10" s="536" t="s">
        <v>435</v>
      </c>
      <c r="IZ10" s="536" t="s">
        <v>328</v>
      </c>
      <c r="JA10" s="561" t="s">
        <v>433</v>
      </c>
      <c r="JB10" s="535">
        <v>196175245</v>
      </c>
      <c r="JC10" s="756">
        <f t="shared" si="47"/>
        <v>196175.245</v>
      </c>
      <c r="JG10" s="536" t="s">
        <v>430</v>
      </c>
      <c r="JH10" s="536" t="s">
        <v>454</v>
      </c>
      <c r="JI10" s="536" t="s">
        <v>628</v>
      </c>
      <c r="JJ10" s="536" t="s">
        <v>331</v>
      </c>
      <c r="JK10" s="536" t="s">
        <v>433</v>
      </c>
      <c r="JL10" s="79">
        <v>0</v>
      </c>
      <c r="JM10" s="79">
        <v>160293</v>
      </c>
      <c r="JN10" s="79">
        <v>160293</v>
      </c>
      <c r="JO10" s="166">
        <f t="shared" si="48"/>
        <v>0</v>
      </c>
      <c r="JP10" s="166">
        <f t="shared" si="49"/>
        <v>160.29300000000001</v>
      </c>
      <c r="JQ10" s="166">
        <f t="shared" si="50"/>
        <v>160.29300000000001</v>
      </c>
    </row>
    <row r="11" spans="1:279" ht="15" customHeight="1" x14ac:dyDescent="0.25">
      <c r="A11" s="91" t="s">
        <v>434</v>
      </c>
      <c r="B11" s="91" t="s">
        <v>307</v>
      </c>
      <c r="C11" s="91" t="s">
        <v>459</v>
      </c>
      <c r="D11" s="91" t="s">
        <v>331</v>
      </c>
      <c r="E11" s="92">
        <v>57186000</v>
      </c>
      <c r="F11" s="92">
        <f t="shared" si="7"/>
        <v>60788.717999999993</v>
      </c>
      <c r="G11" s="92">
        <v>0</v>
      </c>
      <c r="H11" s="92">
        <f t="shared" si="8"/>
        <v>0</v>
      </c>
      <c r="U11" s="89" t="s">
        <v>434</v>
      </c>
      <c r="V11" s="89" t="s">
        <v>307</v>
      </c>
      <c r="W11" s="89" t="s">
        <v>459</v>
      </c>
      <c r="X11" s="1228" t="s">
        <v>331</v>
      </c>
      <c r="Y11" s="90">
        <v>57186000</v>
      </c>
      <c r="Z11" s="90">
        <f t="shared" si="9"/>
        <v>60788.717999999993</v>
      </c>
      <c r="AD11" s="89" t="s">
        <v>434</v>
      </c>
      <c r="AE11" s="89" t="s">
        <v>307</v>
      </c>
      <c r="AF11" s="89" t="s">
        <v>435</v>
      </c>
      <c r="AG11" s="89" t="s">
        <v>328</v>
      </c>
      <c r="AH11" s="90">
        <v>1912129000</v>
      </c>
      <c r="AI11" s="90">
        <f t="shared" si="10"/>
        <v>2032593.1269999999</v>
      </c>
      <c r="AJ11" s="90">
        <v>0</v>
      </c>
      <c r="AM11" s="166"/>
      <c r="AN11" s="89" t="s">
        <v>438</v>
      </c>
      <c r="AO11" s="89" t="s">
        <v>335</v>
      </c>
      <c r="AP11" s="89" t="s">
        <v>462</v>
      </c>
      <c r="AQ11" s="89" t="s">
        <v>633</v>
      </c>
      <c r="AR11" s="90">
        <v>52000000</v>
      </c>
      <c r="AS11" s="90">
        <f t="shared" si="11"/>
        <v>55276</v>
      </c>
      <c r="AW11" s="89" t="s">
        <v>434</v>
      </c>
      <c r="AX11" s="89" t="s">
        <v>307</v>
      </c>
      <c r="AY11" s="89" t="s">
        <v>435</v>
      </c>
      <c r="AZ11" s="89" t="s">
        <v>328</v>
      </c>
      <c r="BA11" s="90">
        <v>1912129000</v>
      </c>
      <c r="BB11" s="90">
        <v>0</v>
      </c>
      <c r="BC11" s="90">
        <v>0</v>
      </c>
      <c r="BD11" s="90">
        <f t="shared" si="1"/>
        <v>2032593.1269999999</v>
      </c>
      <c r="BE11" s="90">
        <f t="shared" si="2"/>
        <v>0</v>
      </c>
      <c r="BF11" s="90">
        <f t="shared" si="3"/>
        <v>0</v>
      </c>
      <c r="BN11" s="74"/>
      <c r="BO11" s="74"/>
      <c r="BP11" s="74"/>
      <c r="BT11" s="86" t="s">
        <v>434</v>
      </c>
      <c r="BU11" s="86" t="s">
        <v>307</v>
      </c>
      <c r="BV11" s="86" t="s">
        <v>435</v>
      </c>
      <c r="BW11" s="86" t="s">
        <v>328</v>
      </c>
      <c r="BX11" s="296" t="s">
        <v>433</v>
      </c>
      <c r="BY11" s="87">
        <v>1912129000</v>
      </c>
      <c r="BZ11" s="87">
        <v>0</v>
      </c>
      <c r="CA11" s="87">
        <v>0</v>
      </c>
      <c r="CB11" s="166">
        <f t="shared" si="12"/>
        <v>2032593.1269999999</v>
      </c>
      <c r="CC11" s="166">
        <f t="shared" si="13"/>
        <v>0</v>
      </c>
      <c r="CD11" s="166">
        <f t="shared" si="14"/>
        <v>0</v>
      </c>
      <c r="CH11" s="86" t="s">
        <v>438</v>
      </c>
      <c r="CI11" s="86" t="s">
        <v>335</v>
      </c>
      <c r="CJ11" s="86">
        <v>42402005</v>
      </c>
      <c r="CK11" s="86" t="s">
        <v>632</v>
      </c>
      <c r="CL11" s="296" t="s">
        <v>433</v>
      </c>
      <c r="CM11" s="87">
        <v>-15000000</v>
      </c>
      <c r="CN11" s="87">
        <v>0</v>
      </c>
      <c r="CO11" s="87">
        <v>0</v>
      </c>
      <c r="CP11" s="301">
        <f t="shared" si="15"/>
        <v>-15945</v>
      </c>
      <c r="CQ11" s="301">
        <f t="shared" si="16"/>
        <v>0</v>
      </c>
      <c r="CR11" s="301">
        <f t="shared" si="17"/>
        <v>0</v>
      </c>
      <c r="CV11" s="88" t="s">
        <v>434</v>
      </c>
      <c r="CW11" s="88" t="s">
        <v>307</v>
      </c>
      <c r="CX11" s="88" t="s">
        <v>435</v>
      </c>
      <c r="CY11" s="88" t="s">
        <v>328</v>
      </c>
      <c r="CZ11" s="88">
        <v>0</v>
      </c>
      <c r="DA11" s="88">
        <v>27072720</v>
      </c>
      <c r="DB11" s="88">
        <v>70536800</v>
      </c>
      <c r="DC11" s="557">
        <f t="shared" si="18"/>
        <v>0</v>
      </c>
      <c r="DD11" s="557">
        <f t="shared" si="19"/>
        <v>28778.301360000001</v>
      </c>
      <c r="DE11" s="557">
        <f t="shared" si="20"/>
        <v>74980.618399999992</v>
      </c>
      <c r="DI11" s="307" t="s">
        <v>434</v>
      </c>
      <c r="DJ11" s="307" t="s">
        <v>307</v>
      </c>
      <c r="DK11" s="307" t="s">
        <v>435</v>
      </c>
      <c r="DL11" s="307" t="s">
        <v>328</v>
      </c>
      <c r="DM11" s="79">
        <v>1912129000</v>
      </c>
      <c r="DN11" s="79">
        <v>0</v>
      </c>
      <c r="DO11" s="79">
        <v>0</v>
      </c>
      <c r="DP11" s="560">
        <f t="shared" si="21"/>
        <v>2032593.1269999999</v>
      </c>
      <c r="DQ11" s="560">
        <f t="shared" si="22"/>
        <v>0</v>
      </c>
      <c r="DR11" s="560">
        <f t="shared" si="23"/>
        <v>0</v>
      </c>
      <c r="DV11" s="534" t="s">
        <v>434</v>
      </c>
      <c r="DW11" s="534" t="s">
        <v>307</v>
      </c>
      <c r="DX11" s="534" t="s">
        <v>458</v>
      </c>
      <c r="DY11" s="536" t="s">
        <v>330</v>
      </c>
      <c r="DZ11" s="561" t="s">
        <v>433</v>
      </c>
      <c r="EA11" s="535">
        <v>0</v>
      </c>
      <c r="EB11" s="535">
        <v>90399</v>
      </c>
      <c r="EC11" s="535">
        <v>90399</v>
      </c>
      <c r="ED11" s="535">
        <f t="shared" si="24"/>
        <v>0</v>
      </c>
      <c r="EE11" s="535">
        <f t="shared" si="25"/>
        <v>96.094136999999989</v>
      </c>
      <c r="EF11" s="535">
        <f t="shared" si="26"/>
        <v>96.094136999999989</v>
      </c>
      <c r="EG11" s="95"/>
      <c r="EI11" s="88" t="s">
        <v>434</v>
      </c>
      <c r="EJ11" s="88" t="s">
        <v>307</v>
      </c>
      <c r="EK11" s="88" t="s">
        <v>435</v>
      </c>
      <c r="EL11" s="88" t="s">
        <v>328</v>
      </c>
      <c r="EM11" s="88" t="s">
        <v>433</v>
      </c>
      <c r="EN11" s="88">
        <v>1912129000</v>
      </c>
      <c r="EO11" s="88">
        <v>0</v>
      </c>
      <c r="EP11" s="88">
        <v>0</v>
      </c>
      <c r="EQ11" s="557">
        <f t="shared" si="27"/>
        <v>2032593.1269999999</v>
      </c>
      <c r="ER11" s="557">
        <f t="shared" si="28"/>
        <v>0</v>
      </c>
      <c r="ES11" s="557">
        <f t="shared" si="29"/>
        <v>0</v>
      </c>
      <c r="EW11" s="534" t="s">
        <v>434</v>
      </c>
      <c r="EX11" s="534" t="s">
        <v>307</v>
      </c>
      <c r="EY11" s="534" t="s">
        <v>447</v>
      </c>
      <c r="EZ11" s="534" t="s">
        <v>447</v>
      </c>
      <c r="FA11" s="561" t="s">
        <v>433</v>
      </c>
      <c r="FB11" s="535">
        <v>0</v>
      </c>
      <c r="FC11" s="535">
        <v>0</v>
      </c>
      <c r="FD11" s="535">
        <v>0</v>
      </c>
      <c r="FE11" s="535">
        <f t="shared" si="30"/>
        <v>0</v>
      </c>
      <c r="FF11" s="535">
        <f t="shared" si="31"/>
        <v>0</v>
      </c>
      <c r="FG11" s="535">
        <f t="shared" si="32"/>
        <v>0</v>
      </c>
      <c r="FK11" s="88" t="s">
        <v>434</v>
      </c>
      <c r="FL11" s="88" t="s">
        <v>307</v>
      </c>
      <c r="FM11" s="88" t="s">
        <v>435</v>
      </c>
      <c r="FN11" s="88" t="s">
        <v>328</v>
      </c>
      <c r="FO11" s="354" t="s">
        <v>433</v>
      </c>
      <c r="FP11" s="79">
        <v>2220417000</v>
      </c>
      <c r="FQ11" s="79">
        <v>0</v>
      </c>
      <c r="FR11" s="79">
        <v>0</v>
      </c>
      <c r="FS11" s="535">
        <f t="shared" si="33"/>
        <v>2360303.2709999997</v>
      </c>
      <c r="FT11" s="535">
        <f t="shared" si="34"/>
        <v>0</v>
      </c>
      <c r="FU11" s="535">
        <f t="shared" si="35"/>
        <v>0</v>
      </c>
      <c r="FY11" s="534" t="s">
        <v>438</v>
      </c>
      <c r="FZ11" s="536" t="s">
        <v>335</v>
      </c>
      <c r="GA11" s="536" t="s">
        <v>499</v>
      </c>
      <c r="GB11" s="536" t="s">
        <v>632</v>
      </c>
      <c r="GC11" s="561" t="s">
        <v>433</v>
      </c>
      <c r="GD11" s="535">
        <v>110000000</v>
      </c>
      <c r="GE11" s="660">
        <f t="shared" si="51"/>
        <v>116930</v>
      </c>
      <c r="GI11" s="638" t="s">
        <v>434</v>
      </c>
      <c r="GJ11" s="638" t="s">
        <v>307</v>
      </c>
      <c r="GK11" s="350" t="s">
        <v>435</v>
      </c>
      <c r="GL11" s="638" t="s">
        <v>328</v>
      </c>
      <c r="GM11" s="638" t="s">
        <v>433</v>
      </c>
      <c r="GN11" s="669">
        <v>2220417000</v>
      </c>
      <c r="GO11" s="669">
        <v>0</v>
      </c>
      <c r="GP11" s="669">
        <v>0</v>
      </c>
      <c r="GQ11" s="670">
        <f t="shared" si="36"/>
        <v>2360303.2709999997</v>
      </c>
      <c r="GR11" s="670">
        <f t="shared" si="37"/>
        <v>0</v>
      </c>
      <c r="GS11" s="670">
        <f t="shared" si="38"/>
        <v>0</v>
      </c>
      <c r="GX11" s="624" t="s">
        <v>434</v>
      </c>
      <c r="GY11" s="536" t="s">
        <v>307</v>
      </c>
      <c r="GZ11" s="536" t="s">
        <v>459</v>
      </c>
      <c r="HA11" s="536" t="s">
        <v>331</v>
      </c>
      <c r="HB11" s="536" t="s">
        <v>433</v>
      </c>
      <c r="HC11" s="721">
        <v>7465471</v>
      </c>
      <c r="HD11" s="722">
        <f t="shared" si="39"/>
        <v>7465.4709999999995</v>
      </c>
      <c r="HE11" s="80"/>
      <c r="HF11" s="80"/>
      <c r="HH11" s="725" t="s">
        <v>434</v>
      </c>
      <c r="HI11" s="725" t="s">
        <v>307</v>
      </c>
      <c r="HJ11" s="725" t="s">
        <v>435</v>
      </c>
      <c r="HK11" s="726" t="s">
        <v>328</v>
      </c>
      <c r="HL11" s="726" t="s">
        <v>433</v>
      </c>
      <c r="HM11" s="355">
        <v>2220417000</v>
      </c>
      <c r="HN11" s="355">
        <v>0</v>
      </c>
      <c r="HO11" s="355">
        <v>0</v>
      </c>
      <c r="HP11" s="724">
        <f t="shared" si="40"/>
        <v>2220417</v>
      </c>
      <c r="HQ11" s="724">
        <f t="shared" si="41"/>
        <v>0</v>
      </c>
      <c r="HR11" s="724">
        <f t="shared" si="42"/>
        <v>0</v>
      </c>
      <c r="HW11" s="726" t="s">
        <v>430</v>
      </c>
      <c r="HX11" s="726" t="s">
        <v>454</v>
      </c>
      <c r="HY11" s="726" t="s">
        <v>431</v>
      </c>
      <c r="HZ11" s="726" t="s">
        <v>432</v>
      </c>
      <c r="IA11" s="726" t="s">
        <v>433</v>
      </c>
      <c r="IB11" s="761">
        <v>-9869293</v>
      </c>
      <c r="IC11" s="761">
        <v>0</v>
      </c>
      <c r="ID11" s="761">
        <v>0</v>
      </c>
      <c r="IE11" s="537">
        <f t="shared" si="43"/>
        <v>0</v>
      </c>
      <c r="II11" s="350" t="s">
        <v>430</v>
      </c>
      <c r="IJ11" s="350" t="s">
        <v>454</v>
      </c>
      <c r="IK11" s="350" t="s">
        <v>628</v>
      </c>
      <c r="IL11" s="350" t="s">
        <v>331</v>
      </c>
      <c r="IM11" s="638" t="s">
        <v>433</v>
      </c>
      <c r="IN11" s="244">
        <v>0</v>
      </c>
      <c r="IO11" s="244">
        <v>160293</v>
      </c>
      <c r="IP11" s="244">
        <v>160293</v>
      </c>
      <c r="IQ11" s="756">
        <f t="shared" si="44"/>
        <v>0</v>
      </c>
      <c r="IR11" s="756">
        <f t="shared" si="45"/>
        <v>160.29300000000001</v>
      </c>
      <c r="IS11" s="756">
        <f t="shared" si="46"/>
        <v>160.29300000000001</v>
      </c>
      <c r="IW11" s="536" t="s">
        <v>508</v>
      </c>
      <c r="IX11" s="536" t="s">
        <v>523</v>
      </c>
      <c r="IY11" s="536" t="s">
        <v>447</v>
      </c>
      <c r="IZ11" s="536" t="s">
        <v>447</v>
      </c>
      <c r="JA11" s="561" t="s">
        <v>433</v>
      </c>
      <c r="JB11" s="535">
        <v>5634160</v>
      </c>
      <c r="JC11" s="756">
        <f t="shared" si="47"/>
        <v>5634.16</v>
      </c>
      <c r="JG11" s="536" t="s">
        <v>430</v>
      </c>
      <c r="JH11" s="536" t="s">
        <v>454</v>
      </c>
      <c r="JI11" s="536" t="s">
        <v>447</v>
      </c>
      <c r="JJ11" s="536" t="s">
        <v>447</v>
      </c>
      <c r="JK11" s="536" t="s">
        <v>433</v>
      </c>
      <c r="JL11" s="79">
        <v>0</v>
      </c>
      <c r="JM11" s="79">
        <v>0</v>
      </c>
      <c r="JN11" s="79">
        <v>0</v>
      </c>
      <c r="JO11" s="166">
        <f t="shared" si="48"/>
        <v>0</v>
      </c>
      <c r="JP11" s="166">
        <f t="shared" si="49"/>
        <v>0</v>
      </c>
      <c r="JQ11" s="166">
        <f t="shared" si="50"/>
        <v>0</v>
      </c>
    </row>
    <row r="12" spans="1:279" ht="15" customHeight="1" x14ac:dyDescent="0.25">
      <c r="A12" s="91" t="s">
        <v>434</v>
      </c>
      <c r="B12" s="91" t="s">
        <v>307</v>
      </c>
      <c r="C12" s="91" t="s">
        <v>437</v>
      </c>
      <c r="D12" s="91" t="s">
        <v>329</v>
      </c>
      <c r="E12" s="92">
        <v>9692789</v>
      </c>
      <c r="F12" s="92">
        <f t="shared" si="7"/>
        <v>10303.434707</v>
      </c>
      <c r="G12" s="92">
        <v>0</v>
      </c>
      <c r="H12" s="92">
        <f t="shared" si="8"/>
        <v>0</v>
      </c>
      <c r="U12" s="89" t="s">
        <v>434</v>
      </c>
      <c r="V12" s="89" t="s">
        <v>307</v>
      </c>
      <c r="W12" s="89" t="s">
        <v>437</v>
      </c>
      <c r="X12" s="1228" t="s">
        <v>329</v>
      </c>
      <c r="Y12" s="90">
        <v>9692789</v>
      </c>
      <c r="Z12" s="90">
        <f t="shared" si="9"/>
        <v>10303.434707</v>
      </c>
      <c r="AD12" s="89" t="s">
        <v>434</v>
      </c>
      <c r="AE12" s="89" t="s">
        <v>307</v>
      </c>
      <c r="AF12" s="89" t="s">
        <v>436</v>
      </c>
      <c r="AG12" s="89" t="s">
        <v>339</v>
      </c>
      <c r="AH12" s="90">
        <v>508288000</v>
      </c>
      <c r="AI12" s="90">
        <f t="shared" si="10"/>
        <v>540310.14399999997</v>
      </c>
      <c r="AJ12" s="90">
        <v>0</v>
      </c>
      <c r="AM12" s="166"/>
      <c r="AN12" s="89" t="s">
        <v>463</v>
      </c>
      <c r="AO12" s="89" t="s">
        <v>464</v>
      </c>
      <c r="AP12" s="89" t="s">
        <v>447</v>
      </c>
      <c r="AQ12" s="89" t="s">
        <v>447</v>
      </c>
      <c r="AR12" s="90">
        <v>14000000</v>
      </c>
      <c r="AS12" s="90">
        <f t="shared" si="11"/>
        <v>14882</v>
      </c>
      <c r="AW12" s="89" t="s">
        <v>434</v>
      </c>
      <c r="AX12" s="89" t="s">
        <v>307</v>
      </c>
      <c r="AY12" s="89" t="s">
        <v>435</v>
      </c>
      <c r="AZ12" s="89" t="s">
        <v>328</v>
      </c>
      <c r="BA12" s="90">
        <v>0</v>
      </c>
      <c r="BB12" s="90">
        <v>414108825</v>
      </c>
      <c r="BC12" s="90">
        <v>170447400</v>
      </c>
      <c r="BD12" s="90">
        <f t="shared" si="1"/>
        <v>0</v>
      </c>
      <c r="BE12" s="90">
        <f t="shared" si="2"/>
        <v>440197.68097499997</v>
      </c>
      <c r="BF12" s="90">
        <f t="shared" si="3"/>
        <v>181185.58619999999</v>
      </c>
      <c r="BN12" s="74"/>
      <c r="BO12" s="74"/>
      <c r="BP12" s="74"/>
      <c r="BT12" s="86" t="s">
        <v>434</v>
      </c>
      <c r="BU12" s="86" t="s">
        <v>307</v>
      </c>
      <c r="BV12" s="86" t="s">
        <v>435</v>
      </c>
      <c r="BW12" s="86" t="s">
        <v>328</v>
      </c>
      <c r="BX12" s="296" t="s">
        <v>433</v>
      </c>
      <c r="BY12" s="87">
        <v>0</v>
      </c>
      <c r="BZ12" s="87">
        <v>752111753</v>
      </c>
      <c r="CA12" s="87">
        <v>196131289</v>
      </c>
      <c r="CB12" s="166">
        <f t="shared" si="12"/>
        <v>0</v>
      </c>
      <c r="CC12" s="166">
        <f t="shared" si="13"/>
        <v>799494.79343900003</v>
      </c>
      <c r="CD12" s="166">
        <f t="shared" si="14"/>
        <v>208487.56020699997</v>
      </c>
      <c r="CH12" s="86" t="s">
        <v>438</v>
      </c>
      <c r="CI12" s="86" t="s">
        <v>335</v>
      </c>
      <c r="CJ12" s="86">
        <v>42402006</v>
      </c>
      <c r="CK12" s="86" t="s">
        <v>630</v>
      </c>
      <c r="CL12" s="296" t="s">
        <v>433</v>
      </c>
      <c r="CM12" s="87">
        <v>0</v>
      </c>
      <c r="CN12" s="87">
        <v>93000000</v>
      </c>
      <c r="CO12" s="87">
        <v>0</v>
      </c>
      <c r="CP12" s="301">
        <f t="shared" si="15"/>
        <v>0</v>
      </c>
      <c r="CQ12" s="301">
        <f t="shared" si="16"/>
        <v>98859</v>
      </c>
      <c r="CR12" s="301">
        <f t="shared" si="17"/>
        <v>0</v>
      </c>
      <c r="CV12" s="88" t="s">
        <v>434</v>
      </c>
      <c r="CW12" s="88" t="s">
        <v>307</v>
      </c>
      <c r="CX12" s="88" t="s">
        <v>437</v>
      </c>
      <c r="CY12" s="88" t="s">
        <v>329</v>
      </c>
      <c r="CZ12" s="88">
        <v>0</v>
      </c>
      <c r="DA12" s="88">
        <v>17102092</v>
      </c>
      <c r="DB12" s="88">
        <v>6974505</v>
      </c>
      <c r="DC12" s="557">
        <f t="shared" si="18"/>
        <v>0</v>
      </c>
      <c r="DD12" s="557">
        <f t="shared" si="19"/>
        <v>18179.523796000001</v>
      </c>
      <c r="DE12" s="557">
        <f t="shared" si="20"/>
        <v>7413.8988149999996</v>
      </c>
      <c r="DI12" s="307" t="s">
        <v>434</v>
      </c>
      <c r="DJ12" s="307" t="s">
        <v>307</v>
      </c>
      <c r="DK12" s="307" t="s">
        <v>436</v>
      </c>
      <c r="DL12" s="307" t="s">
        <v>339</v>
      </c>
      <c r="DM12" s="79">
        <v>508288000</v>
      </c>
      <c r="DN12" s="79">
        <v>0</v>
      </c>
      <c r="DO12" s="79">
        <v>0</v>
      </c>
      <c r="DP12" s="560">
        <f t="shared" si="21"/>
        <v>540310.14399999997</v>
      </c>
      <c r="DQ12" s="560">
        <f t="shared" si="22"/>
        <v>0</v>
      </c>
      <c r="DR12" s="560">
        <f t="shared" si="23"/>
        <v>0</v>
      </c>
      <c r="DV12" s="534" t="s">
        <v>434</v>
      </c>
      <c r="DW12" s="534" t="s">
        <v>307</v>
      </c>
      <c r="DX12" s="534" t="s">
        <v>436</v>
      </c>
      <c r="DY12" s="536" t="s">
        <v>339</v>
      </c>
      <c r="DZ12" s="561" t="s">
        <v>433</v>
      </c>
      <c r="EA12" s="535">
        <v>0</v>
      </c>
      <c r="EB12" s="535">
        <v>39795535</v>
      </c>
      <c r="EC12" s="535">
        <v>3262714</v>
      </c>
      <c r="ED12" s="535">
        <f t="shared" si="24"/>
        <v>0</v>
      </c>
      <c r="EE12" s="535">
        <f t="shared" si="25"/>
        <v>42302.653705000004</v>
      </c>
      <c r="EF12" s="535">
        <f t="shared" si="26"/>
        <v>3468.2649819999997</v>
      </c>
      <c r="EG12" s="95"/>
      <c r="EI12" s="88" t="s">
        <v>434</v>
      </c>
      <c r="EJ12" s="88" t="s">
        <v>307</v>
      </c>
      <c r="EK12" s="88" t="s">
        <v>436</v>
      </c>
      <c r="EL12" s="88" t="s">
        <v>339</v>
      </c>
      <c r="EM12" s="88" t="s">
        <v>433</v>
      </c>
      <c r="EN12" s="88">
        <v>508288000</v>
      </c>
      <c r="EO12" s="88">
        <v>0</v>
      </c>
      <c r="EP12" s="88">
        <v>0</v>
      </c>
      <c r="EQ12" s="557">
        <f t="shared" si="27"/>
        <v>540310.14399999997</v>
      </c>
      <c r="ER12" s="557">
        <f t="shared" si="28"/>
        <v>0</v>
      </c>
      <c r="ES12" s="557">
        <f t="shared" si="29"/>
        <v>0</v>
      </c>
      <c r="EW12" s="534" t="s">
        <v>434</v>
      </c>
      <c r="EX12" s="534" t="s">
        <v>307</v>
      </c>
      <c r="EY12" s="534" t="s">
        <v>458</v>
      </c>
      <c r="EZ12" s="534" t="s">
        <v>330</v>
      </c>
      <c r="FA12" s="561" t="s">
        <v>433</v>
      </c>
      <c r="FB12" s="535">
        <v>0</v>
      </c>
      <c r="FC12" s="535">
        <v>20962</v>
      </c>
      <c r="FD12" s="535">
        <v>20962</v>
      </c>
      <c r="FE12" s="535">
        <f t="shared" si="30"/>
        <v>0</v>
      </c>
      <c r="FF12" s="535">
        <f t="shared" si="31"/>
        <v>22.282605999999998</v>
      </c>
      <c r="FG12" s="535">
        <f t="shared" si="32"/>
        <v>22.282605999999998</v>
      </c>
      <c r="FK12" s="88" t="s">
        <v>434</v>
      </c>
      <c r="FL12" s="88" t="s">
        <v>307</v>
      </c>
      <c r="FM12" s="88" t="s">
        <v>436</v>
      </c>
      <c r="FN12" s="88" t="s">
        <v>339</v>
      </c>
      <c r="FO12" s="354" t="s">
        <v>433</v>
      </c>
      <c r="FP12" s="79">
        <v>200000000</v>
      </c>
      <c r="FQ12" s="79">
        <v>0</v>
      </c>
      <c r="FR12" s="79">
        <v>0</v>
      </c>
      <c r="FS12" s="535">
        <f t="shared" si="33"/>
        <v>212600</v>
      </c>
      <c r="FT12" s="535">
        <f t="shared" si="34"/>
        <v>0</v>
      </c>
      <c r="FU12" s="535">
        <f t="shared" si="35"/>
        <v>0</v>
      </c>
      <c r="FY12" s="534" t="s">
        <v>463</v>
      </c>
      <c r="FZ12" s="536" t="s">
        <v>464</v>
      </c>
      <c r="GA12" s="536" t="s">
        <v>447</v>
      </c>
      <c r="GB12" s="536" t="s">
        <v>447</v>
      </c>
      <c r="GC12" s="561" t="s">
        <v>433</v>
      </c>
      <c r="GD12" s="535">
        <v>81961816</v>
      </c>
      <c r="GE12" s="660">
        <f t="shared" si="51"/>
        <v>87125.410407999996</v>
      </c>
      <c r="GI12" s="638" t="s">
        <v>434</v>
      </c>
      <c r="GJ12" s="638" t="s">
        <v>307</v>
      </c>
      <c r="GK12" s="350" t="s">
        <v>436</v>
      </c>
      <c r="GL12" s="638" t="s">
        <v>339</v>
      </c>
      <c r="GM12" s="638" t="s">
        <v>433</v>
      </c>
      <c r="GN12" s="669">
        <v>200000000</v>
      </c>
      <c r="GO12" s="669">
        <v>0</v>
      </c>
      <c r="GP12" s="669">
        <v>0</v>
      </c>
      <c r="GQ12" s="670">
        <f t="shared" si="36"/>
        <v>212600</v>
      </c>
      <c r="GR12" s="670">
        <f t="shared" si="37"/>
        <v>0</v>
      </c>
      <c r="GS12" s="670">
        <f t="shared" si="38"/>
        <v>0</v>
      </c>
      <c r="GX12" s="624" t="s">
        <v>434</v>
      </c>
      <c r="GY12" s="536" t="s">
        <v>307</v>
      </c>
      <c r="GZ12" s="536" t="s">
        <v>437</v>
      </c>
      <c r="HA12" s="536" t="s">
        <v>329</v>
      </c>
      <c r="HB12" s="536" t="s">
        <v>433</v>
      </c>
      <c r="HC12" s="721">
        <v>9551114</v>
      </c>
      <c r="HD12" s="722">
        <f t="shared" si="39"/>
        <v>9551.1139999999996</v>
      </c>
      <c r="HE12" s="80"/>
      <c r="HF12" s="80"/>
      <c r="HH12" s="725" t="s">
        <v>434</v>
      </c>
      <c r="HI12" s="725" t="s">
        <v>307</v>
      </c>
      <c r="HJ12" s="725" t="s">
        <v>436</v>
      </c>
      <c r="HK12" s="726" t="s">
        <v>339</v>
      </c>
      <c r="HL12" s="726" t="s">
        <v>433</v>
      </c>
      <c r="HM12" s="355">
        <v>200000000</v>
      </c>
      <c r="HN12" s="355">
        <v>0</v>
      </c>
      <c r="HO12" s="355">
        <v>0</v>
      </c>
      <c r="HP12" s="724">
        <f t="shared" si="40"/>
        <v>200000</v>
      </c>
      <c r="HQ12" s="724">
        <f t="shared" si="41"/>
        <v>0</v>
      </c>
      <c r="HR12" s="724">
        <f t="shared" si="42"/>
        <v>0</v>
      </c>
      <c r="HW12" s="726" t="s">
        <v>434</v>
      </c>
      <c r="HX12" s="726" t="s">
        <v>307</v>
      </c>
      <c r="HY12" s="726" t="s">
        <v>437</v>
      </c>
      <c r="HZ12" s="726" t="s">
        <v>329</v>
      </c>
      <c r="IA12" s="726" t="s">
        <v>433</v>
      </c>
      <c r="IB12" s="761">
        <v>2147000</v>
      </c>
      <c r="IC12" s="761">
        <v>0</v>
      </c>
      <c r="ID12" s="761">
        <v>0</v>
      </c>
      <c r="IE12" s="537">
        <f t="shared" si="43"/>
        <v>0</v>
      </c>
      <c r="II12" s="350" t="s">
        <v>430</v>
      </c>
      <c r="IJ12" s="350" t="s">
        <v>454</v>
      </c>
      <c r="IK12" s="350" t="s">
        <v>455</v>
      </c>
      <c r="IL12" s="350" t="s">
        <v>456</v>
      </c>
      <c r="IM12" s="638" t="s">
        <v>433</v>
      </c>
      <c r="IN12" s="244">
        <v>0</v>
      </c>
      <c r="IO12" s="244">
        <v>80000000</v>
      </c>
      <c r="IP12" s="244">
        <v>60000000</v>
      </c>
      <c r="IQ12" s="756">
        <f t="shared" si="44"/>
        <v>0</v>
      </c>
      <c r="IR12" s="756">
        <f t="shared" si="45"/>
        <v>80000</v>
      </c>
      <c r="IS12" s="756">
        <f t="shared" si="46"/>
        <v>60000</v>
      </c>
      <c r="IW12" s="536" t="s">
        <v>460</v>
      </c>
      <c r="IX12" s="536" t="s">
        <v>461</v>
      </c>
      <c r="IY12" s="536" t="s">
        <v>447</v>
      </c>
      <c r="IZ12" s="536" t="s">
        <v>447</v>
      </c>
      <c r="JA12" s="561" t="s">
        <v>433</v>
      </c>
      <c r="JB12" s="535">
        <v>181465585</v>
      </c>
      <c r="JC12" s="756">
        <f t="shared" si="47"/>
        <v>181465.58499999999</v>
      </c>
      <c r="JG12" s="536" t="s">
        <v>430</v>
      </c>
      <c r="JH12" s="536" t="s">
        <v>454</v>
      </c>
      <c r="JI12" s="536" t="s">
        <v>431</v>
      </c>
      <c r="JJ12" s="536" t="s">
        <v>432</v>
      </c>
      <c r="JK12" s="536" t="s">
        <v>433</v>
      </c>
      <c r="JL12" s="79">
        <v>0</v>
      </c>
      <c r="JM12" s="79">
        <v>2194241</v>
      </c>
      <c r="JN12" s="79">
        <v>2194241</v>
      </c>
      <c r="JO12" s="166">
        <f t="shared" si="48"/>
        <v>0</v>
      </c>
      <c r="JP12" s="166">
        <f t="shared" si="49"/>
        <v>2194.241</v>
      </c>
      <c r="JQ12" s="166">
        <f t="shared" si="50"/>
        <v>2194.241</v>
      </c>
    </row>
    <row r="13" spans="1:279" ht="15" customHeight="1" x14ac:dyDescent="0.25">
      <c r="A13" s="91" t="s">
        <v>434</v>
      </c>
      <c r="B13" s="91" t="s">
        <v>307</v>
      </c>
      <c r="C13" s="91" t="s">
        <v>447</v>
      </c>
      <c r="D13" s="91" t="s">
        <v>447</v>
      </c>
      <c r="E13" s="92">
        <v>0</v>
      </c>
      <c r="F13" s="92">
        <f t="shared" si="7"/>
        <v>0</v>
      </c>
      <c r="G13" s="92">
        <v>0</v>
      </c>
      <c r="H13" s="92">
        <f t="shared" si="8"/>
        <v>0</v>
      </c>
      <c r="U13" s="89" t="s">
        <v>508</v>
      </c>
      <c r="V13" s="89" t="s">
        <v>523</v>
      </c>
      <c r="W13" s="89" t="s">
        <v>447</v>
      </c>
      <c r="X13" s="1228" t="s">
        <v>447</v>
      </c>
      <c r="Y13" s="90">
        <v>90486000</v>
      </c>
      <c r="Z13" s="90">
        <f t="shared" si="9"/>
        <v>96186.618000000002</v>
      </c>
      <c r="AD13" s="89" t="s">
        <v>434</v>
      </c>
      <c r="AE13" s="89" t="s">
        <v>307</v>
      </c>
      <c r="AF13" s="89" t="s">
        <v>437</v>
      </c>
      <c r="AG13" s="89" t="s">
        <v>329</v>
      </c>
      <c r="AH13" s="90">
        <v>122164211</v>
      </c>
      <c r="AI13" s="90">
        <f t="shared" si="10"/>
        <v>129860.55629299999</v>
      </c>
      <c r="AJ13" s="90">
        <v>0</v>
      </c>
      <c r="AM13" s="166"/>
      <c r="AN13" s="89" t="s">
        <v>465</v>
      </c>
      <c r="AO13" s="89" t="s">
        <v>466</v>
      </c>
      <c r="AP13" s="89" t="s">
        <v>447</v>
      </c>
      <c r="AQ13" s="89" t="s">
        <v>447</v>
      </c>
      <c r="AR13" s="90">
        <v>23513075</v>
      </c>
      <c r="AS13" s="90">
        <f t="shared" si="11"/>
        <v>24994.398724999999</v>
      </c>
      <c r="AW13" s="89" t="s">
        <v>434</v>
      </c>
      <c r="AX13" s="89" t="s">
        <v>307</v>
      </c>
      <c r="AY13" s="89" t="s">
        <v>436</v>
      </c>
      <c r="AZ13" s="89" t="s">
        <v>339</v>
      </c>
      <c r="BA13" s="90">
        <v>508288000</v>
      </c>
      <c r="BB13" s="90">
        <v>0</v>
      </c>
      <c r="BC13" s="90">
        <v>0</v>
      </c>
      <c r="BD13" s="90">
        <f t="shared" si="1"/>
        <v>540310.14399999997</v>
      </c>
      <c r="BE13" s="90">
        <f t="shared" si="2"/>
        <v>0</v>
      </c>
      <c r="BF13" s="90">
        <f t="shared" si="3"/>
        <v>0</v>
      </c>
      <c r="BN13" s="74"/>
      <c r="BO13" s="74"/>
      <c r="BP13" s="74"/>
      <c r="BT13" s="86" t="s">
        <v>434</v>
      </c>
      <c r="BU13" s="86" t="s">
        <v>307</v>
      </c>
      <c r="BV13" s="86" t="s">
        <v>436</v>
      </c>
      <c r="BW13" s="86" t="s">
        <v>339</v>
      </c>
      <c r="BX13" s="296" t="s">
        <v>433</v>
      </c>
      <c r="BY13" s="87">
        <v>508288000</v>
      </c>
      <c r="BZ13" s="87">
        <v>0</v>
      </c>
      <c r="CA13" s="87">
        <v>0</v>
      </c>
      <c r="CB13" s="166">
        <f t="shared" si="12"/>
        <v>540310.14399999997</v>
      </c>
      <c r="CC13" s="166">
        <f t="shared" si="13"/>
        <v>0</v>
      </c>
      <c r="CD13" s="166">
        <f t="shared" si="14"/>
        <v>0</v>
      </c>
      <c r="CH13" s="86" t="s">
        <v>438</v>
      </c>
      <c r="CI13" s="86" t="s">
        <v>335</v>
      </c>
      <c r="CJ13" s="86" t="s">
        <v>447</v>
      </c>
      <c r="CK13" s="86" t="s">
        <v>447</v>
      </c>
      <c r="CL13" s="296" t="s">
        <v>433</v>
      </c>
      <c r="CM13" s="87">
        <v>0</v>
      </c>
      <c r="CN13" s="87">
        <v>0</v>
      </c>
      <c r="CO13" s="87">
        <v>0</v>
      </c>
      <c r="CP13" s="301">
        <f t="shared" si="15"/>
        <v>0</v>
      </c>
      <c r="CQ13" s="301">
        <f t="shared" si="16"/>
        <v>0</v>
      </c>
      <c r="CR13" s="301">
        <f t="shared" si="17"/>
        <v>0</v>
      </c>
      <c r="CV13" s="88" t="s">
        <v>434</v>
      </c>
      <c r="CW13" s="88" t="s">
        <v>307</v>
      </c>
      <c r="CX13" s="88" t="s">
        <v>447</v>
      </c>
      <c r="CY13" s="88" t="s">
        <v>447</v>
      </c>
      <c r="CZ13" s="88">
        <v>0</v>
      </c>
      <c r="DA13" s="88">
        <v>0</v>
      </c>
      <c r="DB13" s="88">
        <v>0</v>
      </c>
      <c r="DC13" s="557">
        <f t="shared" si="18"/>
        <v>0</v>
      </c>
      <c r="DD13" s="557">
        <f t="shared" si="19"/>
        <v>0</v>
      </c>
      <c r="DE13" s="557">
        <f t="shared" si="20"/>
        <v>0</v>
      </c>
      <c r="DI13" s="307" t="s">
        <v>434</v>
      </c>
      <c r="DJ13" s="307" t="s">
        <v>307</v>
      </c>
      <c r="DK13" s="307" t="s">
        <v>437</v>
      </c>
      <c r="DL13" s="307" t="s">
        <v>329</v>
      </c>
      <c r="DM13" s="79">
        <v>118164211</v>
      </c>
      <c r="DN13" s="79">
        <v>0</v>
      </c>
      <c r="DO13" s="79">
        <v>0</v>
      </c>
      <c r="DP13" s="560">
        <f t="shared" si="21"/>
        <v>125608.55629299999</v>
      </c>
      <c r="DQ13" s="560">
        <f t="shared" si="22"/>
        <v>0</v>
      </c>
      <c r="DR13" s="560">
        <f t="shared" si="23"/>
        <v>0</v>
      </c>
      <c r="DV13" s="534" t="s">
        <v>434</v>
      </c>
      <c r="DW13" s="534" t="s">
        <v>307</v>
      </c>
      <c r="DX13" s="534" t="s">
        <v>437</v>
      </c>
      <c r="DY13" s="536" t="s">
        <v>329</v>
      </c>
      <c r="DZ13" s="561" t="s">
        <v>433</v>
      </c>
      <c r="EA13" s="535">
        <v>0</v>
      </c>
      <c r="EB13" s="535">
        <v>19778322</v>
      </c>
      <c r="EC13" s="535">
        <v>10411718</v>
      </c>
      <c r="ED13" s="535">
        <f t="shared" si="24"/>
        <v>0</v>
      </c>
      <c r="EE13" s="535">
        <f t="shared" si="25"/>
        <v>21024.356285999998</v>
      </c>
      <c r="EF13" s="535">
        <f t="shared" si="26"/>
        <v>11067.656234</v>
      </c>
      <c r="EG13" s="95"/>
      <c r="EI13" s="88" t="s">
        <v>434</v>
      </c>
      <c r="EJ13" s="88" t="s">
        <v>307</v>
      </c>
      <c r="EK13" s="88" t="s">
        <v>437</v>
      </c>
      <c r="EL13" s="88" t="s">
        <v>329</v>
      </c>
      <c r="EM13" s="88" t="s">
        <v>433</v>
      </c>
      <c r="EN13" s="88">
        <v>118164211</v>
      </c>
      <c r="EO13" s="88">
        <v>0</v>
      </c>
      <c r="EP13" s="88">
        <v>0</v>
      </c>
      <c r="EQ13" s="557">
        <f t="shared" si="27"/>
        <v>125608.55629299999</v>
      </c>
      <c r="ER13" s="557">
        <f t="shared" si="28"/>
        <v>0</v>
      </c>
      <c r="ES13" s="557">
        <f t="shared" si="29"/>
        <v>0</v>
      </c>
      <c r="EW13" s="534" t="s">
        <v>434</v>
      </c>
      <c r="EX13" s="534" t="s">
        <v>307</v>
      </c>
      <c r="EY13" s="534" t="s">
        <v>436</v>
      </c>
      <c r="EZ13" s="534" t="s">
        <v>339</v>
      </c>
      <c r="FA13" s="561" t="s">
        <v>433</v>
      </c>
      <c r="FB13" s="535">
        <v>-308288000</v>
      </c>
      <c r="FC13" s="535">
        <v>0</v>
      </c>
      <c r="FD13" s="535">
        <v>0</v>
      </c>
      <c r="FE13" s="535">
        <f t="shared" si="30"/>
        <v>-327710.14399999997</v>
      </c>
      <c r="FF13" s="535">
        <f t="shared" si="31"/>
        <v>0</v>
      </c>
      <c r="FG13" s="535">
        <f t="shared" si="32"/>
        <v>0</v>
      </c>
      <c r="FK13" s="88" t="s">
        <v>434</v>
      </c>
      <c r="FL13" s="88" t="s">
        <v>307</v>
      </c>
      <c r="FM13" s="88" t="s">
        <v>437</v>
      </c>
      <c r="FN13" s="88" t="s">
        <v>329</v>
      </c>
      <c r="FO13" s="354" t="s">
        <v>433</v>
      </c>
      <c r="FP13" s="79">
        <v>118164211</v>
      </c>
      <c r="FQ13" s="79">
        <v>0</v>
      </c>
      <c r="FR13" s="79">
        <v>0</v>
      </c>
      <c r="FS13" s="535">
        <f t="shared" si="33"/>
        <v>125608.55629299999</v>
      </c>
      <c r="FT13" s="535">
        <f t="shared" si="34"/>
        <v>0</v>
      </c>
      <c r="FU13" s="535">
        <f t="shared" si="35"/>
        <v>0</v>
      </c>
      <c r="FY13" s="534" t="s">
        <v>465</v>
      </c>
      <c r="FZ13" s="536" t="s">
        <v>466</v>
      </c>
      <c r="GA13" s="536" t="s">
        <v>447</v>
      </c>
      <c r="GB13" s="536" t="s">
        <v>447</v>
      </c>
      <c r="GC13" s="561" t="s">
        <v>433</v>
      </c>
      <c r="GD13" s="535">
        <v>6523428</v>
      </c>
      <c r="GE13" s="660">
        <f t="shared" si="51"/>
        <v>6934.4039639999992</v>
      </c>
      <c r="GI13" s="638" t="s">
        <v>434</v>
      </c>
      <c r="GJ13" s="638" t="s">
        <v>307</v>
      </c>
      <c r="GK13" s="350" t="s">
        <v>437</v>
      </c>
      <c r="GL13" s="638" t="s">
        <v>329</v>
      </c>
      <c r="GM13" s="638" t="s">
        <v>433</v>
      </c>
      <c r="GN13" s="669">
        <v>118164211</v>
      </c>
      <c r="GO13" s="669">
        <v>0</v>
      </c>
      <c r="GP13" s="669">
        <v>0</v>
      </c>
      <c r="GQ13" s="670">
        <f t="shared" si="36"/>
        <v>125608.55629299999</v>
      </c>
      <c r="GR13" s="670">
        <f t="shared" si="37"/>
        <v>0</v>
      </c>
      <c r="GS13" s="670">
        <f t="shared" si="38"/>
        <v>0</v>
      </c>
      <c r="GX13" s="624" t="s">
        <v>434</v>
      </c>
      <c r="GY13" s="536" t="s">
        <v>307</v>
      </c>
      <c r="GZ13" s="536" t="s">
        <v>435</v>
      </c>
      <c r="HA13" s="536" t="s">
        <v>328</v>
      </c>
      <c r="HB13" s="536" t="s">
        <v>433</v>
      </c>
      <c r="HC13" s="721">
        <v>166826794</v>
      </c>
      <c r="HD13" s="722">
        <f t="shared" si="39"/>
        <v>166826.79399999999</v>
      </c>
      <c r="HE13" s="80"/>
      <c r="HF13" s="80"/>
      <c r="HH13" s="725" t="s">
        <v>434</v>
      </c>
      <c r="HI13" s="725" t="s">
        <v>307</v>
      </c>
      <c r="HJ13" s="725" t="s">
        <v>437</v>
      </c>
      <c r="HK13" s="726" t="s">
        <v>329</v>
      </c>
      <c r="HL13" s="726" t="s">
        <v>433</v>
      </c>
      <c r="HM13" s="355">
        <v>118164211</v>
      </c>
      <c r="HN13" s="355">
        <v>0</v>
      </c>
      <c r="HO13" s="355">
        <v>0</v>
      </c>
      <c r="HP13" s="724">
        <f t="shared" si="40"/>
        <v>118164.211</v>
      </c>
      <c r="HQ13" s="724">
        <f t="shared" si="41"/>
        <v>0</v>
      </c>
      <c r="HR13" s="724">
        <f t="shared" si="42"/>
        <v>0</v>
      </c>
      <c r="HW13" s="726" t="s">
        <v>434</v>
      </c>
      <c r="HX13" s="726" t="s">
        <v>307</v>
      </c>
      <c r="HY13" s="726" t="s">
        <v>447</v>
      </c>
      <c r="HZ13" s="726" t="s">
        <v>447</v>
      </c>
      <c r="IA13" s="726" t="s">
        <v>433</v>
      </c>
      <c r="IB13" s="761">
        <v>0</v>
      </c>
      <c r="IC13" s="761">
        <v>0</v>
      </c>
      <c r="ID13" s="761">
        <v>0</v>
      </c>
      <c r="IE13" s="537">
        <f t="shared" si="43"/>
        <v>0</v>
      </c>
      <c r="II13" s="350" t="s">
        <v>434</v>
      </c>
      <c r="IJ13" s="350" t="s">
        <v>307</v>
      </c>
      <c r="IK13" s="350" t="s">
        <v>435</v>
      </c>
      <c r="IL13" s="350" t="s">
        <v>328</v>
      </c>
      <c r="IM13" s="638" t="s">
        <v>433</v>
      </c>
      <c r="IN13" s="244">
        <v>2220417000</v>
      </c>
      <c r="IO13" s="244">
        <v>0</v>
      </c>
      <c r="IP13" s="244">
        <v>0</v>
      </c>
      <c r="IQ13" s="756">
        <f t="shared" si="44"/>
        <v>2220417</v>
      </c>
      <c r="IR13" s="756">
        <f t="shared" si="45"/>
        <v>0</v>
      </c>
      <c r="IS13" s="756">
        <f t="shared" si="46"/>
        <v>0</v>
      </c>
      <c r="IW13" s="536" t="s">
        <v>438</v>
      </c>
      <c r="IX13" s="536" t="s">
        <v>335</v>
      </c>
      <c r="IY13" s="536" t="s">
        <v>629</v>
      </c>
      <c r="IZ13" s="536" t="s">
        <v>630</v>
      </c>
      <c r="JA13" s="561" t="s">
        <v>433</v>
      </c>
      <c r="JB13" s="535">
        <v>13280000</v>
      </c>
      <c r="JC13" s="756">
        <f t="shared" si="47"/>
        <v>13280</v>
      </c>
      <c r="JG13" s="536" t="s">
        <v>430</v>
      </c>
      <c r="JH13" s="536" t="s">
        <v>454</v>
      </c>
      <c r="JI13" s="536" t="s">
        <v>715</v>
      </c>
      <c r="JJ13" s="536" t="s">
        <v>716</v>
      </c>
      <c r="JK13" s="536" t="s">
        <v>433</v>
      </c>
      <c r="JL13" s="79">
        <v>0</v>
      </c>
      <c r="JM13" s="79">
        <v>8948512</v>
      </c>
      <c r="JN13" s="79">
        <v>8948512</v>
      </c>
      <c r="JO13" s="166">
        <f t="shared" si="48"/>
        <v>0</v>
      </c>
      <c r="JP13" s="166">
        <f t="shared" si="49"/>
        <v>8948.5120000000006</v>
      </c>
      <c r="JQ13" s="166">
        <f t="shared" si="50"/>
        <v>8948.5120000000006</v>
      </c>
    </row>
    <row r="14" spans="1:279" ht="15" customHeight="1" x14ac:dyDescent="0.25">
      <c r="A14" s="91" t="s">
        <v>434</v>
      </c>
      <c r="B14" s="91" t="s">
        <v>307</v>
      </c>
      <c r="C14" s="91" t="s">
        <v>435</v>
      </c>
      <c r="D14" s="91" t="s">
        <v>328</v>
      </c>
      <c r="E14" s="92">
        <v>0</v>
      </c>
      <c r="F14" s="92">
        <f t="shared" si="7"/>
        <v>0</v>
      </c>
      <c r="G14" s="92">
        <v>7240530</v>
      </c>
      <c r="H14" s="92">
        <f t="shared" si="8"/>
        <v>7696.6833899999992</v>
      </c>
      <c r="U14" s="89" t="s">
        <v>460</v>
      </c>
      <c r="V14" s="89" t="s">
        <v>461</v>
      </c>
      <c r="W14" s="89" t="s">
        <v>447</v>
      </c>
      <c r="X14" s="1228" t="s">
        <v>447</v>
      </c>
      <c r="Y14" s="90">
        <v>181473000</v>
      </c>
      <c r="Z14" s="90">
        <f t="shared" si="9"/>
        <v>192905.799</v>
      </c>
      <c r="AD14" s="89" t="s">
        <v>434</v>
      </c>
      <c r="AE14" s="89" t="s">
        <v>307</v>
      </c>
      <c r="AF14" s="89" t="s">
        <v>459</v>
      </c>
      <c r="AG14" s="89" t="s">
        <v>331</v>
      </c>
      <c r="AH14" s="90">
        <v>57186000</v>
      </c>
      <c r="AI14" s="90">
        <f t="shared" si="10"/>
        <v>60788.717999999993</v>
      </c>
      <c r="AJ14" s="90">
        <v>0</v>
      </c>
      <c r="AM14" s="166"/>
      <c r="AN14" s="89" t="s">
        <v>672</v>
      </c>
      <c r="AO14" s="89" t="s">
        <v>673</v>
      </c>
      <c r="AP14" s="89" t="s">
        <v>447</v>
      </c>
      <c r="AQ14" s="89" t="s">
        <v>447</v>
      </c>
      <c r="AR14" s="90">
        <v>1716000</v>
      </c>
      <c r="AS14" s="90">
        <f t="shared" si="11"/>
        <v>1824.1079999999999</v>
      </c>
      <c r="AW14" s="89" t="s">
        <v>434</v>
      </c>
      <c r="AX14" s="89" t="s">
        <v>307</v>
      </c>
      <c r="AY14" s="89" t="s">
        <v>436</v>
      </c>
      <c r="AZ14" s="89" t="s">
        <v>339</v>
      </c>
      <c r="BA14" s="90">
        <v>0</v>
      </c>
      <c r="BB14" s="90">
        <v>77015585</v>
      </c>
      <c r="BC14" s="90">
        <v>34591049</v>
      </c>
      <c r="BD14" s="90">
        <f t="shared" si="1"/>
        <v>0</v>
      </c>
      <c r="BE14" s="90">
        <f t="shared" si="2"/>
        <v>81867.566854999997</v>
      </c>
      <c r="BF14" s="90">
        <f t="shared" si="3"/>
        <v>36770.285086999997</v>
      </c>
      <c r="BN14" s="74"/>
      <c r="BO14" s="74"/>
      <c r="BP14" s="74"/>
      <c r="BT14" s="86" t="s">
        <v>434</v>
      </c>
      <c r="BU14" s="86" t="s">
        <v>307</v>
      </c>
      <c r="BV14" s="86" t="s">
        <v>436</v>
      </c>
      <c r="BW14" s="86" t="s">
        <v>339</v>
      </c>
      <c r="BX14" s="296" t="s">
        <v>433</v>
      </c>
      <c r="BY14" s="87">
        <v>0</v>
      </c>
      <c r="BZ14" s="87">
        <v>86577420</v>
      </c>
      <c r="CA14" s="87">
        <v>34591049</v>
      </c>
      <c r="CB14" s="166">
        <f t="shared" si="12"/>
        <v>0</v>
      </c>
      <c r="CC14" s="166">
        <f t="shared" si="13"/>
        <v>92031.797459999987</v>
      </c>
      <c r="CD14" s="166">
        <f t="shared" si="14"/>
        <v>36770.285086999997</v>
      </c>
      <c r="CH14" s="86" t="s">
        <v>438</v>
      </c>
      <c r="CI14" s="86" t="s">
        <v>335</v>
      </c>
      <c r="CJ14" s="86" t="s">
        <v>447</v>
      </c>
      <c r="CK14" s="86" t="s">
        <v>447</v>
      </c>
      <c r="CL14" s="296" t="s">
        <v>433</v>
      </c>
      <c r="CM14" s="87">
        <v>0</v>
      </c>
      <c r="CN14" s="87">
        <v>0</v>
      </c>
      <c r="CO14" s="87">
        <v>0</v>
      </c>
      <c r="CP14" s="301">
        <f t="shared" si="15"/>
        <v>0</v>
      </c>
      <c r="CQ14" s="301">
        <f t="shared" si="16"/>
        <v>0</v>
      </c>
      <c r="CR14" s="301">
        <f t="shared" si="17"/>
        <v>0</v>
      </c>
      <c r="CV14" s="88" t="s">
        <v>434</v>
      </c>
      <c r="CW14" s="88" t="s">
        <v>307</v>
      </c>
      <c r="CX14" s="88" t="s">
        <v>437</v>
      </c>
      <c r="CY14" s="88" t="s">
        <v>329</v>
      </c>
      <c r="CZ14" s="88">
        <v>-4000000</v>
      </c>
      <c r="DA14" s="88">
        <v>0</v>
      </c>
      <c r="DB14" s="88">
        <v>0</v>
      </c>
      <c r="DC14" s="557">
        <f t="shared" si="18"/>
        <v>-4252</v>
      </c>
      <c r="DD14" s="557">
        <f t="shared" si="19"/>
        <v>0</v>
      </c>
      <c r="DE14" s="557">
        <f t="shared" si="20"/>
        <v>0</v>
      </c>
      <c r="DI14" s="307" t="s">
        <v>434</v>
      </c>
      <c r="DJ14" s="307" t="s">
        <v>307</v>
      </c>
      <c r="DK14" s="307" t="s">
        <v>459</v>
      </c>
      <c r="DL14" s="307" t="s">
        <v>331</v>
      </c>
      <c r="DM14" s="79">
        <v>57186000</v>
      </c>
      <c r="DN14" s="79">
        <v>0</v>
      </c>
      <c r="DO14" s="79">
        <v>0</v>
      </c>
      <c r="DP14" s="560">
        <f t="shared" si="21"/>
        <v>60788.717999999993</v>
      </c>
      <c r="DQ14" s="560">
        <f t="shared" si="22"/>
        <v>0</v>
      </c>
      <c r="DR14" s="560">
        <f t="shared" si="23"/>
        <v>0</v>
      </c>
      <c r="DV14" s="534" t="s">
        <v>434</v>
      </c>
      <c r="DW14" s="534" t="s">
        <v>307</v>
      </c>
      <c r="DX14" s="534" t="s">
        <v>447</v>
      </c>
      <c r="DY14" s="536" t="s">
        <v>447</v>
      </c>
      <c r="DZ14" s="561" t="s">
        <v>433</v>
      </c>
      <c r="EA14" s="535">
        <v>0</v>
      </c>
      <c r="EB14" s="535">
        <v>0</v>
      </c>
      <c r="EC14" s="535">
        <v>0</v>
      </c>
      <c r="ED14" s="535">
        <f t="shared" si="24"/>
        <v>0</v>
      </c>
      <c r="EE14" s="535">
        <f t="shared" si="25"/>
        <v>0</v>
      </c>
      <c r="EF14" s="535">
        <f t="shared" si="26"/>
        <v>0</v>
      </c>
      <c r="EG14" s="95"/>
      <c r="EI14" s="88" t="s">
        <v>434</v>
      </c>
      <c r="EJ14" s="88" t="s">
        <v>307</v>
      </c>
      <c r="EK14" s="88" t="s">
        <v>459</v>
      </c>
      <c r="EL14" s="88" t="s">
        <v>331</v>
      </c>
      <c r="EM14" s="88" t="s">
        <v>433</v>
      </c>
      <c r="EN14" s="88">
        <v>57186000</v>
      </c>
      <c r="EO14" s="88">
        <v>0</v>
      </c>
      <c r="EP14" s="88">
        <v>0</v>
      </c>
      <c r="EQ14" s="557">
        <f t="shared" si="27"/>
        <v>60788.717999999993</v>
      </c>
      <c r="ER14" s="557">
        <f t="shared" si="28"/>
        <v>0</v>
      </c>
      <c r="ES14" s="557">
        <f t="shared" si="29"/>
        <v>0</v>
      </c>
      <c r="EW14" s="534" t="s">
        <v>438</v>
      </c>
      <c r="EX14" s="534" t="s">
        <v>335</v>
      </c>
      <c r="EY14" s="534" t="s">
        <v>499</v>
      </c>
      <c r="EZ14" s="534" t="s">
        <v>632</v>
      </c>
      <c r="FA14" s="561" t="s">
        <v>433</v>
      </c>
      <c r="FB14" s="535">
        <v>540000000</v>
      </c>
      <c r="FC14" s="535">
        <v>0</v>
      </c>
      <c r="FD14" s="535">
        <v>0</v>
      </c>
      <c r="FE14" s="535">
        <f t="shared" si="30"/>
        <v>574020</v>
      </c>
      <c r="FF14" s="535">
        <f t="shared" si="31"/>
        <v>0</v>
      </c>
      <c r="FG14" s="535">
        <f t="shared" si="32"/>
        <v>0</v>
      </c>
      <c r="FK14" s="88" t="s">
        <v>434</v>
      </c>
      <c r="FL14" s="88" t="s">
        <v>307</v>
      </c>
      <c r="FM14" s="88" t="s">
        <v>459</v>
      </c>
      <c r="FN14" s="88" t="s">
        <v>331</v>
      </c>
      <c r="FO14" s="354" t="s">
        <v>433</v>
      </c>
      <c r="FP14" s="79">
        <v>57186000</v>
      </c>
      <c r="FQ14" s="79">
        <v>0</v>
      </c>
      <c r="FR14" s="79">
        <v>0</v>
      </c>
      <c r="FS14" s="535">
        <f t="shared" si="33"/>
        <v>60788.717999999993</v>
      </c>
      <c r="FT14" s="535">
        <f t="shared" si="34"/>
        <v>0</v>
      </c>
      <c r="FU14" s="535">
        <f t="shared" si="35"/>
        <v>0</v>
      </c>
      <c r="FY14" s="534" t="s">
        <v>534</v>
      </c>
      <c r="FZ14" s="536" t="s">
        <v>537</v>
      </c>
      <c r="GA14" s="536" t="s">
        <v>447</v>
      </c>
      <c r="GB14" s="536" t="s">
        <v>447</v>
      </c>
      <c r="GC14" s="561" t="s">
        <v>433</v>
      </c>
      <c r="GD14" s="535">
        <v>0</v>
      </c>
      <c r="GE14" s="660">
        <f t="shared" si="51"/>
        <v>0</v>
      </c>
      <c r="GI14" s="638" t="s">
        <v>434</v>
      </c>
      <c r="GJ14" s="638" t="s">
        <v>307</v>
      </c>
      <c r="GK14" s="350" t="s">
        <v>459</v>
      </c>
      <c r="GL14" s="638" t="s">
        <v>331</v>
      </c>
      <c r="GM14" s="638" t="s">
        <v>433</v>
      </c>
      <c r="GN14" s="669">
        <v>57186000</v>
      </c>
      <c r="GO14" s="669">
        <v>0</v>
      </c>
      <c r="GP14" s="669">
        <v>0</v>
      </c>
      <c r="GQ14" s="670">
        <f t="shared" si="36"/>
        <v>60788.717999999993</v>
      </c>
      <c r="GR14" s="670">
        <f t="shared" si="37"/>
        <v>0</v>
      </c>
      <c r="GS14" s="670">
        <f t="shared" si="38"/>
        <v>0</v>
      </c>
      <c r="GX14" s="624" t="s">
        <v>434</v>
      </c>
      <c r="GY14" s="536" t="s">
        <v>307</v>
      </c>
      <c r="GZ14" s="536" t="s">
        <v>447</v>
      </c>
      <c r="HA14" s="536" t="s">
        <v>447</v>
      </c>
      <c r="HB14" s="536" t="s">
        <v>433</v>
      </c>
      <c r="HC14" s="721">
        <v>0</v>
      </c>
      <c r="HD14" s="722">
        <f t="shared" si="39"/>
        <v>0</v>
      </c>
      <c r="HE14" s="80"/>
      <c r="HF14" s="80"/>
      <c r="HH14" s="725" t="s">
        <v>434</v>
      </c>
      <c r="HI14" s="725" t="s">
        <v>307</v>
      </c>
      <c r="HJ14" s="725" t="s">
        <v>459</v>
      </c>
      <c r="HK14" s="726" t="s">
        <v>331</v>
      </c>
      <c r="HL14" s="726" t="s">
        <v>433</v>
      </c>
      <c r="HM14" s="355">
        <v>57186000</v>
      </c>
      <c r="HN14" s="355">
        <v>0</v>
      </c>
      <c r="HO14" s="355">
        <v>0</v>
      </c>
      <c r="HP14" s="724">
        <f t="shared" si="40"/>
        <v>57186</v>
      </c>
      <c r="HQ14" s="724">
        <f t="shared" si="41"/>
        <v>0</v>
      </c>
      <c r="HR14" s="724">
        <f t="shared" si="42"/>
        <v>0</v>
      </c>
      <c r="HW14" s="726" t="s">
        <v>434</v>
      </c>
      <c r="HX14" s="726" t="s">
        <v>307</v>
      </c>
      <c r="HY14" s="726" t="s">
        <v>436</v>
      </c>
      <c r="HZ14" s="726" t="s">
        <v>339</v>
      </c>
      <c r="IA14" s="726" t="s">
        <v>433</v>
      </c>
      <c r="IB14" s="761">
        <v>0</v>
      </c>
      <c r="IC14" s="761">
        <v>12524970</v>
      </c>
      <c r="ID14" s="761">
        <v>12780000</v>
      </c>
      <c r="IE14" s="537">
        <f t="shared" si="43"/>
        <v>12780</v>
      </c>
      <c r="II14" s="350" t="s">
        <v>434</v>
      </c>
      <c r="IJ14" s="350" t="s">
        <v>307</v>
      </c>
      <c r="IK14" s="350" t="s">
        <v>436</v>
      </c>
      <c r="IL14" s="350" t="s">
        <v>339</v>
      </c>
      <c r="IM14" s="638" t="s">
        <v>433</v>
      </c>
      <c r="IN14" s="244">
        <v>200000000</v>
      </c>
      <c r="IO14" s="244">
        <v>0</v>
      </c>
      <c r="IP14" s="244">
        <v>0</v>
      </c>
      <c r="IQ14" s="756">
        <f t="shared" si="44"/>
        <v>200000</v>
      </c>
      <c r="IR14" s="756">
        <f t="shared" si="45"/>
        <v>0</v>
      </c>
      <c r="IS14" s="756">
        <f t="shared" si="46"/>
        <v>0</v>
      </c>
      <c r="IW14" s="536" t="s">
        <v>438</v>
      </c>
      <c r="IX14" s="536" t="s">
        <v>335</v>
      </c>
      <c r="IY14" s="536" t="s">
        <v>499</v>
      </c>
      <c r="IZ14" s="536" t="s">
        <v>632</v>
      </c>
      <c r="JA14" s="561" t="s">
        <v>433</v>
      </c>
      <c r="JB14" s="535">
        <v>1349400000</v>
      </c>
      <c r="JC14" s="756">
        <f t="shared" si="47"/>
        <v>1349400</v>
      </c>
      <c r="JG14" s="536" t="s">
        <v>434</v>
      </c>
      <c r="JH14" s="536" t="s">
        <v>307</v>
      </c>
      <c r="JI14" s="536" t="s">
        <v>435</v>
      </c>
      <c r="JJ14" s="536" t="s">
        <v>328</v>
      </c>
      <c r="JK14" s="536" t="s">
        <v>433</v>
      </c>
      <c r="JL14" s="79">
        <v>1750151642</v>
      </c>
      <c r="JM14" s="79">
        <v>0</v>
      </c>
      <c r="JN14" s="79">
        <v>0</v>
      </c>
      <c r="JO14" s="166">
        <f t="shared" si="48"/>
        <v>1750151.642</v>
      </c>
      <c r="JP14" s="166">
        <f t="shared" si="49"/>
        <v>0</v>
      </c>
      <c r="JQ14" s="166">
        <f t="shared" si="50"/>
        <v>0</v>
      </c>
    </row>
    <row r="15" spans="1:279" ht="15" customHeight="1" x14ac:dyDescent="0.25">
      <c r="A15" s="91" t="s">
        <v>434</v>
      </c>
      <c r="B15" s="91" t="s">
        <v>307</v>
      </c>
      <c r="C15" s="91" t="s">
        <v>459</v>
      </c>
      <c r="D15" s="91" t="s">
        <v>331</v>
      </c>
      <c r="E15" s="92">
        <v>0</v>
      </c>
      <c r="F15" s="92">
        <f t="shared" si="7"/>
        <v>0</v>
      </c>
      <c r="G15" s="92">
        <v>732921</v>
      </c>
      <c r="H15" s="92">
        <f t="shared" si="8"/>
        <v>779.09502299999997</v>
      </c>
      <c r="U15" s="89" t="s">
        <v>438</v>
      </c>
      <c r="V15" s="89" t="s">
        <v>335</v>
      </c>
      <c r="W15" s="89" t="s">
        <v>499</v>
      </c>
      <c r="X15" s="1228" t="s">
        <v>632</v>
      </c>
      <c r="Y15" s="90">
        <v>1000906000</v>
      </c>
      <c r="Z15" s="90">
        <f t="shared" si="9"/>
        <v>1063963.078</v>
      </c>
      <c r="AD15" s="89" t="s">
        <v>434</v>
      </c>
      <c r="AE15" s="89" t="s">
        <v>307</v>
      </c>
      <c r="AF15" s="89" t="s">
        <v>437</v>
      </c>
      <c r="AG15" s="89" t="s">
        <v>329</v>
      </c>
      <c r="AH15" s="90">
        <v>9692789</v>
      </c>
      <c r="AI15" s="90">
        <f t="shared" si="10"/>
        <v>10303.434707</v>
      </c>
      <c r="AJ15" s="90">
        <v>0</v>
      </c>
      <c r="AM15" s="166"/>
      <c r="AS15" s="78"/>
      <c r="AW15" s="89" t="s">
        <v>434</v>
      </c>
      <c r="AX15" s="89" t="s">
        <v>307</v>
      </c>
      <c r="AY15" s="89" t="s">
        <v>437</v>
      </c>
      <c r="AZ15" s="89" t="s">
        <v>329</v>
      </c>
      <c r="BA15" s="90">
        <v>122164211</v>
      </c>
      <c r="BB15" s="90">
        <v>0</v>
      </c>
      <c r="BC15" s="90">
        <v>0</v>
      </c>
      <c r="BD15" s="90">
        <f t="shared" si="1"/>
        <v>129860.55629299999</v>
      </c>
      <c r="BE15" s="90">
        <f t="shared" si="2"/>
        <v>0</v>
      </c>
      <c r="BF15" s="90">
        <f t="shared" si="3"/>
        <v>0</v>
      </c>
      <c r="BN15" s="74"/>
      <c r="BO15" s="74"/>
      <c r="BP15" s="74"/>
      <c r="BT15" s="86" t="s">
        <v>434</v>
      </c>
      <c r="BU15" s="86" t="s">
        <v>307</v>
      </c>
      <c r="BV15" s="86" t="s">
        <v>437</v>
      </c>
      <c r="BW15" s="86" t="s">
        <v>329</v>
      </c>
      <c r="BX15" s="296" t="s">
        <v>433</v>
      </c>
      <c r="BY15" s="87">
        <v>122164211</v>
      </c>
      <c r="BZ15" s="87">
        <v>0</v>
      </c>
      <c r="CA15" s="87">
        <v>0</v>
      </c>
      <c r="CB15" s="166">
        <f t="shared" si="12"/>
        <v>129860.55629299999</v>
      </c>
      <c r="CC15" s="166">
        <f t="shared" si="13"/>
        <v>0</v>
      </c>
      <c r="CD15" s="166">
        <f t="shared" si="14"/>
        <v>0</v>
      </c>
      <c r="CH15" s="86" t="s">
        <v>465</v>
      </c>
      <c r="CI15" s="86" t="s">
        <v>466</v>
      </c>
      <c r="CJ15" s="86" t="s">
        <v>447</v>
      </c>
      <c r="CK15" s="86" t="s">
        <v>447</v>
      </c>
      <c r="CL15" s="296" t="s">
        <v>433</v>
      </c>
      <c r="CM15" s="87">
        <v>0</v>
      </c>
      <c r="CN15" s="87">
        <v>0</v>
      </c>
      <c r="CO15" s="87">
        <v>3416431</v>
      </c>
      <c r="CP15" s="301">
        <f t="shared" si="15"/>
        <v>0</v>
      </c>
      <c r="CQ15" s="301">
        <f t="shared" si="16"/>
        <v>0</v>
      </c>
      <c r="CR15" s="301">
        <f t="shared" si="17"/>
        <v>3631.6661529999997</v>
      </c>
      <c r="CV15" s="88" t="s">
        <v>508</v>
      </c>
      <c r="CW15" s="88" t="s">
        <v>523</v>
      </c>
      <c r="CX15" s="88" t="s">
        <v>447</v>
      </c>
      <c r="CY15" s="88" t="s">
        <v>447</v>
      </c>
      <c r="CZ15" s="88">
        <v>0</v>
      </c>
      <c r="DA15" s="88">
        <v>0</v>
      </c>
      <c r="DB15" s="88">
        <v>0</v>
      </c>
      <c r="DC15" s="557">
        <f t="shared" si="18"/>
        <v>0</v>
      </c>
      <c r="DD15" s="557">
        <f t="shared" si="19"/>
        <v>0</v>
      </c>
      <c r="DE15" s="557">
        <f t="shared" si="20"/>
        <v>0</v>
      </c>
      <c r="DI15" s="307" t="s">
        <v>434</v>
      </c>
      <c r="DJ15" s="307" t="s">
        <v>307</v>
      </c>
      <c r="DK15" s="307" t="s">
        <v>437</v>
      </c>
      <c r="DL15" s="307" t="s">
        <v>329</v>
      </c>
      <c r="DM15" s="79">
        <v>9692789</v>
      </c>
      <c r="DN15" s="79">
        <v>0</v>
      </c>
      <c r="DO15" s="79">
        <v>0</v>
      </c>
      <c r="DP15" s="560">
        <f t="shared" si="21"/>
        <v>10303.434707</v>
      </c>
      <c r="DQ15" s="560">
        <f t="shared" si="22"/>
        <v>0</v>
      </c>
      <c r="DR15" s="560">
        <f t="shared" si="23"/>
        <v>0</v>
      </c>
      <c r="DV15" s="534" t="s">
        <v>438</v>
      </c>
      <c r="DW15" s="534" t="s">
        <v>335</v>
      </c>
      <c r="DX15" s="534" t="s">
        <v>447</v>
      </c>
      <c r="DY15" s="536" t="s">
        <v>447</v>
      </c>
      <c r="DZ15" s="561" t="s">
        <v>433</v>
      </c>
      <c r="EA15" s="535">
        <v>0</v>
      </c>
      <c r="EB15" s="535">
        <v>0</v>
      </c>
      <c r="EC15" s="535">
        <v>0</v>
      </c>
      <c r="ED15" s="535">
        <f t="shared" si="24"/>
        <v>0</v>
      </c>
      <c r="EE15" s="535">
        <f t="shared" si="25"/>
        <v>0</v>
      </c>
      <c r="EF15" s="535">
        <f t="shared" si="26"/>
        <v>0</v>
      </c>
      <c r="EG15" s="95"/>
      <c r="EI15" s="88" t="s">
        <v>434</v>
      </c>
      <c r="EJ15" s="88" t="s">
        <v>307</v>
      </c>
      <c r="EK15" s="88" t="s">
        <v>437</v>
      </c>
      <c r="EL15" s="88" t="s">
        <v>329</v>
      </c>
      <c r="EM15" s="88" t="s">
        <v>433</v>
      </c>
      <c r="EN15" s="88">
        <v>9692789</v>
      </c>
      <c r="EO15" s="88">
        <v>0</v>
      </c>
      <c r="EP15" s="88">
        <v>0</v>
      </c>
      <c r="EQ15" s="557">
        <f t="shared" si="27"/>
        <v>10303.434707</v>
      </c>
      <c r="ER15" s="557">
        <f t="shared" si="28"/>
        <v>0</v>
      </c>
      <c r="ES15" s="557">
        <f t="shared" si="29"/>
        <v>0</v>
      </c>
      <c r="EW15" s="534" t="s">
        <v>438</v>
      </c>
      <c r="EX15" s="534" t="s">
        <v>335</v>
      </c>
      <c r="EY15" s="534" t="s">
        <v>462</v>
      </c>
      <c r="EZ15" s="624" t="s">
        <v>633</v>
      </c>
      <c r="FA15" s="561" t="s">
        <v>433</v>
      </c>
      <c r="FB15" s="535">
        <v>110000000</v>
      </c>
      <c r="FC15" s="535">
        <v>0</v>
      </c>
      <c r="FD15" s="535">
        <v>0</v>
      </c>
      <c r="FE15" s="535">
        <f t="shared" si="30"/>
        <v>116930</v>
      </c>
      <c r="FF15" s="535">
        <f t="shared" si="31"/>
        <v>0</v>
      </c>
      <c r="FG15" s="535">
        <f t="shared" si="32"/>
        <v>0</v>
      </c>
      <c r="FK15" s="88" t="s">
        <v>434</v>
      </c>
      <c r="FL15" s="88" t="s">
        <v>307</v>
      </c>
      <c r="FM15" s="88" t="s">
        <v>437</v>
      </c>
      <c r="FN15" s="88" t="s">
        <v>329</v>
      </c>
      <c r="FO15" s="354" t="s">
        <v>433</v>
      </c>
      <c r="FP15" s="79">
        <v>9692789</v>
      </c>
      <c r="FQ15" s="79">
        <v>0</v>
      </c>
      <c r="FR15" s="79">
        <v>0</v>
      </c>
      <c r="FS15" s="535">
        <f t="shared" si="33"/>
        <v>10303.434707</v>
      </c>
      <c r="FT15" s="535">
        <f t="shared" si="34"/>
        <v>0</v>
      </c>
      <c r="FU15" s="535">
        <f t="shared" si="35"/>
        <v>0</v>
      </c>
      <c r="FY15" s="534" t="s">
        <v>672</v>
      </c>
      <c r="FZ15" s="536" t="s">
        <v>673</v>
      </c>
      <c r="GA15" s="536" t="s">
        <v>447</v>
      </c>
      <c r="GB15" s="536" t="s">
        <v>447</v>
      </c>
      <c r="GC15" s="561" t="s">
        <v>433</v>
      </c>
      <c r="GD15" s="535">
        <v>0</v>
      </c>
      <c r="GE15" s="660">
        <f t="shared" si="51"/>
        <v>0</v>
      </c>
      <c r="GI15" s="638" t="s">
        <v>434</v>
      </c>
      <c r="GJ15" s="638" t="s">
        <v>307</v>
      </c>
      <c r="GK15" s="350" t="s">
        <v>437</v>
      </c>
      <c r="GL15" s="638" t="s">
        <v>329</v>
      </c>
      <c r="GM15" s="638" t="s">
        <v>433</v>
      </c>
      <c r="GN15" s="669">
        <v>9692789</v>
      </c>
      <c r="GO15" s="669">
        <v>0</v>
      </c>
      <c r="GP15" s="669">
        <v>0</v>
      </c>
      <c r="GQ15" s="670">
        <f t="shared" si="36"/>
        <v>10303.434707</v>
      </c>
      <c r="GR15" s="670">
        <f t="shared" si="37"/>
        <v>0</v>
      </c>
      <c r="GS15" s="670">
        <f t="shared" si="38"/>
        <v>0</v>
      </c>
      <c r="GX15" s="624" t="s">
        <v>508</v>
      </c>
      <c r="GY15" s="536" t="s">
        <v>523</v>
      </c>
      <c r="GZ15" s="536" t="s">
        <v>447</v>
      </c>
      <c r="HA15" s="536" t="s">
        <v>447</v>
      </c>
      <c r="HB15" s="536" t="s">
        <v>433</v>
      </c>
      <c r="HC15" s="721">
        <v>0</v>
      </c>
      <c r="HD15" s="722">
        <f t="shared" si="39"/>
        <v>0</v>
      </c>
      <c r="HE15" s="80"/>
      <c r="HF15" s="80"/>
      <c r="HH15" s="725" t="s">
        <v>434</v>
      </c>
      <c r="HI15" s="725" t="s">
        <v>307</v>
      </c>
      <c r="HJ15" s="725" t="s">
        <v>437</v>
      </c>
      <c r="HK15" s="726" t="s">
        <v>329</v>
      </c>
      <c r="HL15" s="726" t="s">
        <v>433</v>
      </c>
      <c r="HM15" s="355">
        <v>9692789</v>
      </c>
      <c r="HN15" s="355">
        <v>0</v>
      </c>
      <c r="HO15" s="355">
        <v>0</v>
      </c>
      <c r="HP15" s="724">
        <f t="shared" si="40"/>
        <v>9692.7890000000007</v>
      </c>
      <c r="HQ15" s="724">
        <f t="shared" si="41"/>
        <v>0</v>
      </c>
      <c r="HR15" s="724">
        <f t="shared" si="42"/>
        <v>0</v>
      </c>
      <c r="HW15" s="726" t="s">
        <v>434</v>
      </c>
      <c r="HX15" s="726" t="s">
        <v>307</v>
      </c>
      <c r="HY15" s="726" t="s">
        <v>459</v>
      </c>
      <c r="HZ15" s="726" t="s">
        <v>331</v>
      </c>
      <c r="IA15" s="726" t="s">
        <v>433</v>
      </c>
      <c r="IB15" s="761">
        <v>0</v>
      </c>
      <c r="IC15" s="761">
        <v>544806</v>
      </c>
      <c r="ID15" s="761">
        <v>0</v>
      </c>
      <c r="IE15" s="537">
        <f t="shared" si="43"/>
        <v>0</v>
      </c>
      <c r="II15" s="350" t="s">
        <v>434</v>
      </c>
      <c r="IJ15" s="350" t="s">
        <v>307</v>
      </c>
      <c r="IK15" s="350" t="s">
        <v>437</v>
      </c>
      <c r="IL15" s="350" t="s">
        <v>329</v>
      </c>
      <c r="IM15" s="638" t="s">
        <v>433</v>
      </c>
      <c r="IN15" s="244">
        <v>120311211</v>
      </c>
      <c r="IO15" s="244">
        <v>0</v>
      </c>
      <c r="IP15" s="244">
        <v>0</v>
      </c>
      <c r="IQ15" s="756">
        <f t="shared" si="44"/>
        <v>120311.211</v>
      </c>
      <c r="IR15" s="756">
        <f t="shared" si="45"/>
        <v>0</v>
      </c>
      <c r="IS15" s="756">
        <f t="shared" si="46"/>
        <v>0</v>
      </c>
      <c r="IW15" s="536" t="s">
        <v>438</v>
      </c>
      <c r="IX15" s="536" t="s">
        <v>335</v>
      </c>
      <c r="IY15" s="536" t="s">
        <v>462</v>
      </c>
      <c r="IZ15" s="536" t="s">
        <v>633</v>
      </c>
      <c r="JA15" s="561" t="s">
        <v>433</v>
      </c>
      <c r="JB15" s="535">
        <v>15000000</v>
      </c>
      <c r="JC15" s="756">
        <f t="shared" si="47"/>
        <v>15000</v>
      </c>
      <c r="JG15" s="536" t="s">
        <v>434</v>
      </c>
      <c r="JH15" s="536" t="s">
        <v>307</v>
      </c>
      <c r="JI15" s="536" t="s">
        <v>436</v>
      </c>
      <c r="JJ15" s="536" t="s">
        <v>339</v>
      </c>
      <c r="JK15" s="536" t="s">
        <v>433</v>
      </c>
      <c r="JL15" s="79">
        <v>170265358</v>
      </c>
      <c r="JM15" s="79">
        <v>0</v>
      </c>
      <c r="JN15" s="79">
        <v>0</v>
      </c>
      <c r="JO15" s="166">
        <f t="shared" si="48"/>
        <v>170265.35800000001</v>
      </c>
      <c r="JP15" s="166">
        <f t="shared" si="49"/>
        <v>0</v>
      </c>
      <c r="JQ15" s="166">
        <f t="shared" si="50"/>
        <v>0</v>
      </c>
    </row>
    <row r="16" spans="1:279" ht="15" customHeight="1" x14ac:dyDescent="0.25">
      <c r="A16" s="91" t="s">
        <v>434</v>
      </c>
      <c r="B16" s="91" t="s">
        <v>307</v>
      </c>
      <c r="C16" s="91" t="s">
        <v>437</v>
      </c>
      <c r="D16" s="91" t="s">
        <v>329</v>
      </c>
      <c r="E16" s="92">
        <v>0</v>
      </c>
      <c r="F16" s="92">
        <f t="shared" si="7"/>
        <v>0</v>
      </c>
      <c r="G16" s="92">
        <v>0</v>
      </c>
      <c r="H16" s="92">
        <f t="shared" si="8"/>
        <v>0</v>
      </c>
      <c r="U16" s="89" t="s">
        <v>438</v>
      </c>
      <c r="V16" s="89" t="s">
        <v>335</v>
      </c>
      <c r="W16" s="89" t="s">
        <v>629</v>
      </c>
      <c r="X16" s="1228" t="s">
        <v>630</v>
      </c>
      <c r="Y16" s="90">
        <v>793000000</v>
      </c>
      <c r="Z16" s="90">
        <f t="shared" si="9"/>
        <v>842959</v>
      </c>
      <c r="AD16" s="89" t="s">
        <v>434</v>
      </c>
      <c r="AE16" s="89" t="s">
        <v>307</v>
      </c>
      <c r="AF16" s="89" t="s">
        <v>436</v>
      </c>
      <c r="AG16" s="89" t="s">
        <v>339</v>
      </c>
      <c r="AH16" s="90">
        <v>0</v>
      </c>
      <c r="AI16" s="90">
        <f t="shared" si="10"/>
        <v>0</v>
      </c>
      <c r="AJ16" s="90">
        <v>10474662</v>
      </c>
      <c r="AM16" s="166"/>
      <c r="AW16" s="89" t="s">
        <v>434</v>
      </c>
      <c r="AX16" s="89" t="s">
        <v>307</v>
      </c>
      <c r="AY16" s="89" t="s">
        <v>437</v>
      </c>
      <c r="AZ16" s="89" t="s">
        <v>329</v>
      </c>
      <c r="BA16" s="90">
        <v>9692789</v>
      </c>
      <c r="BB16" s="90">
        <v>0</v>
      </c>
      <c r="BC16" s="90">
        <v>0</v>
      </c>
      <c r="BD16" s="90">
        <f t="shared" si="1"/>
        <v>10303.434707</v>
      </c>
      <c r="BE16" s="90">
        <f t="shared" si="2"/>
        <v>0</v>
      </c>
      <c r="BF16" s="90">
        <f t="shared" si="3"/>
        <v>0</v>
      </c>
      <c r="BN16" s="74"/>
      <c r="BO16" s="74"/>
      <c r="BP16" s="74"/>
      <c r="BT16" s="86" t="s">
        <v>434</v>
      </c>
      <c r="BU16" s="86" t="s">
        <v>307</v>
      </c>
      <c r="BV16" s="86" t="s">
        <v>437</v>
      </c>
      <c r="BW16" s="86" t="s">
        <v>329</v>
      </c>
      <c r="BX16" s="296" t="s">
        <v>433</v>
      </c>
      <c r="BY16" s="87">
        <v>9692789</v>
      </c>
      <c r="BZ16" s="87">
        <v>0</v>
      </c>
      <c r="CA16" s="87">
        <v>0</v>
      </c>
      <c r="CB16" s="166">
        <f t="shared" si="12"/>
        <v>10303.434707</v>
      </c>
      <c r="CC16" s="166">
        <f t="shared" si="13"/>
        <v>0</v>
      </c>
      <c r="CD16" s="166">
        <f t="shared" si="14"/>
        <v>0</v>
      </c>
      <c r="CH16" s="86" t="s">
        <v>672</v>
      </c>
      <c r="CI16" s="86" t="s">
        <v>673</v>
      </c>
      <c r="CJ16" s="86" t="s">
        <v>447</v>
      </c>
      <c r="CK16" s="86" t="s">
        <v>447</v>
      </c>
      <c r="CL16" s="296" t="s">
        <v>433</v>
      </c>
      <c r="CM16" s="87">
        <v>0</v>
      </c>
      <c r="CN16" s="87">
        <v>0</v>
      </c>
      <c r="CO16" s="87">
        <v>3432000</v>
      </c>
      <c r="CP16" s="301">
        <f t="shared" si="15"/>
        <v>0</v>
      </c>
      <c r="CQ16" s="301">
        <f t="shared" si="16"/>
        <v>0</v>
      </c>
      <c r="CR16" s="301">
        <f t="shared" si="17"/>
        <v>3648.2159999999999</v>
      </c>
      <c r="CV16" s="88" t="s">
        <v>438</v>
      </c>
      <c r="CW16" s="88" t="s">
        <v>335</v>
      </c>
      <c r="CX16" s="88" t="s">
        <v>499</v>
      </c>
      <c r="CY16" s="88" t="s">
        <v>632</v>
      </c>
      <c r="CZ16" s="88">
        <v>773400000</v>
      </c>
      <c r="DA16" s="88">
        <v>0</v>
      </c>
      <c r="DB16" s="88">
        <v>0</v>
      </c>
      <c r="DC16" s="557">
        <f t="shared" si="18"/>
        <v>822124.2</v>
      </c>
      <c r="DD16" s="557">
        <f t="shared" si="19"/>
        <v>0</v>
      </c>
      <c r="DE16" s="557">
        <f t="shared" si="20"/>
        <v>0</v>
      </c>
      <c r="DI16" s="307" t="s">
        <v>434</v>
      </c>
      <c r="DJ16" s="307" t="s">
        <v>307</v>
      </c>
      <c r="DK16" s="307" t="s">
        <v>458</v>
      </c>
      <c r="DL16" s="307" t="s">
        <v>330</v>
      </c>
      <c r="DM16" s="79">
        <v>4000000</v>
      </c>
      <c r="DN16" s="79">
        <v>0</v>
      </c>
      <c r="DO16" s="79">
        <v>0</v>
      </c>
      <c r="DP16" s="560">
        <f t="shared" si="21"/>
        <v>4252</v>
      </c>
      <c r="DQ16" s="560">
        <f t="shared" si="22"/>
        <v>0</v>
      </c>
      <c r="DR16" s="560">
        <f t="shared" si="23"/>
        <v>0</v>
      </c>
      <c r="DV16" s="534" t="s">
        <v>438</v>
      </c>
      <c r="DW16" s="534" t="s">
        <v>335</v>
      </c>
      <c r="DX16" s="534" t="s">
        <v>629</v>
      </c>
      <c r="DY16" s="536" t="s">
        <v>630</v>
      </c>
      <c r="DZ16" s="561" t="s">
        <v>433</v>
      </c>
      <c r="EA16" s="535">
        <v>0</v>
      </c>
      <c r="EB16" s="535">
        <v>0</v>
      </c>
      <c r="EC16" s="535">
        <v>75150000</v>
      </c>
      <c r="ED16" s="535">
        <f t="shared" si="24"/>
        <v>0</v>
      </c>
      <c r="EE16" s="535">
        <f t="shared" si="25"/>
        <v>0</v>
      </c>
      <c r="EF16" s="535">
        <f t="shared" si="26"/>
        <v>79884.45</v>
      </c>
      <c r="EG16" s="95"/>
      <c r="EI16" s="88" t="s">
        <v>434</v>
      </c>
      <c r="EJ16" s="88" t="s">
        <v>307</v>
      </c>
      <c r="EK16" s="88" t="s">
        <v>458</v>
      </c>
      <c r="EL16" s="88" t="s">
        <v>330</v>
      </c>
      <c r="EM16" s="88" t="s">
        <v>433</v>
      </c>
      <c r="EN16" s="88">
        <v>4000000</v>
      </c>
      <c r="EO16" s="88">
        <v>0</v>
      </c>
      <c r="EP16" s="88">
        <v>0</v>
      </c>
      <c r="EQ16" s="557">
        <f t="shared" si="27"/>
        <v>4252</v>
      </c>
      <c r="ER16" s="557">
        <f t="shared" si="28"/>
        <v>0</v>
      </c>
      <c r="ES16" s="557">
        <f t="shared" si="29"/>
        <v>0</v>
      </c>
      <c r="EW16" s="534" t="s">
        <v>438</v>
      </c>
      <c r="EX16" s="534" t="s">
        <v>335</v>
      </c>
      <c r="EY16" s="534" t="s">
        <v>447</v>
      </c>
      <c r="EZ16" s="534" t="s">
        <v>447</v>
      </c>
      <c r="FA16" s="561" t="s">
        <v>433</v>
      </c>
      <c r="FB16" s="535">
        <v>0</v>
      </c>
      <c r="FC16" s="535">
        <v>0</v>
      </c>
      <c r="FD16" s="535">
        <v>0</v>
      </c>
      <c r="FE16" s="535">
        <f t="shared" si="30"/>
        <v>0</v>
      </c>
      <c r="FF16" s="535">
        <f t="shared" si="31"/>
        <v>0</v>
      </c>
      <c r="FG16" s="535">
        <f t="shared" si="32"/>
        <v>0</v>
      </c>
      <c r="FK16" s="88" t="s">
        <v>434</v>
      </c>
      <c r="FL16" s="88" t="s">
        <v>307</v>
      </c>
      <c r="FM16" s="88" t="s">
        <v>458</v>
      </c>
      <c r="FN16" s="88" t="s">
        <v>330</v>
      </c>
      <c r="FO16" s="354" t="s">
        <v>433</v>
      </c>
      <c r="FP16" s="79">
        <v>4000000</v>
      </c>
      <c r="FQ16" s="79">
        <v>0</v>
      </c>
      <c r="FR16" s="79">
        <v>0</v>
      </c>
      <c r="FS16" s="535">
        <f t="shared" si="33"/>
        <v>4252</v>
      </c>
      <c r="FT16" s="535">
        <f t="shared" si="34"/>
        <v>0</v>
      </c>
      <c r="FU16" s="535">
        <f t="shared" si="35"/>
        <v>0</v>
      </c>
      <c r="FY16" s="534" t="s">
        <v>674</v>
      </c>
      <c r="FZ16" s="536" t="s">
        <v>675</v>
      </c>
      <c r="GA16" s="536" t="s">
        <v>447</v>
      </c>
      <c r="GB16" s="536" t="s">
        <v>447</v>
      </c>
      <c r="GC16" s="561" t="s">
        <v>433</v>
      </c>
      <c r="GD16" s="535">
        <v>0</v>
      </c>
      <c r="GE16" s="660">
        <f t="shared" si="51"/>
        <v>0</v>
      </c>
      <c r="GI16" s="638" t="s">
        <v>434</v>
      </c>
      <c r="GJ16" s="638" t="s">
        <v>307</v>
      </c>
      <c r="GK16" s="350" t="s">
        <v>458</v>
      </c>
      <c r="GL16" s="638" t="s">
        <v>330</v>
      </c>
      <c r="GM16" s="638" t="s">
        <v>433</v>
      </c>
      <c r="GN16" s="669">
        <v>4000000</v>
      </c>
      <c r="GO16" s="669">
        <v>0</v>
      </c>
      <c r="GP16" s="669">
        <v>0</v>
      </c>
      <c r="GQ16" s="670">
        <f t="shared" si="36"/>
        <v>4252</v>
      </c>
      <c r="GR16" s="670">
        <f t="shared" si="37"/>
        <v>0</v>
      </c>
      <c r="GS16" s="670">
        <f t="shared" si="38"/>
        <v>0</v>
      </c>
      <c r="GX16" s="624" t="s">
        <v>460</v>
      </c>
      <c r="GY16" s="536" t="s">
        <v>461</v>
      </c>
      <c r="GZ16" s="536" t="s">
        <v>447</v>
      </c>
      <c r="HA16" s="536" t="s">
        <v>447</v>
      </c>
      <c r="HB16" s="536" t="s">
        <v>433</v>
      </c>
      <c r="HC16" s="721">
        <v>0</v>
      </c>
      <c r="HD16" s="722">
        <f t="shared" si="39"/>
        <v>0</v>
      </c>
      <c r="HE16" s="80"/>
      <c r="HF16" s="80"/>
      <c r="HH16" s="725" t="s">
        <v>434</v>
      </c>
      <c r="HI16" s="725" t="s">
        <v>307</v>
      </c>
      <c r="HJ16" s="725" t="s">
        <v>458</v>
      </c>
      <c r="HK16" s="726" t="s">
        <v>330</v>
      </c>
      <c r="HL16" s="726" t="s">
        <v>433</v>
      </c>
      <c r="HM16" s="355">
        <v>4000000</v>
      </c>
      <c r="HN16" s="355">
        <v>0</v>
      </c>
      <c r="HO16" s="355">
        <v>0</v>
      </c>
      <c r="HP16" s="724">
        <f t="shared" si="40"/>
        <v>4000</v>
      </c>
      <c r="HQ16" s="724">
        <f t="shared" si="41"/>
        <v>0</v>
      </c>
      <c r="HR16" s="724">
        <f t="shared" si="42"/>
        <v>0</v>
      </c>
      <c r="HW16" s="726" t="s">
        <v>434</v>
      </c>
      <c r="HX16" s="726" t="s">
        <v>307</v>
      </c>
      <c r="HY16" s="726" t="s">
        <v>435</v>
      </c>
      <c r="HZ16" s="726" t="s">
        <v>328</v>
      </c>
      <c r="IA16" s="726" t="s">
        <v>433</v>
      </c>
      <c r="IB16" s="761">
        <v>0</v>
      </c>
      <c r="IC16" s="761">
        <v>31019360</v>
      </c>
      <c r="ID16" s="761">
        <v>280280678</v>
      </c>
      <c r="IE16" s="537">
        <f t="shared" si="43"/>
        <v>280280.67800000001</v>
      </c>
      <c r="II16" s="350" t="s">
        <v>434</v>
      </c>
      <c r="IJ16" s="350" t="s">
        <v>307</v>
      </c>
      <c r="IK16" s="350" t="s">
        <v>459</v>
      </c>
      <c r="IL16" s="350" t="s">
        <v>331</v>
      </c>
      <c r="IM16" s="638" t="s">
        <v>433</v>
      </c>
      <c r="IN16" s="244">
        <v>57186000</v>
      </c>
      <c r="IO16" s="244">
        <v>0</v>
      </c>
      <c r="IP16" s="244">
        <v>0</v>
      </c>
      <c r="IQ16" s="756">
        <f t="shared" si="44"/>
        <v>57186</v>
      </c>
      <c r="IR16" s="756">
        <f t="shared" si="45"/>
        <v>0</v>
      </c>
      <c r="IS16" s="756">
        <f t="shared" si="46"/>
        <v>0</v>
      </c>
      <c r="IW16" s="536" t="s">
        <v>463</v>
      </c>
      <c r="IX16" s="536" t="s">
        <v>464</v>
      </c>
      <c r="IY16" s="536" t="s">
        <v>447</v>
      </c>
      <c r="IZ16" s="536" t="s">
        <v>447</v>
      </c>
      <c r="JA16" s="561" t="s">
        <v>433</v>
      </c>
      <c r="JB16" s="535">
        <v>239870686</v>
      </c>
      <c r="JC16" s="756">
        <f t="shared" si="47"/>
        <v>239870.68599999999</v>
      </c>
      <c r="JG16" s="536" t="s">
        <v>434</v>
      </c>
      <c r="JH16" s="536" t="s">
        <v>307</v>
      </c>
      <c r="JI16" s="536" t="s">
        <v>437</v>
      </c>
      <c r="JJ16" s="536" t="s">
        <v>329</v>
      </c>
      <c r="JK16" s="536" t="s">
        <v>433</v>
      </c>
      <c r="JL16" s="79">
        <v>120311211</v>
      </c>
      <c r="JM16" s="79">
        <v>0</v>
      </c>
      <c r="JN16" s="79">
        <v>0</v>
      </c>
      <c r="JO16" s="166">
        <f t="shared" si="48"/>
        <v>120311.211</v>
      </c>
      <c r="JP16" s="166">
        <f t="shared" si="49"/>
        <v>0</v>
      </c>
      <c r="JQ16" s="166">
        <f t="shared" si="50"/>
        <v>0</v>
      </c>
    </row>
    <row r="17" spans="1:277" ht="15" customHeight="1" x14ac:dyDescent="0.25">
      <c r="A17" s="91" t="s">
        <v>434</v>
      </c>
      <c r="B17" s="91" t="s">
        <v>307</v>
      </c>
      <c r="C17" s="91" t="s">
        <v>437</v>
      </c>
      <c r="D17" s="91" t="s">
        <v>329</v>
      </c>
      <c r="E17" s="92">
        <v>0</v>
      </c>
      <c r="F17" s="92">
        <f t="shared" si="7"/>
        <v>0</v>
      </c>
      <c r="G17" s="92">
        <v>9692789</v>
      </c>
      <c r="H17" s="92">
        <f t="shared" si="8"/>
        <v>10303.434707</v>
      </c>
      <c r="U17" s="89" t="s">
        <v>438</v>
      </c>
      <c r="V17" s="89" t="s">
        <v>335</v>
      </c>
      <c r="W17" s="89" t="s">
        <v>488</v>
      </c>
      <c r="X17" s="1228" t="s">
        <v>631</v>
      </c>
      <c r="Y17" s="90">
        <v>310000000</v>
      </c>
      <c r="Z17" s="90">
        <f t="shared" si="9"/>
        <v>329530</v>
      </c>
      <c r="AD17" s="89" t="s">
        <v>434</v>
      </c>
      <c r="AE17" s="89" t="s">
        <v>307</v>
      </c>
      <c r="AF17" s="89" t="s">
        <v>459</v>
      </c>
      <c r="AG17" s="89" t="s">
        <v>331</v>
      </c>
      <c r="AH17" s="90">
        <v>0</v>
      </c>
      <c r="AI17" s="90">
        <f t="shared" si="10"/>
        <v>0</v>
      </c>
      <c r="AJ17" s="90">
        <v>2982921</v>
      </c>
      <c r="AM17" s="166"/>
      <c r="AW17" s="89" t="s">
        <v>434</v>
      </c>
      <c r="AX17" s="89" t="s">
        <v>307</v>
      </c>
      <c r="AY17" s="89" t="s">
        <v>437</v>
      </c>
      <c r="AZ17" s="89" t="s">
        <v>329</v>
      </c>
      <c r="BA17" s="90">
        <v>0</v>
      </c>
      <c r="BB17" s="90">
        <v>107184329</v>
      </c>
      <c r="BC17" s="90">
        <v>29078367</v>
      </c>
      <c r="BD17" s="90">
        <f t="shared" si="1"/>
        <v>0</v>
      </c>
      <c r="BE17" s="90">
        <f t="shared" si="2"/>
        <v>113936.941727</v>
      </c>
      <c r="BF17" s="90">
        <f t="shared" si="3"/>
        <v>30910.304120999997</v>
      </c>
      <c r="BN17" s="74"/>
      <c r="BO17" s="74"/>
      <c r="BP17" s="74"/>
      <c r="BT17" s="86" t="s">
        <v>434</v>
      </c>
      <c r="BU17" s="86" t="s">
        <v>307</v>
      </c>
      <c r="BV17" s="86" t="s">
        <v>437</v>
      </c>
      <c r="BW17" s="86" t="s">
        <v>329</v>
      </c>
      <c r="BX17" s="296" t="s">
        <v>433</v>
      </c>
      <c r="BY17" s="87">
        <v>0</v>
      </c>
      <c r="BZ17" s="87">
        <v>67715191</v>
      </c>
      <c r="CA17" s="87">
        <v>37875321</v>
      </c>
      <c r="CB17" s="166">
        <f t="shared" si="12"/>
        <v>0</v>
      </c>
      <c r="CC17" s="166">
        <f t="shared" si="13"/>
        <v>71981.248032999996</v>
      </c>
      <c r="CD17" s="166">
        <f t="shared" si="14"/>
        <v>40261.466223000003</v>
      </c>
      <c r="CV17" s="88" t="s">
        <v>438</v>
      </c>
      <c r="CW17" s="88" t="s">
        <v>335</v>
      </c>
      <c r="CX17" s="88" t="s">
        <v>499</v>
      </c>
      <c r="CY17" s="88" t="s">
        <v>632</v>
      </c>
      <c r="CZ17" s="88">
        <v>0</v>
      </c>
      <c r="DA17" s="88">
        <v>48600000</v>
      </c>
      <c r="DB17" s="88">
        <v>0</v>
      </c>
      <c r="DC17" s="557">
        <f t="shared" si="18"/>
        <v>0</v>
      </c>
      <c r="DD17" s="557">
        <f t="shared" si="19"/>
        <v>51661.799999999996</v>
      </c>
      <c r="DE17" s="557">
        <f t="shared" si="20"/>
        <v>0</v>
      </c>
      <c r="DI17" s="307" t="s">
        <v>434</v>
      </c>
      <c r="DJ17" s="307" t="s">
        <v>307</v>
      </c>
      <c r="DK17" s="307" t="s">
        <v>437</v>
      </c>
      <c r="DL17" s="307" t="s">
        <v>329</v>
      </c>
      <c r="DM17" s="79">
        <v>0</v>
      </c>
      <c r="DN17" s="79">
        <v>9692789</v>
      </c>
      <c r="DO17" s="79">
        <v>9692789</v>
      </c>
      <c r="DP17" s="560">
        <f t="shared" si="21"/>
        <v>0</v>
      </c>
      <c r="DQ17" s="560">
        <f t="shared" si="22"/>
        <v>10303.434707</v>
      </c>
      <c r="DR17" s="560">
        <f t="shared" si="23"/>
        <v>10303.434707</v>
      </c>
      <c r="DV17" s="534" t="s">
        <v>438</v>
      </c>
      <c r="DW17" s="534" t="s">
        <v>335</v>
      </c>
      <c r="DX17" s="534" t="s">
        <v>447</v>
      </c>
      <c r="DY17" s="536" t="s">
        <v>447</v>
      </c>
      <c r="DZ17" s="561" t="s">
        <v>433</v>
      </c>
      <c r="EA17" s="535">
        <v>0</v>
      </c>
      <c r="EB17" s="535">
        <v>0</v>
      </c>
      <c r="EC17" s="535">
        <v>0</v>
      </c>
      <c r="ED17" s="535">
        <f t="shared" si="24"/>
        <v>0</v>
      </c>
      <c r="EE17" s="535">
        <f t="shared" si="25"/>
        <v>0</v>
      </c>
      <c r="EF17" s="535">
        <f t="shared" si="26"/>
        <v>0</v>
      </c>
      <c r="EG17" s="95"/>
      <c r="EI17" s="88" t="s">
        <v>434</v>
      </c>
      <c r="EJ17" s="88" t="s">
        <v>307</v>
      </c>
      <c r="EK17" s="88" t="s">
        <v>447</v>
      </c>
      <c r="EL17" s="88" t="s">
        <v>447</v>
      </c>
      <c r="EM17" s="88" t="s">
        <v>433</v>
      </c>
      <c r="EN17" s="88">
        <v>0</v>
      </c>
      <c r="EO17" s="88">
        <v>0</v>
      </c>
      <c r="EP17" s="88">
        <v>0</v>
      </c>
      <c r="EQ17" s="557">
        <f t="shared" si="27"/>
        <v>0</v>
      </c>
      <c r="ER17" s="557">
        <f t="shared" si="28"/>
        <v>0</v>
      </c>
      <c r="ES17" s="557">
        <f t="shared" si="29"/>
        <v>0</v>
      </c>
      <c r="EW17" s="534" t="s">
        <v>438</v>
      </c>
      <c r="EX17" s="534" t="s">
        <v>335</v>
      </c>
      <c r="EY17" s="534" t="s">
        <v>447</v>
      </c>
      <c r="EZ17" s="534" t="s">
        <v>447</v>
      </c>
      <c r="FA17" s="561" t="s">
        <v>433</v>
      </c>
      <c r="FB17" s="535">
        <v>0</v>
      </c>
      <c r="FC17" s="535">
        <v>0</v>
      </c>
      <c r="FD17" s="535">
        <v>0</v>
      </c>
      <c r="FE17" s="535">
        <f t="shared" si="30"/>
        <v>0</v>
      </c>
      <c r="FF17" s="535">
        <f t="shared" si="31"/>
        <v>0</v>
      </c>
      <c r="FG17" s="535">
        <f t="shared" si="32"/>
        <v>0</v>
      </c>
      <c r="FK17" s="88" t="s">
        <v>434</v>
      </c>
      <c r="FL17" s="88" t="s">
        <v>307</v>
      </c>
      <c r="FM17" s="88" t="s">
        <v>459</v>
      </c>
      <c r="FN17" s="88" t="s">
        <v>331</v>
      </c>
      <c r="FO17" s="354" t="s">
        <v>433</v>
      </c>
      <c r="FP17" s="79">
        <v>0</v>
      </c>
      <c r="FQ17" s="79">
        <v>23232921</v>
      </c>
      <c r="FR17" s="79">
        <v>11982921</v>
      </c>
      <c r="FS17" s="535">
        <f t="shared" si="33"/>
        <v>0</v>
      </c>
      <c r="FT17" s="535">
        <f t="shared" si="34"/>
        <v>24696.595022999998</v>
      </c>
      <c r="FU17" s="535">
        <f t="shared" si="35"/>
        <v>12737.845023</v>
      </c>
      <c r="GE17" s="283">
        <f>SUM(GE3:GE16)</f>
        <v>511349.48711599997</v>
      </c>
      <c r="GI17" s="638" t="s">
        <v>434</v>
      </c>
      <c r="GJ17" s="638" t="s">
        <v>307</v>
      </c>
      <c r="GK17" s="350" t="s">
        <v>447</v>
      </c>
      <c r="GL17" s="638" t="s">
        <v>447</v>
      </c>
      <c r="GM17" s="638" t="s">
        <v>433</v>
      </c>
      <c r="GN17" s="669">
        <v>0</v>
      </c>
      <c r="GO17" s="669">
        <v>0</v>
      </c>
      <c r="GP17" s="669">
        <v>0</v>
      </c>
      <c r="GQ17" s="670">
        <f t="shared" si="36"/>
        <v>0</v>
      </c>
      <c r="GR17" s="670">
        <f t="shared" si="37"/>
        <v>0</v>
      </c>
      <c r="GS17" s="670">
        <f t="shared" si="38"/>
        <v>0</v>
      </c>
      <c r="GX17" s="624" t="s">
        <v>438</v>
      </c>
      <c r="GY17" s="536" t="s">
        <v>335</v>
      </c>
      <c r="GZ17" s="536" t="s">
        <v>629</v>
      </c>
      <c r="HA17" s="536" t="s">
        <v>630</v>
      </c>
      <c r="HB17" s="536" t="s">
        <v>433</v>
      </c>
      <c r="HC17" s="721">
        <v>0</v>
      </c>
      <c r="HD17" s="722">
        <f t="shared" si="39"/>
        <v>0</v>
      </c>
      <c r="HE17" s="80"/>
      <c r="HF17" s="80"/>
      <c r="HH17" s="725" t="s">
        <v>434</v>
      </c>
      <c r="HI17" s="725" t="s">
        <v>307</v>
      </c>
      <c r="HJ17" s="725" t="s">
        <v>437</v>
      </c>
      <c r="HK17" s="726" t="s">
        <v>329</v>
      </c>
      <c r="HL17" s="726" t="s">
        <v>433</v>
      </c>
      <c r="HM17" s="355">
        <v>0</v>
      </c>
      <c r="HN17" s="355">
        <v>9692789</v>
      </c>
      <c r="HO17" s="355">
        <v>9692789</v>
      </c>
      <c r="HP17" s="724">
        <f t="shared" si="40"/>
        <v>0</v>
      </c>
      <c r="HQ17" s="724">
        <f t="shared" si="41"/>
        <v>9692.7890000000007</v>
      </c>
      <c r="HR17" s="724">
        <f t="shared" si="42"/>
        <v>9692.7890000000007</v>
      </c>
      <c r="HW17" s="726" t="s">
        <v>434</v>
      </c>
      <c r="HX17" s="726" t="s">
        <v>307</v>
      </c>
      <c r="HY17" s="726" t="s">
        <v>437</v>
      </c>
      <c r="HZ17" s="726" t="s">
        <v>329</v>
      </c>
      <c r="IA17" s="726" t="s">
        <v>433</v>
      </c>
      <c r="IB17" s="761">
        <v>0</v>
      </c>
      <c r="IC17" s="761">
        <v>0</v>
      </c>
      <c r="ID17" s="761">
        <v>9663844</v>
      </c>
      <c r="IE17" s="537">
        <f t="shared" si="43"/>
        <v>9663.8439999999991</v>
      </c>
      <c r="II17" s="350" t="s">
        <v>434</v>
      </c>
      <c r="IJ17" s="350" t="s">
        <v>307</v>
      </c>
      <c r="IK17" s="350" t="s">
        <v>437</v>
      </c>
      <c r="IL17" s="350" t="s">
        <v>329</v>
      </c>
      <c r="IM17" s="638" t="s">
        <v>433</v>
      </c>
      <c r="IN17" s="244">
        <v>9692789</v>
      </c>
      <c r="IO17" s="244">
        <v>0</v>
      </c>
      <c r="IP17" s="244">
        <v>0</v>
      </c>
      <c r="IQ17" s="756">
        <f t="shared" si="44"/>
        <v>9692.7890000000007</v>
      </c>
      <c r="IR17" s="756">
        <f t="shared" si="45"/>
        <v>0</v>
      </c>
      <c r="IS17" s="756">
        <f t="shared" si="46"/>
        <v>0</v>
      </c>
      <c r="IW17" s="536" t="s">
        <v>465</v>
      </c>
      <c r="IX17" s="536" t="s">
        <v>466</v>
      </c>
      <c r="IY17" s="536" t="s">
        <v>447</v>
      </c>
      <c r="IZ17" s="536" t="s">
        <v>447</v>
      </c>
      <c r="JA17" s="561" t="s">
        <v>433</v>
      </c>
      <c r="JB17" s="535">
        <v>9937316</v>
      </c>
      <c r="JC17" s="756">
        <f t="shared" si="47"/>
        <v>9937.3160000000007</v>
      </c>
      <c r="JG17" s="536" t="s">
        <v>434</v>
      </c>
      <c r="JH17" s="536" t="s">
        <v>307</v>
      </c>
      <c r="JI17" s="536" t="s">
        <v>459</v>
      </c>
      <c r="JJ17" s="536" t="s">
        <v>331</v>
      </c>
      <c r="JK17" s="536" t="s">
        <v>433</v>
      </c>
      <c r="JL17" s="79">
        <v>57186000</v>
      </c>
      <c r="JM17" s="79">
        <v>0</v>
      </c>
      <c r="JN17" s="79">
        <v>0</v>
      </c>
      <c r="JO17" s="166">
        <f t="shared" si="48"/>
        <v>57186</v>
      </c>
      <c r="JP17" s="166">
        <f t="shared" si="49"/>
        <v>0</v>
      </c>
      <c r="JQ17" s="166">
        <f t="shared" si="50"/>
        <v>0</v>
      </c>
    </row>
    <row r="18" spans="1:277" ht="15" customHeight="1" x14ac:dyDescent="0.25">
      <c r="A18" s="91" t="s">
        <v>508</v>
      </c>
      <c r="B18" s="91" t="s">
        <v>523</v>
      </c>
      <c r="C18" s="91" t="s">
        <v>447</v>
      </c>
      <c r="D18" s="91" t="s">
        <v>447</v>
      </c>
      <c r="E18" s="92">
        <v>90486000</v>
      </c>
      <c r="F18" s="92">
        <f t="shared" si="7"/>
        <v>96186.618000000002</v>
      </c>
      <c r="G18" s="92">
        <v>0</v>
      </c>
      <c r="H18" s="92">
        <f t="shared" si="8"/>
        <v>0</v>
      </c>
      <c r="U18" s="89" t="s">
        <v>438</v>
      </c>
      <c r="V18" s="89" t="s">
        <v>335</v>
      </c>
      <c r="W18" s="89" t="s">
        <v>462</v>
      </c>
      <c r="X18" s="1228" t="s">
        <v>633</v>
      </c>
      <c r="Y18" s="90">
        <v>160000000</v>
      </c>
      <c r="Z18" s="90">
        <f t="shared" si="9"/>
        <v>170080</v>
      </c>
      <c r="AD18" s="89" t="s">
        <v>434</v>
      </c>
      <c r="AE18" s="89" t="s">
        <v>307</v>
      </c>
      <c r="AF18" s="89" t="s">
        <v>437</v>
      </c>
      <c r="AG18" s="89" t="s">
        <v>329</v>
      </c>
      <c r="AH18" s="90">
        <v>0</v>
      </c>
      <c r="AI18" s="90">
        <f t="shared" si="10"/>
        <v>0</v>
      </c>
      <c r="AJ18" s="90">
        <v>19385578</v>
      </c>
      <c r="AM18" s="166"/>
      <c r="AW18" s="89" t="s">
        <v>434</v>
      </c>
      <c r="AX18" s="89" t="s">
        <v>307</v>
      </c>
      <c r="AY18" s="89" t="s">
        <v>437</v>
      </c>
      <c r="AZ18" s="89" t="s">
        <v>329</v>
      </c>
      <c r="BA18" s="90">
        <v>0</v>
      </c>
      <c r="BB18" s="90">
        <v>9692789</v>
      </c>
      <c r="BC18" s="90">
        <v>9692789</v>
      </c>
      <c r="BD18" s="90">
        <f t="shared" si="1"/>
        <v>0</v>
      </c>
      <c r="BE18" s="90">
        <f t="shared" si="2"/>
        <v>10303.434707</v>
      </c>
      <c r="BF18" s="90">
        <f t="shared" si="3"/>
        <v>10303.434707</v>
      </c>
      <c r="BN18" s="74"/>
      <c r="BO18" s="74"/>
      <c r="BP18" s="74"/>
      <c r="BT18" s="86" t="s">
        <v>434</v>
      </c>
      <c r="BU18" s="86" t="s">
        <v>307</v>
      </c>
      <c r="BV18" s="86" t="s">
        <v>437</v>
      </c>
      <c r="BW18" s="86" t="s">
        <v>329</v>
      </c>
      <c r="BX18" s="296" t="s">
        <v>433</v>
      </c>
      <c r="BY18" s="87">
        <v>0</v>
      </c>
      <c r="BZ18" s="87">
        <v>9692789</v>
      </c>
      <c r="CA18" s="87">
        <v>9692789</v>
      </c>
      <c r="CB18" s="166">
        <f t="shared" si="12"/>
        <v>0</v>
      </c>
      <c r="CC18" s="166">
        <f t="shared" si="13"/>
        <v>10303.434707</v>
      </c>
      <c r="CD18" s="166">
        <f t="shared" si="14"/>
        <v>10303.434707</v>
      </c>
      <c r="CV18" s="88" t="s">
        <v>438</v>
      </c>
      <c r="CW18" s="88" t="s">
        <v>335</v>
      </c>
      <c r="CX18" s="88" t="s">
        <v>439</v>
      </c>
      <c r="CY18" s="88" t="s">
        <v>492</v>
      </c>
      <c r="CZ18" s="88">
        <v>0</v>
      </c>
      <c r="DA18" s="88">
        <v>120000000</v>
      </c>
      <c r="DB18" s="88">
        <v>96000000</v>
      </c>
      <c r="DC18" s="557">
        <f t="shared" si="18"/>
        <v>0</v>
      </c>
      <c r="DD18" s="557">
        <f t="shared" si="19"/>
        <v>127560</v>
      </c>
      <c r="DE18" s="557">
        <f t="shared" si="20"/>
        <v>102048</v>
      </c>
      <c r="DI18" s="307" t="s">
        <v>434</v>
      </c>
      <c r="DJ18" s="307" t="s">
        <v>307</v>
      </c>
      <c r="DK18" s="307" t="s">
        <v>447</v>
      </c>
      <c r="DL18" s="307" t="s">
        <v>447</v>
      </c>
      <c r="DM18" s="79">
        <v>0</v>
      </c>
      <c r="DN18" s="79">
        <v>0</v>
      </c>
      <c r="DO18" s="79">
        <v>0</v>
      </c>
      <c r="DP18" s="560">
        <f t="shared" si="21"/>
        <v>0</v>
      </c>
      <c r="DQ18" s="560">
        <f t="shared" si="22"/>
        <v>0</v>
      </c>
      <c r="DR18" s="560">
        <f t="shared" si="23"/>
        <v>0</v>
      </c>
      <c r="DV18" s="534" t="s">
        <v>438</v>
      </c>
      <c r="DW18" s="534" t="s">
        <v>335</v>
      </c>
      <c r="DX18" s="534" t="s">
        <v>439</v>
      </c>
      <c r="DY18" s="536" t="s">
        <v>492</v>
      </c>
      <c r="DZ18" s="561" t="s">
        <v>433</v>
      </c>
      <c r="EA18" s="535">
        <v>0</v>
      </c>
      <c r="EB18" s="535">
        <v>0</v>
      </c>
      <c r="EC18" s="535">
        <v>24000000</v>
      </c>
      <c r="ED18" s="535">
        <f t="shared" si="24"/>
        <v>0</v>
      </c>
      <c r="EE18" s="535">
        <f t="shared" si="25"/>
        <v>0</v>
      </c>
      <c r="EF18" s="535">
        <f t="shared" si="26"/>
        <v>25512</v>
      </c>
      <c r="EG18" s="95"/>
      <c r="EI18" s="88" t="s">
        <v>434</v>
      </c>
      <c r="EJ18" s="88" t="s">
        <v>307</v>
      </c>
      <c r="EK18" s="88" t="s">
        <v>437</v>
      </c>
      <c r="EL18" s="88" t="s">
        <v>329</v>
      </c>
      <c r="EM18" s="88" t="s">
        <v>433</v>
      </c>
      <c r="EN18" s="88">
        <v>0</v>
      </c>
      <c r="EO18" s="88">
        <v>9692789</v>
      </c>
      <c r="EP18" s="88">
        <v>9692789</v>
      </c>
      <c r="EQ18" s="557">
        <f t="shared" si="27"/>
        <v>0</v>
      </c>
      <c r="ER18" s="557">
        <f t="shared" si="28"/>
        <v>10303.434707</v>
      </c>
      <c r="ES18" s="557">
        <f t="shared" si="29"/>
        <v>10303.434707</v>
      </c>
      <c r="EW18" s="534" t="s">
        <v>438</v>
      </c>
      <c r="EX18" s="534" t="s">
        <v>335</v>
      </c>
      <c r="EY18" s="534" t="s">
        <v>499</v>
      </c>
      <c r="EZ18" s="534" t="s">
        <v>632</v>
      </c>
      <c r="FA18" s="561" t="s">
        <v>433</v>
      </c>
      <c r="FB18" s="535">
        <v>0</v>
      </c>
      <c r="FC18" s="535">
        <v>110000000</v>
      </c>
      <c r="FD18" s="535">
        <v>16200000</v>
      </c>
      <c r="FE18" s="535">
        <f t="shared" si="30"/>
        <v>0</v>
      </c>
      <c r="FF18" s="535">
        <f t="shared" si="31"/>
        <v>116930</v>
      </c>
      <c r="FG18" s="535">
        <f t="shared" si="32"/>
        <v>17220.599999999999</v>
      </c>
      <c r="FK18" s="88" t="s">
        <v>434</v>
      </c>
      <c r="FL18" s="88" t="s">
        <v>307</v>
      </c>
      <c r="FM18" s="88" t="s">
        <v>437</v>
      </c>
      <c r="FN18" s="88" t="s">
        <v>329</v>
      </c>
      <c r="FO18" s="354" t="s">
        <v>433</v>
      </c>
      <c r="FP18" s="79">
        <v>0</v>
      </c>
      <c r="FQ18" s="79">
        <v>104595605</v>
      </c>
      <c r="FR18" s="79">
        <v>64716543</v>
      </c>
      <c r="FS18" s="535">
        <f t="shared" si="33"/>
        <v>0</v>
      </c>
      <c r="FT18" s="535">
        <f t="shared" si="34"/>
        <v>111185.12811499998</v>
      </c>
      <c r="FU18" s="535">
        <f t="shared" si="35"/>
        <v>68793.685208999988</v>
      </c>
      <c r="GI18" s="638" t="s">
        <v>434</v>
      </c>
      <c r="GJ18" s="638" t="s">
        <v>307</v>
      </c>
      <c r="GK18" s="350" t="s">
        <v>447</v>
      </c>
      <c r="GL18" s="638" t="s">
        <v>447</v>
      </c>
      <c r="GM18" s="638" t="s">
        <v>433</v>
      </c>
      <c r="GN18" s="669">
        <v>0</v>
      </c>
      <c r="GO18" s="669">
        <v>0</v>
      </c>
      <c r="GP18" s="669">
        <v>0</v>
      </c>
      <c r="GQ18" s="670">
        <f t="shared" si="36"/>
        <v>0</v>
      </c>
      <c r="GR18" s="670">
        <f t="shared" si="37"/>
        <v>0</v>
      </c>
      <c r="GS18" s="670">
        <f t="shared" si="38"/>
        <v>0</v>
      </c>
      <c r="GX18" s="624" t="s">
        <v>438</v>
      </c>
      <c r="GY18" s="536" t="s">
        <v>335</v>
      </c>
      <c r="GZ18" s="536" t="s">
        <v>488</v>
      </c>
      <c r="HA18" s="536" t="s">
        <v>631</v>
      </c>
      <c r="HB18" s="536" t="s">
        <v>433</v>
      </c>
      <c r="HC18" s="721">
        <v>63000000</v>
      </c>
      <c r="HD18" s="722">
        <f t="shared" si="39"/>
        <v>63000</v>
      </c>
      <c r="HE18" s="80"/>
      <c r="HF18" s="80"/>
      <c r="HH18" s="725" t="s">
        <v>434</v>
      </c>
      <c r="HI18" s="725" t="s">
        <v>307</v>
      </c>
      <c r="HJ18" s="725" t="s">
        <v>458</v>
      </c>
      <c r="HK18" s="726" t="s">
        <v>330</v>
      </c>
      <c r="HL18" s="726" t="s">
        <v>433</v>
      </c>
      <c r="HM18" s="355">
        <v>0</v>
      </c>
      <c r="HN18" s="355">
        <v>111361</v>
      </c>
      <c r="HO18" s="355">
        <v>111361</v>
      </c>
      <c r="HP18" s="724">
        <f t="shared" si="40"/>
        <v>0</v>
      </c>
      <c r="HQ18" s="724">
        <f t="shared" si="41"/>
        <v>111.361</v>
      </c>
      <c r="HR18" s="724">
        <f t="shared" si="42"/>
        <v>111.361</v>
      </c>
      <c r="HW18" s="726" t="s">
        <v>508</v>
      </c>
      <c r="HX18" s="726" t="s">
        <v>523</v>
      </c>
      <c r="HY18" s="726" t="s">
        <v>447</v>
      </c>
      <c r="HZ18" s="726" t="s">
        <v>447</v>
      </c>
      <c r="IA18" s="726" t="s">
        <v>433</v>
      </c>
      <c r="IB18" s="761">
        <v>0</v>
      </c>
      <c r="IC18" s="761">
        <v>8221160</v>
      </c>
      <c r="ID18" s="761">
        <v>19289900</v>
      </c>
      <c r="IE18" s="537">
        <f t="shared" si="43"/>
        <v>19289.900000000001</v>
      </c>
      <c r="II18" s="350" t="s">
        <v>434</v>
      </c>
      <c r="IJ18" s="350" t="s">
        <v>307</v>
      </c>
      <c r="IK18" s="350" t="s">
        <v>458</v>
      </c>
      <c r="IL18" s="350" t="s">
        <v>330</v>
      </c>
      <c r="IM18" s="638" t="s">
        <v>433</v>
      </c>
      <c r="IN18" s="244">
        <v>4000000</v>
      </c>
      <c r="IO18" s="244">
        <v>0</v>
      </c>
      <c r="IP18" s="244">
        <v>0</v>
      </c>
      <c r="IQ18" s="756">
        <f t="shared" si="44"/>
        <v>4000</v>
      </c>
      <c r="IR18" s="756">
        <f t="shared" si="45"/>
        <v>0</v>
      </c>
      <c r="IS18" s="756">
        <f t="shared" si="46"/>
        <v>0</v>
      </c>
      <c r="IW18" s="536" t="s">
        <v>534</v>
      </c>
      <c r="IX18" s="536" t="s">
        <v>537</v>
      </c>
      <c r="IY18" s="536" t="s">
        <v>447</v>
      </c>
      <c r="IZ18" s="536" t="s">
        <v>447</v>
      </c>
      <c r="JA18" s="561" t="s">
        <v>433</v>
      </c>
      <c r="JB18" s="535">
        <v>150089633</v>
      </c>
      <c r="JC18" s="756">
        <f t="shared" si="47"/>
        <v>150089.633</v>
      </c>
      <c r="JG18" s="536" t="s">
        <v>434</v>
      </c>
      <c r="JH18" s="536" t="s">
        <v>307</v>
      </c>
      <c r="JI18" s="536" t="s">
        <v>437</v>
      </c>
      <c r="JJ18" s="536" t="s">
        <v>329</v>
      </c>
      <c r="JK18" s="536" t="s">
        <v>433</v>
      </c>
      <c r="JL18" s="79">
        <v>9692789</v>
      </c>
      <c r="JM18" s="79">
        <v>0</v>
      </c>
      <c r="JN18" s="79">
        <v>0</v>
      </c>
      <c r="JO18" s="166">
        <f t="shared" si="48"/>
        <v>9692.7890000000007</v>
      </c>
      <c r="JP18" s="166">
        <f t="shared" si="49"/>
        <v>0</v>
      </c>
      <c r="JQ18" s="166">
        <f t="shared" si="50"/>
        <v>0</v>
      </c>
    </row>
    <row r="19" spans="1:277" ht="15" customHeight="1" x14ac:dyDescent="0.25">
      <c r="A19" s="91" t="s">
        <v>508</v>
      </c>
      <c r="B19" s="91" t="s">
        <v>523</v>
      </c>
      <c r="C19" s="91" t="s">
        <v>447</v>
      </c>
      <c r="D19" s="91" t="s">
        <v>447</v>
      </c>
      <c r="E19" s="92">
        <v>0</v>
      </c>
      <c r="F19" s="92">
        <f t="shared" si="7"/>
        <v>0</v>
      </c>
      <c r="G19" s="92">
        <v>0</v>
      </c>
      <c r="H19" s="92">
        <f t="shared" si="8"/>
        <v>0</v>
      </c>
      <c r="U19" s="89" t="s">
        <v>438</v>
      </c>
      <c r="V19" s="89" t="s">
        <v>335</v>
      </c>
      <c r="W19" s="89" t="s">
        <v>439</v>
      </c>
      <c r="X19" s="1228" t="s">
        <v>492</v>
      </c>
      <c r="Y19" s="90">
        <v>120000000</v>
      </c>
      <c r="Z19" s="90">
        <f t="shared" si="9"/>
        <v>127560</v>
      </c>
      <c r="AD19" s="89" t="s">
        <v>434</v>
      </c>
      <c r="AE19" s="89" t="s">
        <v>307</v>
      </c>
      <c r="AF19" s="89" t="s">
        <v>447</v>
      </c>
      <c r="AG19" s="89" t="s">
        <v>447</v>
      </c>
      <c r="AH19" s="90">
        <v>0</v>
      </c>
      <c r="AI19" s="90">
        <f t="shared" si="10"/>
        <v>0</v>
      </c>
      <c r="AJ19" s="90">
        <v>0</v>
      </c>
      <c r="AM19" s="166"/>
      <c r="AW19" s="89" t="s">
        <v>434</v>
      </c>
      <c r="AX19" s="89" t="s">
        <v>307</v>
      </c>
      <c r="AY19" s="89" t="s">
        <v>459</v>
      </c>
      <c r="AZ19" s="89" t="s">
        <v>331</v>
      </c>
      <c r="BA19" s="90">
        <v>57186000</v>
      </c>
      <c r="BB19" s="90">
        <v>0</v>
      </c>
      <c r="BC19" s="90">
        <v>0</v>
      </c>
      <c r="BD19" s="90">
        <f t="shared" si="1"/>
        <v>60788.717999999993</v>
      </c>
      <c r="BE19" s="90">
        <f t="shared" si="2"/>
        <v>0</v>
      </c>
      <c r="BF19" s="90">
        <f t="shared" si="3"/>
        <v>0</v>
      </c>
      <c r="BT19" s="86" t="s">
        <v>434</v>
      </c>
      <c r="BU19" s="86" t="s">
        <v>307</v>
      </c>
      <c r="BV19" s="86" t="s">
        <v>459</v>
      </c>
      <c r="BW19" s="86" t="s">
        <v>331</v>
      </c>
      <c r="BX19" s="296" t="s">
        <v>433</v>
      </c>
      <c r="BY19" s="87">
        <v>57186000</v>
      </c>
      <c r="BZ19" s="87">
        <v>0</v>
      </c>
      <c r="CA19" s="87">
        <v>0</v>
      </c>
      <c r="CB19" s="166">
        <f t="shared" si="12"/>
        <v>60788.717999999993</v>
      </c>
      <c r="CC19" s="166">
        <f t="shared" si="13"/>
        <v>0</v>
      </c>
      <c r="CD19" s="166">
        <f t="shared" si="14"/>
        <v>0</v>
      </c>
      <c r="CV19" s="88" t="s">
        <v>438</v>
      </c>
      <c r="CW19" s="88" t="s">
        <v>335</v>
      </c>
      <c r="CX19" s="88" t="s">
        <v>447</v>
      </c>
      <c r="CY19" s="88" t="s">
        <v>447</v>
      </c>
      <c r="CZ19" s="88">
        <v>0</v>
      </c>
      <c r="DA19" s="88">
        <v>0</v>
      </c>
      <c r="DB19" s="88">
        <v>0</v>
      </c>
      <c r="DC19" s="557">
        <f t="shared" si="18"/>
        <v>0</v>
      </c>
      <c r="DD19" s="557">
        <f t="shared" si="19"/>
        <v>0</v>
      </c>
      <c r="DE19" s="557">
        <f t="shared" si="20"/>
        <v>0</v>
      </c>
      <c r="DI19" s="307" t="s">
        <v>434</v>
      </c>
      <c r="DJ19" s="307" t="s">
        <v>307</v>
      </c>
      <c r="DK19" s="307" t="s">
        <v>447</v>
      </c>
      <c r="DL19" s="307" t="s">
        <v>447</v>
      </c>
      <c r="DM19" s="79">
        <v>0</v>
      </c>
      <c r="DN19" s="79">
        <v>0</v>
      </c>
      <c r="DO19" s="79">
        <v>0</v>
      </c>
      <c r="DP19" s="560">
        <f t="shared" si="21"/>
        <v>0</v>
      </c>
      <c r="DQ19" s="560">
        <f t="shared" si="22"/>
        <v>0</v>
      </c>
      <c r="DR19" s="560">
        <f t="shared" si="23"/>
        <v>0</v>
      </c>
      <c r="DV19" s="534" t="s">
        <v>438</v>
      </c>
      <c r="DW19" s="534" t="s">
        <v>335</v>
      </c>
      <c r="DX19" s="534" t="s">
        <v>499</v>
      </c>
      <c r="DY19" s="536" t="s">
        <v>632</v>
      </c>
      <c r="DZ19" s="561" t="s">
        <v>433</v>
      </c>
      <c r="EA19" s="535">
        <v>0</v>
      </c>
      <c r="EB19" s="535">
        <v>0</v>
      </c>
      <c r="EC19" s="535">
        <v>32400000</v>
      </c>
      <c r="ED19" s="535">
        <f t="shared" si="24"/>
        <v>0</v>
      </c>
      <c r="EE19" s="535">
        <f t="shared" si="25"/>
        <v>0</v>
      </c>
      <c r="EF19" s="535">
        <f t="shared" si="26"/>
        <v>34441.199999999997</v>
      </c>
      <c r="EG19" s="95"/>
      <c r="EI19" s="88" t="s">
        <v>434</v>
      </c>
      <c r="EJ19" s="88" t="s">
        <v>307</v>
      </c>
      <c r="EK19" s="88" t="s">
        <v>437</v>
      </c>
      <c r="EL19" s="88" t="s">
        <v>329</v>
      </c>
      <c r="EM19" s="88" t="s">
        <v>433</v>
      </c>
      <c r="EN19" s="88">
        <v>0</v>
      </c>
      <c r="EO19" s="88">
        <v>104595605</v>
      </c>
      <c r="EP19" s="88">
        <v>55261544</v>
      </c>
      <c r="EQ19" s="557">
        <f t="shared" si="27"/>
        <v>0</v>
      </c>
      <c r="ER19" s="557">
        <f t="shared" si="28"/>
        <v>111185.12811499998</v>
      </c>
      <c r="ES19" s="557">
        <f t="shared" si="29"/>
        <v>58743.021271999998</v>
      </c>
      <c r="EW19" s="534" t="s">
        <v>438</v>
      </c>
      <c r="EX19" s="534" t="s">
        <v>335</v>
      </c>
      <c r="EY19" s="534" t="s">
        <v>629</v>
      </c>
      <c r="EZ19" s="534" t="s">
        <v>630</v>
      </c>
      <c r="FA19" s="561" t="s">
        <v>433</v>
      </c>
      <c r="FB19" s="535">
        <v>-650000000</v>
      </c>
      <c r="FC19" s="535">
        <v>0</v>
      </c>
      <c r="FD19" s="535">
        <v>0</v>
      </c>
      <c r="FE19" s="535">
        <f t="shared" si="30"/>
        <v>-690950</v>
      </c>
      <c r="FF19" s="535">
        <f t="shared" si="31"/>
        <v>0</v>
      </c>
      <c r="FG19" s="535">
        <f t="shared" si="32"/>
        <v>0</v>
      </c>
      <c r="FK19" s="88" t="s">
        <v>434</v>
      </c>
      <c r="FL19" s="88" t="s">
        <v>307</v>
      </c>
      <c r="FM19" s="88" t="s">
        <v>436</v>
      </c>
      <c r="FN19" s="88" t="s">
        <v>339</v>
      </c>
      <c r="FO19" s="354" t="s">
        <v>433</v>
      </c>
      <c r="FP19" s="79">
        <v>0</v>
      </c>
      <c r="FQ19" s="79">
        <v>128048145</v>
      </c>
      <c r="FR19" s="79">
        <v>82158918</v>
      </c>
      <c r="FS19" s="535">
        <f t="shared" si="33"/>
        <v>0</v>
      </c>
      <c r="FT19" s="535">
        <f t="shared" si="34"/>
        <v>136115.17813499999</v>
      </c>
      <c r="FU19" s="535">
        <f t="shared" si="35"/>
        <v>87334.929833999995</v>
      </c>
      <c r="GI19" s="638" t="s">
        <v>434</v>
      </c>
      <c r="GJ19" s="638" t="s">
        <v>307</v>
      </c>
      <c r="GK19" s="350" t="s">
        <v>459</v>
      </c>
      <c r="GL19" s="638" t="s">
        <v>331</v>
      </c>
      <c r="GM19" s="638" t="s">
        <v>433</v>
      </c>
      <c r="GN19" s="669">
        <v>0</v>
      </c>
      <c r="GO19" s="669">
        <v>24070630</v>
      </c>
      <c r="GP19" s="669">
        <v>12081901</v>
      </c>
      <c r="GQ19" s="670">
        <f t="shared" si="36"/>
        <v>0</v>
      </c>
      <c r="GR19" s="670">
        <f t="shared" si="37"/>
        <v>25587.079689999999</v>
      </c>
      <c r="GS19" s="670">
        <f t="shared" si="38"/>
        <v>12843.060762999999</v>
      </c>
      <c r="GX19" s="624" t="s">
        <v>438</v>
      </c>
      <c r="GY19" s="536" t="s">
        <v>335</v>
      </c>
      <c r="GZ19" s="536" t="s">
        <v>499</v>
      </c>
      <c r="HA19" s="536" t="s">
        <v>632</v>
      </c>
      <c r="HB19" s="536" t="s">
        <v>433</v>
      </c>
      <c r="HC19" s="721">
        <v>0</v>
      </c>
      <c r="HD19" s="722">
        <f t="shared" si="39"/>
        <v>0</v>
      </c>
      <c r="HE19" s="80"/>
      <c r="HF19" s="80"/>
      <c r="HH19" s="725" t="s">
        <v>434</v>
      </c>
      <c r="HI19" s="725" t="s">
        <v>307</v>
      </c>
      <c r="HJ19" s="725" t="s">
        <v>435</v>
      </c>
      <c r="HK19" s="726" t="s">
        <v>328</v>
      </c>
      <c r="HL19" s="726" t="s">
        <v>433</v>
      </c>
      <c r="HM19" s="355">
        <v>0</v>
      </c>
      <c r="HN19" s="355">
        <v>1619069781</v>
      </c>
      <c r="HO19" s="355">
        <v>815735324</v>
      </c>
      <c r="HP19" s="724">
        <f t="shared" si="40"/>
        <v>0</v>
      </c>
      <c r="HQ19" s="724">
        <f t="shared" si="41"/>
        <v>1619069.781</v>
      </c>
      <c r="HR19" s="724">
        <f t="shared" si="42"/>
        <v>815735.32400000002</v>
      </c>
      <c r="HW19" s="726" t="s">
        <v>460</v>
      </c>
      <c r="HX19" s="726" t="s">
        <v>461</v>
      </c>
      <c r="HY19" s="726" t="s">
        <v>447</v>
      </c>
      <c r="HZ19" s="726" t="s">
        <v>447</v>
      </c>
      <c r="IA19" s="726" t="s">
        <v>433</v>
      </c>
      <c r="IB19" s="761">
        <v>0</v>
      </c>
      <c r="IC19" s="761">
        <v>20250000</v>
      </c>
      <c r="ID19" s="761">
        <v>0</v>
      </c>
      <c r="IE19" s="537">
        <f t="shared" si="43"/>
        <v>0</v>
      </c>
      <c r="II19" s="350" t="s">
        <v>434</v>
      </c>
      <c r="IJ19" s="350" t="s">
        <v>307</v>
      </c>
      <c r="IK19" s="350" t="s">
        <v>437</v>
      </c>
      <c r="IL19" s="350" t="s">
        <v>329</v>
      </c>
      <c r="IM19" s="638" t="s">
        <v>433</v>
      </c>
      <c r="IN19" s="244">
        <v>0</v>
      </c>
      <c r="IO19" s="244">
        <v>9692789</v>
      </c>
      <c r="IP19" s="244">
        <v>9692789</v>
      </c>
      <c r="IQ19" s="756">
        <f t="shared" si="44"/>
        <v>0</v>
      </c>
      <c r="IR19" s="756">
        <f t="shared" si="45"/>
        <v>9692.7890000000007</v>
      </c>
      <c r="IS19" s="756">
        <f t="shared" si="46"/>
        <v>9692.7890000000007</v>
      </c>
      <c r="IW19" s="536" t="s">
        <v>674</v>
      </c>
      <c r="IX19" s="536" t="s">
        <v>675</v>
      </c>
      <c r="IY19" s="536" t="s">
        <v>447</v>
      </c>
      <c r="IZ19" s="536" t="s">
        <v>447</v>
      </c>
      <c r="JA19" s="561" t="s">
        <v>433</v>
      </c>
      <c r="JB19" s="535">
        <v>22039500</v>
      </c>
      <c r="JC19" s="756">
        <f t="shared" si="47"/>
        <v>22039.5</v>
      </c>
      <c r="JG19" s="536" t="s">
        <v>434</v>
      </c>
      <c r="JH19" s="536" t="s">
        <v>307</v>
      </c>
      <c r="JI19" s="536" t="s">
        <v>458</v>
      </c>
      <c r="JJ19" s="536" t="s">
        <v>330</v>
      </c>
      <c r="JK19" s="536" t="s">
        <v>433</v>
      </c>
      <c r="JL19" s="79">
        <v>4000000</v>
      </c>
      <c r="JM19" s="79">
        <v>0</v>
      </c>
      <c r="JN19" s="79">
        <v>0</v>
      </c>
      <c r="JO19" s="166">
        <f t="shared" si="48"/>
        <v>4000</v>
      </c>
      <c r="JP19" s="166">
        <f t="shared" si="49"/>
        <v>0</v>
      </c>
      <c r="JQ19" s="166">
        <f t="shared" si="50"/>
        <v>0</v>
      </c>
    </row>
    <row r="20" spans="1:277" ht="15" customHeight="1" x14ac:dyDescent="0.25">
      <c r="A20" s="91" t="s">
        <v>460</v>
      </c>
      <c r="B20" s="91" t="s">
        <v>461</v>
      </c>
      <c r="C20" s="91" t="s">
        <v>447</v>
      </c>
      <c r="D20" s="91" t="s">
        <v>447</v>
      </c>
      <c r="E20" s="92">
        <v>181473000</v>
      </c>
      <c r="F20" s="92">
        <f t="shared" si="7"/>
        <v>192905.799</v>
      </c>
      <c r="G20" s="92">
        <v>0</v>
      </c>
      <c r="H20" s="92">
        <f t="shared" si="8"/>
        <v>0</v>
      </c>
      <c r="U20" s="89" t="s">
        <v>463</v>
      </c>
      <c r="V20" s="89" t="s">
        <v>464</v>
      </c>
      <c r="W20" s="89" t="s">
        <v>447</v>
      </c>
      <c r="X20" s="1228" t="s">
        <v>447</v>
      </c>
      <c r="Y20" s="90">
        <v>520000000</v>
      </c>
      <c r="Z20" s="90">
        <f t="shared" si="9"/>
        <v>552760</v>
      </c>
      <c r="AD20" s="89" t="s">
        <v>434</v>
      </c>
      <c r="AE20" s="89" t="s">
        <v>307</v>
      </c>
      <c r="AF20" s="89" t="s">
        <v>437</v>
      </c>
      <c r="AG20" s="89" t="s">
        <v>329</v>
      </c>
      <c r="AH20" s="90">
        <v>0</v>
      </c>
      <c r="AI20" s="90">
        <f t="shared" si="10"/>
        <v>0</v>
      </c>
      <c r="AJ20" s="90">
        <v>9692789</v>
      </c>
      <c r="AM20" s="166"/>
      <c r="AW20" s="89" t="s">
        <v>434</v>
      </c>
      <c r="AX20" s="89" t="s">
        <v>307</v>
      </c>
      <c r="AY20" s="89" t="s">
        <v>459</v>
      </c>
      <c r="AZ20" s="89" t="s">
        <v>331</v>
      </c>
      <c r="BA20" s="90">
        <v>0</v>
      </c>
      <c r="BB20" s="90">
        <v>11982921</v>
      </c>
      <c r="BC20" s="90">
        <v>5232921</v>
      </c>
      <c r="BD20" s="90">
        <f t="shared" si="1"/>
        <v>0</v>
      </c>
      <c r="BE20" s="90">
        <f t="shared" si="2"/>
        <v>12737.845023</v>
      </c>
      <c r="BF20" s="90">
        <f t="shared" si="3"/>
        <v>5562.5950229999999</v>
      </c>
      <c r="BT20" s="86" t="s">
        <v>434</v>
      </c>
      <c r="BU20" s="86" t="s">
        <v>307</v>
      </c>
      <c r="BV20" s="86" t="s">
        <v>459</v>
      </c>
      <c r="BW20" s="86" t="s">
        <v>331</v>
      </c>
      <c r="BX20" s="296" t="s">
        <v>433</v>
      </c>
      <c r="BY20" s="87">
        <v>0</v>
      </c>
      <c r="BZ20" s="87">
        <v>11982921</v>
      </c>
      <c r="CA20" s="87">
        <v>9732921</v>
      </c>
      <c r="CB20" s="166">
        <f t="shared" si="12"/>
        <v>0</v>
      </c>
      <c r="CC20" s="166">
        <f t="shared" si="13"/>
        <v>12737.845023</v>
      </c>
      <c r="CD20" s="166">
        <f t="shared" si="14"/>
        <v>10346.095023</v>
      </c>
      <c r="CV20" s="88" t="s">
        <v>544</v>
      </c>
      <c r="CW20" s="88" t="s">
        <v>545</v>
      </c>
      <c r="CX20" s="88" t="s">
        <v>447</v>
      </c>
      <c r="CY20" s="88" t="s">
        <v>447</v>
      </c>
      <c r="CZ20" s="88">
        <v>10</v>
      </c>
      <c r="DA20" s="88">
        <v>0</v>
      </c>
      <c r="DB20" s="88">
        <v>0</v>
      </c>
      <c r="DC20" s="557">
        <f t="shared" si="18"/>
        <v>1.0629999999999999E-2</v>
      </c>
      <c r="DD20" s="557">
        <f t="shared" si="19"/>
        <v>0</v>
      </c>
      <c r="DE20" s="557">
        <f t="shared" si="20"/>
        <v>0</v>
      </c>
      <c r="DI20" s="307" t="s">
        <v>434</v>
      </c>
      <c r="DJ20" s="307" t="s">
        <v>307</v>
      </c>
      <c r="DK20" s="307" t="s">
        <v>436</v>
      </c>
      <c r="DL20" s="307" t="s">
        <v>339</v>
      </c>
      <c r="DM20" s="79">
        <v>0</v>
      </c>
      <c r="DN20" s="79">
        <v>86577420</v>
      </c>
      <c r="DO20" s="79">
        <v>44761550</v>
      </c>
      <c r="DP20" s="560">
        <f t="shared" si="21"/>
        <v>0</v>
      </c>
      <c r="DQ20" s="560">
        <f t="shared" si="22"/>
        <v>92031.797459999987</v>
      </c>
      <c r="DR20" s="560">
        <f t="shared" si="23"/>
        <v>47581.527650000004</v>
      </c>
      <c r="DV20" s="534" t="s">
        <v>438</v>
      </c>
      <c r="DW20" s="534" t="s">
        <v>335</v>
      </c>
      <c r="DX20" s="534" t="s">
        <v>462</v>
      </c>
      <c r="DY20" s="536" t="s">
        <v>633</v>
      </c>
      <c r="DZ20" s="561" t="s">
        <v>433</v>
      </c>
      <c r="EA20" s="535">
        <v>0</v>
      </c>
      <c r="EB20" s="535">
        <v>15000000</v>
      </c>
      <c r="EC20" s="535">
        <v>15000000</v>
      </c>
      <c r="ED20" s="535">
        <f t="shared" si="24"/>
        <v>0</v>
      </c>
      <c r="EE20" s="535">
        <f t="shared" si="25"/>
        <v>15945</v>
      </c>
      <c r="EF20" s="535">
        <f t="shared" si="26"/>
        <v>15945</v>
      </c>
      <c r="EG20" s="95"/>
      <c r="EI20" s="88" t="s">
        <v>434</v>
      </c>
      <c r="EJ20" s="88" t="s">
        <v>307</v>
      </c>
      <c r="EK20" s="88" t="s">
        <v>459</v>
      </c>
      <c r="EL20" s="88" t="s">
        <v>331</v>
      </c>
      <c r="EM20" s="88" t="s">
        <v>433</v>
      </c>
      <c r="EN20" s="88">
        <v>0</v>
      </c>
      <c r="EO20" s="88">
        <v>11982921</v>
      </c>
      <c r="EP20" s="88">
        <v>9732921</v>
      </c>
      <c r="EQ20" s="557">
        <f t="shared" si="27"/>
        <v>0</v>
      </c>
      <c r="ER20" s="557">
        <f t="shared" si="28"/>
        <v>12737.845023</v>
      </c>
      <c r="ES20" s="557">
        <f t="shared" si="29"/>
        <v>10346.095023</v>
      </c>
      <c r="EW20" s="534" t="s">
        <v>463</v>
      </c>
      <c r="EX20" s="534" t="s">
        <v>464</v>
      </c>
      <c r="EY20" s="534" t="s">
        <v>447</v>
      </c>
      <c r="EZ20" s="534" t="s">
        <v>447</v>
      </c>
      <c r="FA20" s="561" t="s">
        <v>433</v>
      </c>
      <c r="FB20" s="535">
        <v>0</v>
      </c>
      <c r="FC20" s="535">
        <v>139961816</v>
      </c>
      <c r="FD20" s="535">
        <v>34000000</v>
      </c>
      <c r="FE20" s="535">
        <f t="shared" si="30"/>
        <v>0</v>
      </c>
      <c r="FF20" s="535">
        <f t="shared" si="31"/>
        <v>148779.410408</v>
      </c>
      <c r="FG20" s="535">
        <f t="shared" si="32"/>
        <v>36142</v>
      </c>
      <c r="FK20" s="88" t="s">
        <v>434</v>
      </c>
      <c r="FL20" s="88" t="s">
        <v>307</v>
      </c>
      <c r="FM20" s="88" t="s">
        <v>458</v>
      </c>
      <c r="FN20" s="88" t="s">
        <v>330</v>
      </c>
      <c r="FO20" s="354" t="s">
        <v>433</v>
      </c>
      <c r="FP20" s="79">
        <v>0</v>
      </c>
      <c r="FQ20" s="79">
        <v>111361</v>
      </c>
      <c r="FR20" s="79">
        <v>111361</v>
      </c>
      <c r="FS20" s="535">
        <f t="shared" si="33"/>
        <v>0</v>
      </c>
      <c r="FT20" s="535">
        <f t="shared" si="34"/>
        <v>118.376743</v>
      </c>
      <c r="FU20" s="535">
        <f t="shared" si="35"/>
        <v>118.376743</v>
      </c>
      <c r="GE20" s="48">
        <f>+GE17-'Prog 02'!AJ9</f>
        <v>0</v>
      </c>
      <c r="GI20" s="638" t="s">
        <v>434</v>
      </c>
      <c r="GJ20" s="638" t="s">
        <v>307</v>
      </c>
      <c r="GK20" s="350" t="s">
        <v>437</v>
      </c>
      <c r="GL20" s="638" t="s">
        <v>329</v>
      </c>
      <c r="GM20" s="638" t="s">
        <v>433</v>
      </c>
      <c r="GN20" s="669">
        <v>0</v>
      </c>
      <c r="GO20" s="669">
        <v>104595605</v>
      </c>
      <c r="GP20" s="669">
        <v>75833926</v>
      </c>
      <c r="GQ20" s="670">
        <f t="shared" si="36"/>
        <v>0</v>
      </c>
      <c r="GR20" s="670">
        <f t="shared" si="37"/>
        <v>111185.12811499998</v>
      </c>
      <c r="GS20" s="670">
        <f t="shared" si="38"/>
        <v>80611.463338000001</v>
      </c>
      <c r="GX20" s="624" t="s">
        <v>438</v>
      </c>
      <c r="GY20" s="536" t="s">
        <v>335</v>
      </c>
      <c r="GZ20" s="536" t="s">
        <v>447</v>
      </c>
      <c r="HA20" s="536" t="s">
        <v>447</v>
      </c>
      <c r="HB20" s="536" t="s">
        <v>433</v>
      </c>
      <c r="HC20" s="721">
        <v>0</v>
      </c>
      <c r="HD20" s="722">
        <f t="shared" si="39"/>
        <v>0</v>
      </c>
      <c r="HE20" s="80"/>
      <c r="HF20" s="80"/>
      <c r="HH20" s="725" t="s">
        <v>434</v>
      </c>
      <c r="HI20" s="725" t="s">
        <v>307</v>
      </c>
      <c r="HJ20" s="725" t="s">
        <v>447</v>
      </c>
      <c r="HK20" s="726" t="s">
        <v>447</v>
      </c>
      <c r="HL20" s="726" t="s">
        <v>433</v>
      </c>
      <c r="HM20" s="355">
        <v>0</v>
      </c>
      <c r="HN20" s="355">
        <v>0</v>
      </c>
      <c r="HO20" s="355">
        <v>0</v>
      </c>
      <c r="HP20" s="724">
        <f t="shared" si="40"/>
        <v>0</v>
      </c>
      <c r="HQ20" s="724">
        <f t="shared" si="41"/>
        <v>0</v>
      </c>
      <c r="HR20" s="724">
        <f t="shared" si="42"/>
        <v>0</v>
      </c>
      <c r="HW20" s="726" t="s">
        <v>438</v>
      </c>
      <c r="HX20" s="726" t="s">
        <v>335</v>
      </c>
      <c r="HY20" s="726" t="s">
        <v>629</v>
      </c>
      <c r="HZ20" s="726" t="s">
        <v>630</v>
      </c>
      <c r="IA20" s="726" t="s">
        <v>433</v>
      </c>
      <c r="IB20" s="761">
        <v>0</v>
      </c>
      <c r="IC20" s="761">
        <v>10000000</v>
      </c>
      <c r="ID20" s="761">
        <v>38600000</v>
      </c>
      <c r="IE20" s="537">
        <f t="shared" si="43"/>
        <v>38600</v>
      </c>
      <c r="II20" s="350" t="s">
        <v>434</v>
      </c>
      <c r="IJ20" s="350" t="s">
        <v>307</v>
      </c>
      <c r="IK20" s="350" t="s">
        <v>458</v>
      </c>
      <c r="IL20" s="350" t="s">
        <v>330</v>
      </c>
      <c r="IM20" s="638" t="s">
        <v>433</v>
      </c>
      <c r="IN20" s="244">
        <v>0</v>
      </c>
      <c r="IO20" s="244">
        <v>111361</v>
      </c>
      <c r="IP20" s="244">
        <v>111361</v>
      </c>
      <c r="IQ20" s="756">
        <f t="shared" si="44"/>
        <v>0</v>
      </c>
      <c r="IR20" s="756">
        <f t="shared" si="45"/>
        <v>111.361</v>
      </c>
      <c r="IS20" s="756">
        <f t="shared" si="46"/>
        <v>111.361</v>
      </c>
      <c r="JC20" s="778">
        <f>SUM(JC3:JC19)</f>
        <v>2747806.2589999996</v>
      </c>
      <c r="JG20" s="536" t="s">
        <v>434</v>
      </c>
      <c r="JH20" s="536" t="s">
        <v>307</v>
      </c>
      <c r="JI20" s="536" t="s">
        <v>436</v>
      </c>
      <c r="JJ20" s="536" t="s">
        <v>339</v>
      </c>
      <c r="JK20" s="536" t="s">
        <v>433</v>
      </c>
      <c r="JL20" s="79">
        <v>0</v>
      </c>
      <c r="JM20" s="79">
        <v>120817376</v>
      </c>
      <c r="JN20" s="79">
        <v>120817376</v>
      </c>
      <c r="JO20" s="166">
        <f t="shared" si="48"/>
        <v>0</v>
      </c>
      <c r="JP20" s="166">
        <f t="shared" si="49"/>
        <v>120817.376</v>
      </c>
      <c r="JQ20" s="166">
        <f t="shared" si="50"/>
        <v>120817.376</v>
      </c>
    </row>
    <row r="21" spans="1:277" ht="15" customHeight="1" x14ac:dyDescent="0.25">
      <c r="A21" s="91" t="s">
        <v>438</v>
      </c>
      <c r="B21" s="91" t="s">
        <v>335</v>
      </c>
      <c r="C21" s="91" t="s">
        <v>629</v>
      </c>
      <c r="D21" s="91" t="s">
        <v>630</v>
      </c>
      <c r="E21" s="92">
        <v>1093000000</v>
      </c>
      <c r="F21" s="92">
        <f t="shared" si="7"/>
        <v>1161859</v>
      </c>
      <c r="G21" s="92">
        <v>0</v>
      </c>
      <c r="H21" s="92">
        <f t="shared" si="8"/>
        <v>0</v>
      </c>
      <c r="U21" s="89" t="s">
        <v>465</v>
      </c>
      <c r="V21" s="89" t="s">
        <v>466</v>
      </c>
      <c r="W21" s="89" t="s">
        <v>447</v>
      </c>
      <c r="X21" s="1228" t="s">
        <v>447</v>
      </c>
      <c r="Y21" s="90">
        <v>280000000</v>
      </c>
      <c r="Z21" s="90">
        <f t="shared" si="9"/>
        <v>297640</v>
      </c>
      <c r="AD21" s="89" t="s">
        <v>434</v>
      </c>
      <c r="AE21" s="89" t="s">
        <v>307</v>
      </c>
      <c r="AF21" s="89" t="s">
        <v>447</v>
      </c>
      <c r="AG21" s="89" t="s">
        <v>447</v>
      </c>
      <c r="AH21" s="90">
        <v>0</v>
      </c>
      <c r="AI21" s="90">
        <f t="shared" si="10"/>
        <v>0</v>
      </c>
      <c r="AJ21" s="90">
        <v>0</v>
      </c>
      <c r="AM21" s="166"/>
      <c r="AW21" s="89" t="s">
        <v>434</v>
      </c>
      <c r="AX21" s="89" t="s">
        <v>307</v>
      </c>
      <c r="AY21" s="89" t="s">
        <v>447</v>
      </c>
      <c r="AZ21" s="89" t="s">
        <v>447</v>
      </c>
      <c r="BA21" s="90">
        <v>0</v>
      </c>
      <c r="BB21" s="90">
        <v>0</v>
      </c>
      <c r="BC21" s="90">
        <v>0</v>
      </c>
      <c r="BD21" s="90">
        <f t="shared" si="1"/>
        <v>0</v>
      </c>
      <c r="BE21" s="90">
        <f t="shared" si="2"/>
        <v>0</v>
      </c>
      <c r="BF21" s="90">
        <f t="shared" si="3"/>
        <v>0</v>
      </c>
      <c r="BT21" s="86" t="s">
        <v>434</v>
      </c>
      <c r="BU21" s="86" t="s">
        <v>307</v>
      </c>
      <c r="BV21" s="86" t="s">
        <v>447</v>
      </c>
      <c r="BW21" s="86" t="s">
        <v>447</v>
      </c>
      <c r="BX21" s="296" t="s">
        <v>433</v>
      </c>
      <c r="BY21" s="87">
        <v>0</v>
      </c>
      <c r="BZ21" s="87">
        <v>0</v>
      </c>
      <c r="CA21" s="87">
        <v>0</v>
      </c>
      <c r="CB21" s="166">
        <f t="shared" si="12"/>
        <v>0</v>
      </c>
      <c r="CC21" s="166">
        <f t="shared" si="13"/>
        <v>0</v>
      </c>
      <c r="CD21" s="166">
        <f t="shared" si="14"/>
        <v>0</v>
      </c>
      <c r="CV21" s="88" t="s">
        <v>465</v>
      </c>
      <c r="CW21" s="88" t="s">
        <v>466</v>
      </c>
      <c r="CX21" s="88" t="s">
        <v>447</v>
      </c>
      <c r="CY21" s="88" t="s">
        <v>447</v>
      </c>
      <c r="CZ21" s="88">
        <v>0</v>
      </c>
      <c r="DA21" s="88">
        <v>3416431</v>
      </c>
      <c r="DB21" s="88">
        <v>14911368</v>
      </c>
      <c r="DC21" s="557">
        <f t="shared" si="18"/>
        <v>0</v>
      </c>
      <c r="DD21" s="557">
        <f t="shared" si="19"/>
        <v>3631.6661529999997</v>
      </c>
      <c r="DE21" s="557">
        <f t="shared" si="20"/>
        <v>15850.784184</v>
      </c>
      <c r="DI21" s="307" t="s">
        <v>434</v>
      </c>
      <c r="DJ21" s="307" t="s">
        <v>307</v>
      </c>
      <c r="DK21" s="307" t="s">
        <v>435</v>
      </c>
      <c r="DL21" s="307" t="s">
        <v>328</v>
      </c>
      <c r="DM21" s="79">
        <v>0</v>
      </c>
      <c r="DN21" s="79">
        <v>779184473</v>
      </c>
      <c r="DO21" s="79">
        <v>266668089</v>
      </c>
      <c r="DP21" s="560">
        <f t="shared" si="21"/>
        <v>0</v>
      </c>
      <c r="DQ21" s="560">
        <f t="shared" si="22"/>
        <v>828273.09479899995</v>
      </c>
      <c r="DR21" s="560">
        <f t="shared" si="23"/>
        <v>283468.17860699998</v>
      </c>
      <c r="DV21" s="534" t="s">
        <v>438</v>
      </c>
      <c r="DW21" s="534" t="s">
        <v>335</v>
      </c>
      <c r="DX21" s="534" t="s">
        <v>499</v>
      </c>
      <c r="DY21" s="536" t="s">
        <v>632</v>
      </c>
      <c r="DZ21" s="561" t="s">
        <v>433</v>
      </c>
      <c r="EA21" s="535">
        <v>-157708000</v>
      </c>
      <c r="EB21" s="535">
        <v>0</v>
      </c>
      <c r="EC21" s="535">
        <v>0</v>
      </c>
      <c r="ED21" s="535">
        <f t="shared" si="24"/>
        <v>-167643.60399999999</v>
      </c>
      <c r="EE21" s="535">
        <f t="shared" si="25"/>
        <v>0</v>
      </c>
      <c r="EF21" s="535">
        <f t="shared" si="26"/>
        <v>0</v>
      </c>
      <c r="EG21" s="95"/>
      <c r="EI21" s="88" t="s">
        <v>434</v>
      </c>
      <c r="EJ21" s="88" t="s">
        <v>307</v>
      </c>
      <c r="EK21" s="88" t="s">
        <v>435</v>
      </c>
      <c r="EL21" s="88" t="s">
        <v>328</v>
      </c>
      <c r="EM21" s="88" t="s">
        <v>433</v>
      </c>
      <c r="EN21" s="88">
        <v>0</v>
      </c>
      <c r="EO21" s="88">
        <v>1066766859</v>
      </c>
      <c r="EP21" s="88">
        <v>293208716</v>
      </c>
      <c r="EQ21" s="557">
        <f t="shared" si="27"/>
        <v>0</v>
      </c>
      <c r="ER21" s="557">
        <f t="shared" si="28"/>
        <v>1133973.1711169998</v>
      </c>
      <c r="ES21" s="557">
        <f t="shared" si="29"/>
        <v>311680.865108</v>
      </c>
      <c r="EW21" s="534" t="s">
        <v>465</v>
      </c>
      <c r="EX21" s="534" t="s">
        <v>466</v>
      </c>
      <c r="EY21" s="534" t="s">
        <v>447</v>
      </c>
      <c r="EZ21" s="534" t="s">
        <v>447</v>
      </c>
      <c r="FA21" s="561" t="s">
        <v>433</v>
      </c>
      <c r="FB21" s="535">
        <v>0</v>
      </c>
      <c r="FC21" s="535">
        <v>0</v>
      </c>
      <c r="FD21" s="535">
        <v>36475901</v>
      </c>
      <c r="FE21" s="535">
        <f t="shared" si="30"/>
        <v>0</v>
      </c>
      <c r="FF21" s="535">
        <f t="shared" si="31"/>
        <v>0</v>
      </c>
      <c r="FG21" s="535">
        <f t="shared" si="32"/>
        <v>38773.882762999994</v>
      </c>
      <c r="FK21" s="88" t="s">
        <v>434</v>
      </c>
      <c r="FL21" s="88" t="s">
        <v>307</v>
      </c>
      <c r="FM21" s="88" t="s">
        <v>437</v>
      </c>
      <c r="FN21" s="88" t="s">
        <v>329</v>
      </c>
      <c r="FO21" s="354" t="s">
        <v>433</v>
      </c>
      <c r="FP21" s="79">
        <v>0</v>
      </c>
      <c r="FQ21" s="79">
        <v>9692789</v>
      </c>
      <c r="FR21" s="79">
        <v>9692789</v>
      </c>
      <c r="FS21" s="535">
        <f t="shared" si="33"/>
        <v>0</v>
      </c>
      <c r="FT21" s="535">
        <f t="shared" si="34"/>
        <v>10303.434707</v>
      </c>
      <c r="FU21" s="535">
        <f t="shared" si="35"/>
        <v>10303.434707</v>
      </c>
      <c r="GI21" s="638" t="s">
        <v>434</v>
      </c>
      <c r="GJ21" s="638" t="s">
        <v>307</v>
      </c>
      <c r="GK21" s="350" t="s">
        <v>436</v>
      </c>
      <c r="GL21" s="638" t="s">
        <v>339</v>
      </c>
      <c r="GM21" s="638" t="s">
        <v>433</v>
      </c>
      <c r="GN21" s="669">
        <v>0</v>
      </c>
      <c r="GO21" s="669">
        <v>133735255</v>
      </c>
      <c r="GP21" s="669">
        <v>87587340</v>
      </c>
      <c r="GQ21" s="670">
        <f t="shared" si="36"/>
        <v>0</v>
      </c>
      <c r="GR21" s="670">
        <f t="shared" si="37"/>
        <v>142160.576065</v>
      </c>
      <c r="GS21" s="670">
        <f t="shared" si="38"/>
        <v>93105.342419999986</v>
      </c>
      <c r="GX21" s="624" t="s">
        <v>438</v>
      </c>
      <c r="GY21" s="536" t="s">
        <v>335</v>
      </c>
      <c r="GZ21" s="536" t="s">
        <v>462</v>
      </c>
      <c r="HA21" s="536" t="s">
        <v>633</v>
      </c>
      <c r="HB21" s="536" t="s">
        <v>433</v>
      </c>
      <c r="HC21" s="721">
        <v>0</v>
      </c>
      <c r="HD21" s="722">
        <f t="shared" si="39"/>
        <v>0</v>
      </c>
      <c r="HE21" s="80"/>
      <c r="HF21" s="80"/>
      <c r="HH21" s="725" t="s">
        <v>434</v>
      </c>
      <c r="HI21" s="725" t="s">
        <v>307</v>
      </c>
      <c r="HJ21" s="725" t="s">
        <v>447</v>
      </c>
      <c r="HK21" s="726" t="s">
        <v>447</v>
      </c>
      <c r="HL21" s="726" t="s">
        <v>433</v>
      </c>
      <c r="HM21" s="355">
        <v>0</v>
      </c>
      <c r="HN21" s="355">
        <v>0</v>
      </c>
      <c r="HO21" s="355">
        <v>0</v>
      </c>
      <c r="HP21" s="724">
        <f t="shared" si="40"/>
        <v>0</v>
      </c>
      <c r="HQ21" s="724">
        <f t="shared" si="41"/>
        <v>0</v>
      </c>
      <c r="HR21" s="724">
        <f t="shared" si="42"/>
        <v>0</v>
      </c>
      <c r="HW21" s="726" t="s">
        <v>438</v>
      </c>
      <c r="HX21" s="726" t="s">
        <v>335</v>
      </c>
      <c r="HY21" s="726" t="s">
        <v>447</v>
      </c>
      <c r="HZ21" s="726" t="s">
        <v>447</v>
      </c>
      <c r="IA21" s="726" t="s">
        <v>433</v>
      </c>
      <c r="IB21" s="761">
        <v>0</v>
      </c>
      <c r="IC21" s="761">
        <v>0</v>
      </c>
      <c r="ID21" s="761">
        <v>0</v>
      </c>
      <c r="IE21" s="537">
        <f t="shared" si="43"/>
        <v>0</v>
      </c>
      <c r="II21" s="350" t="s">
        <v>434</v>
      </c>
      <c r="IJ21" s="350" t="s">
        <v>307</v>
      </c>
      <c r="IK21" s="350" t="s">
        <v>436</v>
      </c>
      <c r="IL21" s="350" t="s">
        <v>339</v>
      </c>
      <c r="IM21" s="638" t="s">
        <v>433</v>
      </c>
      <c r="IN21" s="244">
        <v>0</v>
      </c>
      <c r="IO21" s="244">
        <v>146260225</v>
      </c>
      <c r="IP21" s="244">
        <v>105795762</v>
      </c>
      <c r="IQ21" s="756">
        <f t="shared" si="44"/>
        <v>0</v>
      </c>
      <c r="IR21" s="756">
        <f t="shared" si="45"/>
        <v>146260.22500000001</v>
      </c>
      <c r="IS21" s="756">
        <f t="shared" si="46"/>
        <v>105795.762</v>
      </c>
      <c r="JG21" s="536" t="s">
        <v>434</v>
      </c>
      <c r="JH21" s="536" t="s">
        <v>307</v>
      </c>
      <c r="JI21" s="536" t="s">
        <v>447</v>
      </c>
      <c r="JJ21" s="536" t="s">
        <v>447</v>
      </c>
      <c r="JK21" s="536" t="s">
        <v>433</v>
      </c>
      <c r="JL21" s="79">
        <v>0</v>
      </c>
      <c r="JM21" s="79">
        <v>0</v>
      </c>
      <c r="JN21" s="79">
        <v>0</v>
      </c>
      <c r="JO21" s="166">
        <f t="shared" si="48"/>
        <v>0</v>
      </c>
      <c r="JP21" s="166">
        <f t="shared" si="49"/>
        <v>0</v>
      </c>
      <c r="JQ21" s="166">
        <f t="shared" si="50"/>
        <v>0</v>
      </c>
    </row>
    <row r="22" spans="1:277" ht="15" customHeight="1" x14ac:dyDescent="0.25">
      <c r="A22" s="91" t="s">
        <v>438</v>
      </c>
      <c r="B22" s="91" t="s">
        <v>335</v>
      </c>
      <c r="C22" s="91" t="s">
        <v>499</v>
      </c>
      <c r="D22" s="91" t="s">
        <v>632</v>
      </c>
      <c r="E22" s="92">
        <v>700906000</v>
      </c>
      <c r="F22" s="92">
        <f t="shared" si="7"/>
        <v>745063.07799999998</v>
      </c>
      <c r="G22" s="92">
        <v>0</v>
      </c>
      <c r="H22" s="92">
        <f t="shared" si="8"/>
        <v>0</v>
      </c>
      <c r="U22" s="89" t="s">
        <v>534</v>
      </c>
      <c r="V22" s="89" t="s">
        <v>537</v>
      </c>
      <c r="W22" s="89" t="s">
        <v>447</v>
      </c>
      <c r="X22" s="1228" t="s">
        <v>447</v>
      </c>
      <c r="Y22" s="90">
        <v>278933000</v>
      </c>
      <c r="Z22" s="90">
        <f t="shared" si="9"/>
        <v>296505.77899999998</v>
      </c>
      <c r="AD22" s="89" t="s">
        <v>434</v>
      </c>
      <c r="AE22" s="89" t="s">
        <v>307</v>
      </c>
      <c r="AF22" s="89" t="s">
        <v>435</v>
      </c>
      <c r="AG22" s="89" t="s">
        <v>328</v>
      </c>
      <c r="AH22" s="90">
        <v>0</v>
      </c>
      <c r="AI22" s="90">
        <f t="shared" si="10"/>
        <v>0</v>
      </c>
      <c r="AJ22" s="90">
        <v>85648300</v>
      </c>
      <c r="AM22" s="166"/>
      <c r="AW22" s="89" t="s">
        <v>434</v>
      </c>
      <c r="AX22" s="89" t="s">
        <v>307</v>
      </c>
      <c r="AY22" s="89" t="s">
        <v>447</v>
      </c>
      <c r="AZ22" s="89" t="s">
        <v>447</v>
      </c>
      <c r="BA22" s="90">
        <v>0</v>
      </c>
      <c r="BB22" s="90">
        <v>0</v>
      </c>
      <c r="BC22" s="90">
        <v>0</v>
      </c>
      <c r="BD22" s="90">
        <f t="shared" si="1"/>
        <v>0</v>
      </c>
      <c r="BE22" s="90">
        <f t="shared" si="2"/>
        <v>0</v>
      </c>
      <c r="BF22" s="90">
        <f t="shared" si="3"/>
        <v>0</v>
      </c>
      <c r="BT22" s="86" t="s">
        <v>434</v>
      </c>
      <c r="BU22" s="86" t="s">
        <v>307</v>
      </c>
      <c r="BV22" s="86" t="s">
        <v>447</v>
      </c>
      <c r="BW22" s="86" t="s">
        <v>447</v>
      </c>
      <c r="BX22" s="296" t="s">
        <v>433</v>
      </c>
      <c r="BY22" s="87">
        <v>0</v>
      </c>
      <c r="BZ22" s="87">
        <v>0</v>
      </c>
      <c r="CA22" s="87">
        <v>0</v>
      </c>
      <c r="CB22" s="166">
        <f t="shared" si="12"/>
        <v>0</v>
      </c>
      <c r="CC22" s="166">
        <f t="shared" si="13"/>
        <v>0</v>
      </c>
      <c r="CD22" s="166">
        <f t="shared" si="14"/>
        <v>0</v>
      </c>
      <c r="CV22" s="88" t="s">
        <v>672</v>
      </c>
      <c r="CW22" s="88" t="s">
        <v>673</v>
      </c>
      <c r="CX22" s="88" t="s">
        <v>447</v>
      </c>
      <c r="CY22" s="88" t="s">
        <v>447</v>
      </c>
      <c r="CZ22" s="88">
        <v>0</v>
      </c>
      <c r="DA22" s="88">
        <v>0</v>
      </c>
      <c r="DB22" s="88">
        <v>0</v>
      </c>
      <c r="DC22" s="557">
        <f t="shared" si="18"/>
        <v>0</v>
      </c>
      <c r="DD22" s="557">
        <f t="shared" si="19"/>
        <v>0</v>
      </c>
      <c r="DE22" s="557">
        <f t="shared" si="20"/>
        <v>0</v>
      </c>
      <c r="DI22" s="307" t="s">
        <v>434</v>
      </c>
      <c r="DJ22" s="307" t="s">
        <v>307</v>
      </c>
      <c r="DK22" s="307" t="s">
        <v>459</v>
      </c>
      <c r="DL22" s="307" t="s">
        <v>331</v>
      </c>
      <c r="DM22" s="79">
        <v>0</v>
      </c>
      <c r="DN22" s="79">
        <v>11982921</v>
      </c>
      <c r="DO22" s="79">
        <v>9732921</v>
      </c>
      <c r="DP22" s="560">
        <f t="shared" si="21"/>
        <v>0</v>
      </c>
      <c r="DQ22" s="560">
        <f t="shared" si="22"/>
        <v>12737.845023</v>
      </c>
      <c r="DR22" s="560">
        <f t="shared" si="23"/>
        <v>10346.095023</v>
      </c>
      <c r="DV22" s="534" t="s">
        <v>465</v>
      </c>
      <c r="DW22" s="534" t="s">
        <v>466</v>
      </c>
      <c r="DX22" s="534" t="s">
        <v>447</v>
      </c>
      <c r="DY22" s="536" t="s">
        <v>447</v>
      </c>
      <c r="DZ22" s="561" t="s">
        <v>433</v>
      </c>
      <c r="EA22" s="535">
        <v>0</v>
      </c>
      <c r="EB22" s="535">
        <v>0</v>
      </c>
      <c r="EC22" s="535">
        <v>23126945</v>
      </c>
      <c r="ED22" s="535">
        <f t="shared" si="24"/>
        <v>0</v>
      </c>
      <c r="EE22" s="535">
        <f t="shared" si="25"/>
        <v>0</v>
      </c>
      <c r="EF22" s="535">
        <f t="shared" si="26"/>
        <v>24583.942534999998</v>
      </c>
      <c r="EG22" s="95"/>
      <c r="EI22" s="88" t="s">
        <v>434</v>
      </c>
      <c r="EJ22" s="88" t="s">
        <v>307</v>
      </c>
      <c r="EK22" s="88" t="s">
        <v>458</v>
      </c>
      <c r="EL22" s="88" t="s">
        <v>330</v>
      </c>
      <c r="EM22" s="88" t="s">
        <v>433</v>
      </c>
      <c r="EN22" s="88">
        <v>0</v>
      </c>
      <c r="EO22" s="88">
        <v>90399</v>
      </c>
      <c r="EP22" s="88">
        <v>90399</v>
      </c>
      <c r="EQ22" s="557">
        <f t="shared" si="27"/>
        <v>0</v>
      </c>
      <c r="ER22" s="557">
        <f t="shared" si="28"/>
        <v>96.094136999999989</v>
      </c>
      <c r="ES22" s="557">
        <f t="shared" si="29"/>
        <v>96.094136999999989</v>
      </c>
      <c r="EW22" s="534" t="s">
        <v>534</v>
      </c>
      <c r="EX22" s="534" t="s">
        <v>537</v>
      </c>
      <c r="EY22" s="534" t="s">
        <v>447</v>
      </c>
      <c r="EZ22" s="534" t="s">
        <v>447</v>
      </c>
      <c r="FA22" s="561" t="s">
        <v>433</v>
      </c>
      <c r="FB22" s="535">
        <v>0</v>
      </c>
      <c r="FC22" s="535">
        <v>0</v>
      </c>
      <c r="FD22" s="535">
        <v>39200000</v>
      </c>
      <c r="FE22" s="535">
        <f t="shared" si="30"/>
        <v>0</v>
      </c>
      <c r="FF22" s="535">
        <f t="shared" si="31"/>
        <v>0</v>
      </c>
      <c r="FG22" s="535">
        <f t="shared" si="32"/>
        <v>41669.599999999999</v>
      </c>
      <c r="FK22" s="88" t="s">
        <v>434</v>
      </c>
      <c r="FL22" s="88" t="s">
        <v>307</v>
      </c>
      <c r="FM22" s="88" t="s">
        <v>447</v>
      </c>
      <c r="FN22" s="88" t="s">
        <v>447</v>
      </c>
      <c r="FO22" s="354" t="s">
        <v>433</v>
      </c>
      <c r="FP22" s="79">
        <v>0</v>
      </c>
      <c r="FQ22" s="79">
        <v>0</v>
      </c>
      <c r="FR22" s="79">
        <v>0</v>
      </c>
      <c r="FS22" s="535">
        <f t="shared" si="33"/>
        <v>0</v>
      </c>
      <c r="FT22" s="535">
        <f t="shared" si="34"/>
        <v>0</v>
      </c>
      <c r="FU22" s="535">
        <f t="shared" si="35"/>
        <v>0</v>
      </c>
      <c r="GI22" s="638" t="s">
        <v>434</v>
      </c>
      <c r="GJ22" s="638" t="s">
        <v>307</v>
      </c>
      <c r="GK22" s="350" t="s">
        <v>458</v>
      </c>
      <c r="GL22" s="638" t="s">
        <v>330</v>
      </c>
      <c r="GM22" s="638" t="s">
        <v>433</v>
      </c>
      <c r="GN22" s="669">
        <v>0</v>
      </c>
      <c r="GO22" s="669">
        <v>111361</v>
      </c>
      <c r="GP22" s="669">
        <v>111361</v>
      </c>
      <c r="GQ22" s="670">
        <f t="shared" si="36"/>
        <v>0</v>
      </c>
      <c r="GR22" s="670">
        <f t="shared" si="37"/>
        <v>118.376743</v>
      </c>
      <c r="GS22" s="670">
        <f t="shared" si="38"/>
        <v>118.376743</v>
      </c>
      <c r="GX22" s="624" t="s">
        <v>463</v>
      </c>
      <c r="GY22" s="536" t="s">
        <v>464</v>
      </c>
      <c r="GZ22" s="536" t="s">
        <v>447</v>
      </c>
      <c r="HA22" s="536" t="s">
        <v>447</v>
      </c>
      <c r="HB22" s="536" t="s">
        <v>433</v>
      </c>
      <c r="HC22" s="721">
        <v>18776705</v>
      </c>
      <c r="HD22" s="722">
        <f t="shared" si="39"/>
        <v>18776.705000000002</v>
      </c>
      <c r="HE22" s="80"/>
      <c r="HF22" s="80"/>
      <c r="HH22" s="725" t="s">
        <v>434</v>
      </c>
      <c r="HI22" s="725" t="s">
        <v>307</v>
      </c>
      <c r="HJ22" s="725" t="s">
        <v>459</v>
      </c>
      <c r="HK22" s="726" t="s">
        <v>331</v>
      </c>
      <c r="HL22" s="726" t="s">
        <v>433</v>
      </c>
      <c r="HM22" s="355">
        <v>0</v>
      </c>
      <c r="HN22" s="355">
        <v>28922372</v>
      </c>
      <c r="HO22" s="355">
        <v>19547372</v>
      </c>
      <c r="HP22" s="724">
        <f t="shared" si="40"/>
        <v>0</v>
      </c>
      <c r="HQ22" s="724">
        <f t="shared" si="41"/>
        <v>28922.371999999999</v>
      </c>
      <c r="HR22" s="724">
        <f t="shared" si="42"/>
        <v>19547.371999999999</v>
      </c>
      <c r="HW22" s="726" t="s">
        <v>438</v>
      </c>
      <c r="HX22" s="726" t="s">
        <v>335</v>
      </c>
      <c r="HY22" s="726" t="s">
        <v>488</v>
      </c>
      <c r="HZ22" s="726" t="s">
        <v>631</v>
      </c>
      <c r="IA22" s="726" t="s">
        <v>433</v>
      </c>
      <c r="IB22" s="761">
        <v>0</v>
      </c>
      <c r="IC22" s="761">
        <v>0</v>
      </c>
      <c r="ID22" s="761">
        <v>245990000</v>
      </c>
      <c r="IE22" s="537">
        <f t="shared" si="43"/>
        <v>245990</v>
      </c>
      <c r="II22" s="350" t="s">
        <v>434</v>
      </c>
      <c r="IJ22" s="350" t="s">
        <v>307</v>
      </c>
      <c r="IK22" s="350" t="s">
        <v>447</v>
      </c>
      <c r="IL22" s="350" t="s">
        <v>447</v>
      </c>
      <c r="IM22" s="638" t="s">
        <v>433</v>
      </c>
      <c r="IN22" s="244">
        <v>0</v>
      </c>
      <c r="IO22" s="244">
        <v>0</v>
      </c>
      <c r="IP22" s="244">
        <v>0</v>
      </c>
      <c r="IQ22" s="756">
        <f t="shared" si="44"/>
        <v>0</v>
      </c>
      <c r="IR22" s="756">
        <f t="shared" si="45"/>
        <v>0</v>
      </c>
      <c r="IS22" s="756">
        <f t="shared" si="46"/>
        <v>0</v>
      </c>
      <c r="JG22" s="536" t="s">
        <v>434</v>
      </c>
      <c r="JH22" s="536" t="s">
        <v>307</v>
      </c>
      <c r="JI22" s="536" t="s">
        <v>437</v>
      </c>
      <c r="JJ22" s="536" t="s">
        <v>329</v>
      </c>
      <c r="JK22" s="536" t="s">
        <v>433</v>
      </c>
      <c r="JL22" s="79">
        <v>0</v>
      </c>
      <c r="JM22" s="79">
        <v>105750692</v>
      </c>
      <c r="JN22" s="79">
        <v>105750692</v>
      </c>
      <c r="JO22" s="166">
        <f t="shared" si="48"/>
        <v>0</v>
      </c>
      <c r="JP22" s="166">
        <f t="shared" si="49"/>
        <v>105750.692</v>
      </c>
      <c r="JQ22" s="166">
        <f t="shared" si="50"/>
        <v>105750.692</v>
      </c>
    </row>
    <row r="23" spans="1:277" ht="15" customHeight="1" x14ac:dyDescent="0.25">
      <c r="A23" s="91" t="s">
        <v>438</v>
      </c>
      <c r="B23" s="91" t="s">
        <v>335</v>
      </c>
      <c r="C23" s="91" t="s">
        <v>488</v>
      </c>
      <c r="D23" s="91" t="s">
        <v>631</v>
      </c>
      <c r="E23" s="92">
        <v>310000000</v>
      </c>
      <c r="F23" s="92">
        <f t="shared" si="7"/>
        <v>329530</v>
      </c>
      <c r="G23" s="92">
        <v>0</v>
      </c>
      <c r="H23" s="92">
        <f t="shared" si="8"/>
        <v>0</v>
      </c>
      <c r="U23" s="89" t="s">
        <v>672</v>
      </c>
      <c r="V23" s="89" t="s">
        <v>673</v>
      </c>
      <c r="W23" s="89" t="s">
        <v>447</v>
      </c>
      <c r="X23" s="1228" t="s">
        <v>447</v>
      </c>
      <c r="Y23" s="90">
        <v>35000000</v>
      </c>
      <c r="Z23" s="90">
        <f t="shared" si="9"/>
        <v>37205</v>
      </c>
      <c r="AD23" s="89" t="s">
        <v>508</v>
      </c>
      <c r="AE23" s="89" t="s">
        <v>523</v>
      </c>
      <c r="AF23" s="89" t="s">
        <v>447</v>
      </c>
      <c r="AG23" s="89" t="s">
        <v>447</v>
      </c>
      <c r="AH23" s="90">
        <v>90486000</v>
      </c>
      <c r="AI23" s="90">
        <f t="shared" si="10"/>
        <v>96186.618000000002</v>
      </c>
      <c r="AJ23" s="90">
        <v>0</v>
      </c>
      <c r="AM23" s="166"/>
      <c r="AW23" s="89" t="s">
        <v>508</v>
      </c>
      <c r="AX23" s="89" t="s">
        <v>523</v>
      </c>
      <c r="AY23" s="89" t="s">
        <v>447</v>
      </c>
      <c r="AZ23" s="89" t="s">
        <v>447</v>
      </c>
      <c r="BA23" s="90">
        <v>90486000</v>
      </c>
      <c r="BB23" s="90">
        <v>0</v>
      </c>
      <c r="BC23" s="90">
        <v>0</v>
      </c>
      <c r="BD23" s="90">
        <f t="shared" si="1"/>
        <v>96186.618000000002</v>
      </c>
      <c r="BE23" s="90">
        <f t="shared" si="2"/>
        <v>0</v>
      </c>
      <c r="BF23" s="90">
        <f t="shared" si="3"/>
        <v>0</v>
      </c>
      <c r="BT23" s="86" t="s">
        <v>508</v>
      </c>
      <c r="BU23" s="86" t="s">
        <v>523</v>
      </c>
      <c r="BV23" s="86" t="s">
        <v>447</v>
      </c>
      <c r="BW23" s="86" t="s">
        <v>447</v>
      </c>
      <c r="BX23" s="296" t="s">
        <v>433</v>
      </c>
      <c r="BY23" s="87">
        <v>90486000</v>
      </c>
      <c r="BZ23" s="87">
        <v>0</v>
      </c>
      <c r="CA23" s="87">
        <v>0</v>
      </c>
      <c r="CB23" s="166">
        <f t="shared" si="12"/>
        <v>96186.618000000002</v>
      </c>
      <c r="CC23" s="166">
        <f t="shared" si="13"/>
        <v>0</v>
      </c>
      <c r="CD23" s="166">
        <f t="shared" si="14"/>
        <v>0</v>
      </c>
      <c r="CV23" s="88" t="s">
        <v>452</v>
      </c>
      <c r="CW23" s="88" t="s">
        <v>128</v>
      </c>
      <c r="CX23" s="88" t="s">
        <v>447</v>
      </c>
      <c r="CY23" s="88" t="s">
        <v>447</v>
      </c>
      <c r="CZ23" s="88">
        <v>958933000</v>
      </c>
      <c r="DA23" s="88">
        <v>0</v>
      </c>
      <c r="DB23" s="88">
        <v>0</v>
      </c>
      <c r="DC23" s="557">
        <f t="shared" si="18"/>
        <v>1019345.779</v>
      </c>
      <c r="DD23" s="557">
        <f t="shared" si="19"/>
        <v>0</v>
      </c>
      <c r="DE23" s="557">
        <f t="shared" si="20"/>
        <v>0</v>
      </c>
      <c r="DI23" s="307" t="s">
        <v>434</v>
      </c>
      <c r="DJ23" s="307" t="s">
        <v>307</v>
      </c>
      <c r="DK23" s="307" t="s">
        <v>437</v>
      </c>
      <c r="DL23" s="307" t="s">
        <v>329</v>
      </c>
      <c r="DM23" s="79">
        <v>0</v>
      </c>
      <c r="DN23" s="79">
        <v>84817283</v>
      </c>
      <c r="DO23" s="79">
        <v>44849826</v>
      </c>
      <c r="DP23" s="560">
        <f t="shared" si="21"/>
        <v>0</v>
      </c>
      <c r="DQ23" s="560">
        <f t="shared" si="22"/>
        <v>90160.77182899999</v>
      </c>
      <c r="DR23" s="560">
        <f t="shared" si="23"/>
        <v>47675.365037999996</v>
      </c>
      <c r="DV23" s="534" t="s">
        <v>534</v>
      </c>
      <c r="DW23" s="534" t="s">
        <v>537</v>
      </c>
      <c r="DX23" s="534" t="s">
        <v>447</v>
      </c>
      <c r="DY23" s="536" t="s">
        <v>447</v>
      </c>
      <c r="DZ23" s="561" t="s">
        <v>433</v>
      </c>
      <c r="EA23" s="535">
        <v>0</v>
      </c>
      <c r="EB23" s="535">
        <v>0</v>
      </c>
      <c r="EC23" s="535">
        <v>39200000</v>
      </c>
      <c r="ED23" s="535">
        <f t="shared" si="24"/>
        <v>0</v>
      </c>
      <c r="EE23" s="535">
        <f t="shared" si="25"/>
        <v>0</v>
      </c>
      <c r="EF23" s="535">
        <f t="shared" si="26"/>
        <v>41669.599999999999</v>
      </c>
      <c r="EG23" s="95"/>
      <c r="EI23" s="88" t="s">
        <v>434</v>
      </c>
      <c r="EJ23" s="88" t="s">
        <v>307</v>
      </c>
      <c r="EK23" s="88" t="s">
        <v>447</v>
      </c>
      <c r="EL23" s="88" t="s">
        <v>447</v>
      </c>
      <c r="EM23" s="88" t="s">
        <v>433</v>
      </c>
      <c r="EN23" s="88">
        <v>0</v>
      </c>
      <c r="EO23" s="88">
        <v>0</v>
      </c>
      <c r="EP23" s="88">
        <v>0</v>
      </c>
      <c r="EQ23" s="557">
        <f t="shared" si="27"/>
        <v>0</v>
      </c>
      <c r="ER23" s="557">
        <f t="shared" si="28"/>
        <v>0</v>
      </c>
      <c r="ES23" s="557">
        <f t="shared" si="29"/>
        <v>0</v>
      </c>
      <c r="EW23" s="534" t="s">
        <v>672</v>
      </c>
      <c r="EX23" s="534" t="s">
        <v>673</v>
      </c>
      <c r="EY23" s="534" t="s">
        <v>447</v>
      </c>
      <c r="EZ23" s="534" t="s">
        <v>447</v>
      </c>
      <c r="FA23" s="561" t="s">
        <v>433</v>
      </c>
      <c r="FB23" s="535">
        <v>0</v>
      </c>
      <c r="FC23" s="535">
        <v>0</v>
      </c>
      <c r="FD23" s="535">
        <v>1716000</v>
      </c>
      <c r="FE23" s="535">
        <f t="shared" si="30"/>
        <v>0</v>
      </c>
      <c r="FF23" s="535">
        <f t="shared" si="31"/>
        <v>0</v>
      </c>
      <c r="FG23" s="535">
        <f t="shared" si="32"/>
        <v>1824.1079999999999</v>
      </c>
      <c r="FK23" s="88" t="s">
        <v>434</v>
      </c>
      <c r="FL23" s="88" t="s">
        <v>307</v>
      </c>
      <c r="FM23" s="88" t="s">
        <v>447</v>
      </c>
      <c r="FN23" s="88" t="s">
        <v>447</v>
      </c>
      <c r="FO23" s="354" t="s">
        <v>433</v>
      </c>
      <c r="FP23" s="79">
        <v>0</v>
      </c>
      <c r="FQ23" s="79">
        <v>0</v>
      </c>
      <c r="FR23" s="79">
        <v>0</v>
      </c>
      <c r="FS23" s="535">
        <f t="shared" si="33"/>
        <v>0</v>
      </c>
      <c r="FT23" s="535">
        <f t="shared" si="34"/>
        <v>0</v>
      </c>
      <c r="FU23" s="535">
        <f t="shared" si="35"/>
        <v>0</v>
      </c>
      <c r="GI23" s="638" t="s">
        <v>434</v>
      </c>
      <c r="GJ23" s="638" t="s">
        <v>307</v>
      </c>
      <c r="GK23" s="350" t="s">
        <v>437</v>
      </c>
      <c r="GL23" s="638" t="s">
        <v>329</v>
      </c>
      <c r="GM23" s="638" t="s">
        <v>433</v>
      </c>
      <c r="GN23" s="669">
        <v>0</v>
      </c>
      <c r="GO23" s="669">
        <v>9692789</v>
      </c>
      <c r="GP23" s="669">
        <v>9692789</v>
      </c>
      <c r="GQ23" s="670">
        <f t="shared" si="36"/>
        <v>0</v>
      </c>
      <c r="GR23" s="670">
        <f t="shared" si="37"/>
        <v>10303.434707</v>
      </c>
      <c r="GS23" s="670">
        <f t="shared" si="38"/>
        <v>10303.434707</v>
      </c>
      <c r="GX23" s="624" t="s">
        <v>465</v>
      </c>
      <c r="GY23" s="536" t="s">
        <v>466</v>
      </c>
      <c r="GZ23" s="536" t="s">
        <v>447</v>
      </c>
      <c r="HA23" s="536" t="s">
        <v>447</v>
      </c>
      <c r="HB23" s="536" t="s">
        <v>433</v>
      </c>
      <c r="HC23" s="721">
        <v>4726139</v>
      </c>
      <c r="HD23" s="722">
        <f t="shared" si="39"/>
        <v>4726.1390000000001</v>
      </c>
      <c r="HE23" s="80"/>
      <c r="HF23" s="80"/>
      <c r="HH23" s="725" t="s">
        <v>434</v>
      </c>
      <c r="HI23" s="725" t="s">
        <v>307</v>
      </c>
      <c r="HJ23" s="725" t="s">
        <v>437</v>
      </c>
      <c r="HK23" s="726" t="s">
        <v>329</v>
      </c>
      <c r="HL23" s="726" t="s">
        <v>433</v>
      </c>
      <c r="HM23" s="355">
        <v>0</v>
      </c>
      <c r="HN23" s="355">
        <v>104595605</v>
      </c>
      <c r="HO23" s="355">
        <v>85385040</v>
      </c>
      <c r="HP23" s="724">
        <f t="shared" si="40"/>
        <v>0</v>
      </c>
      <c r="HQ23" s="724">
        <f t="shared" si="41"/>
        <v>104595.605</v>
      </c>
      <c r="HR23" s="724">
        <f t="shared" si="42"/>
        <v>85385.04</v>
      </c>
      <c r="HW23" s="726" t="s">
        <v>438</v>
      </c>
      <c r="HX23" s="726" t="s">
        <v>335</v>
      </c>
      <c r="HY23" s="726" t="s">
        <v>462</v>
      </c>
      <c r="HZ23" s="726" t="s">
        <v>633</v>
      </c>
      <c r="IA23" s="726" t="s">
        <v>433</v>
      </c>
      <c r="IB23" s="761">
        <v>0</v>
      </c>
      <c r="IC23" s="761">
        <v>0</v>
      </c>
      <c r="ID23" s="761">
        <v>106000000</v>
      </c>
      <c r="IE23" s="537">
        <f t="shared" si="43"/>
        <v>106000</v>
      </c>
      <c r="II23" s="350" t="s">
        <v>434</v>
      </c>
      <c r="IJ23" s="350" t="s">
        <v>307</v>
      </c>
      <c r="IK23" s="350" t="s">
        <v>437</v>
      </c>
      <c r="IL23" s="350" t="s">
        <v>329</v>
      </c>
      <c r="IM23" s="638" t="s">
        <v>433</v>
      </c>
      <c r="IN23" s="244">
        <v>0</v>
      </c>
      <c r="IO23" s="244">
        <v>104595605</v>
      </c>
      <c r="IP23" s="244">
        <v>95048884</v>
      </c>
      <c r="IQ23" s="756">
        <f t="shared" si="44"/>
        <v>0</v>
      </c>
      <c r="IR23" s="756">
        <f t="shared" si="45"/>
        <v>104595.605</v>
      </c>
      <c r="IS23" s="756">
        <f t="shared" si="46"/>
        <v>95048.884000000005</v>
      </c>
      <c r="JG23" s="536" t="s">
        <v>434</v>
      </c>
      <c r="JH23" s="536" t="s">
        <v>307</v>
      </c>
      <c r="JI23" s="536" t="s">
        <v>459</v>
      </c>
      <c r="JJ23" s="536" t="s">
        <v>331</v>
      </c>
      <c r="JK23" s="536" t="s">
        <v>433</v>
      </c>
      <c r="JL23" s="79">
        <v>0</v>
      </c>
      <c r="JM23" s="79">
        <v>25601331</v>
      </c>
      <c r="JN23" s="79">
        <v>25601331</v>
      </c>
      <c r="JO23" s="166">
        <f t="shared" si="48"/>
        <v>0</v>
      </c>
      <c r="JP23" s="166">
        <f t="shared" si="49"/>
        <v>25601.330999999998</v>
      </c>
      <c r="JQ23" s="166">
        <f t="shared" si="50"/>
        <v>25601.330999999998</v>
      </c>
    </row>
    <row r="24" spans="1:277" ht="15" customHeight="1" x14ac:dyDescent="0.25">
      <c r="A24" s="91" t="s">
        <v>438</v>
      </c>
      <c r="B24" s="91" t="s">
        <v>335</v>
      </c>
      <c r="C24" s="91" t="s">
        <v>462</v>
      </c>
      <c r="D24" s="91" t="s">
        <v>633</v>
      </c>
      <c r="E24" s="92">
        <v>160000000</v>
      </c>
      <c r="F24" s="92">
        <f t="shared" si="7"/>
        <v>170080</v>
      </c>
      <c r="G24" s="92">
        <v>0</v>
      </c>
      <c r="H24" s="92">
        <f t="shared" si="8"/>
        <v>0</v>
      </c>
      <c r="U24" s="89" t="s">
        <v>674</v>
      </c>
      <c r="V24" s="89" t="s">
        <v>675</v>
      </c>
      <c r="W24" s="89" t="s">
        <v>447</v>
      </c>
      <c r="X24" s="1228" t="s">
        <v>447</v>
      </c>
      <c r="Y24" s="90">
        <v>50000000</v>
      </c>
      <c r="Z24" s="90">
        <f t="shared" si="9"/>
        <v>53150</v>
      </c>
      <c r="AD24" s="89" t="s">
        <v>508</v>
      </c>
      <c r="AE24" s="89" t="s">
        <v>523</v>
      </c>
      <c r="AF24" s="89" t="s">
        <v>447</v>
      </c>
      <c r="AG24" s="89" t="s">
        <v>447</v>
      </c>
      <c r="AH24" s="90">
        <v>0</v>
      </c>
      <c r="AI24" s="90">
        <f t="shared" si="10"/>
        <v>0</v>
      </c>
      <c r="AJ24" s="90">
        <v>14500000</v>
      </c>
      <c r="AM24" s="166"/>
      <c r="AW24" s="89" t="s">
        <v>508</v>
      </c>
      <c r="AX24" s="89" t="s">
        <v>523</v>
      </c>
      <c r="AY24" s="89" t="s">
        <v>447</v>
      </c>
      <c r="AZ24" s="89" t="s">
        <v>447</v>
      </c>
      <c r="BA24" s="90">
        <v>0</v>
      </c>
      <c r="BB24" s="90">
        <v>28982300</v>
      </c>
      <c r="BC24" s="90">
        <v>14500000</v>
      </c>
      <c r="BD24" s="90">
        <f t="shared" si="1"/>
        <v>0</v>
      </c>
      <c r="BE24" s="90">
        <f t="shared" si="2"/>
        <v>30808.184899999997</v>
      </c>
      <c r="BF24" s="90">
        <f t="shared" si="3"/>
        <v>15413.5</v>
      </c>
      <c r="BT24" s="86" t="s">
        <v>508</v>
      </c>
      <c r="BU24" s="86" t="s">
        <v>523</v>
      </c>
      <c r="BV24" s="86" t="s">
        <v>447</v>
      </c>
      <c r="BW24" s="86" t="s">
        <v>447</v>
      </c>
      <c r="BX24" s="296" t="s">
        <v>433</v>
      </c>
      <c r="BY24" s="87">
        <v>0</v>
      </c>
      <c r="BZ24" s="87">
        <v>28982300</v>
      </c>
      <c r="CA24" s="87">
        <v>21247300</v>
      </c>
      <c r="CB24" s="166">
        <f t="shared" si="12"/>
        <v>0</v>
      </c>
      <c r="CC24" s="166">
        <f t="shared" si="13"/>
        <v>30808.184899999997</v>
      </c>
      <c r="CD24" s="166">
        <f t="shared" si="14"/>
        <v>22585.879899999996</v>
      </c>
      <c r="CV24" s="88" t="s">
        <v>452</v>
      </c>
      <c r="CW24" s="88" t="s">
        <v>128</v>
      </c>
      <c r="CX24" s="88" t="s">
        <v>447</v>
      </c>
      <c r="CY24" s="88" t="s">
        <v>447</v>
      </c>
      <c r="CZ24" s="88">
        <v>0</v>
      </c>
      <c r="DA24" s="88">
        <v>0</v>
      </c>
      <c r="DB24" s="88">
        <v>0</v>
      </c>
      <c r="DC24" s="557">
        <f t="shared" si="18"/>
        <v>0</v>
      </c>
      <c r="DD24" s="557">
        <f t="shared" si="19"/>
        <v>0</v>
      </c>
      <c r="DE24" s="557">
        <f t="shared" si="20"/>
        <v>0</v>
      </c>
      <c r="DI24" s="307" t="s">
        <v>508</v>
      </c>
      <c r="DJ24" s="307" t="s">
        <v>523</v>
      </c>
      <c r="DK24" s="307" t="s">
        <v>447</v>
      </c>
      <c r="DL24" s="307" t="s">
        <v>447</v>
      </c>
      <c r="DM24" s="79">
        <v>90486000</v>
      </c>
      <c r="DN24" s="79">
        <v>0</v>
      </c>
      <c r="DO24" s="79">
        <v>0</v>
      </c>
      <c r="DP24" s="560">
        <f t="shared" si="21"/>
        <v>96186.618000000002</v>
      </c>
      <c r="DQ24" s="560">
        <f t="shared" si="22"/>
        <v>0</v>
      </c>
      <c r="DR24" s="560">
        <f t="shared" si="23"/>
        <v>0</v>
      </c>
      <c r="DV24" s="534" t="s">
        <v>672</v>
      </c>
      <c r="DW24" s="534" t="s">
        <v>673</v>
      </c>
      <c r="DX24" s="534" t="s">
        <v>447</v>
      </c>
      <c r="DY24" s="536" t="s">
        <v>447</v>
      </c>
      <c r="DZ24" s="561" t="s">
        <v>433</v>
      </c>
      <c r="EA24" s="535">
        <v>0</v>
      </c>
      <c r="EB24" s="535">
        <v>0</v>
      </c>
      <c r="EC24" s="535">
        <v>3432000</v>
      </c>
      <c r="ED24" s="535">
        <f t="shared" si="24"/>
        <v>0</v>
      </c>
      <c r="EE24" s="535">
        <f t="shared" si="25"/>
        <v>0</v>
      </c>
      <c r="EF24" s="535">
        <f t="shared" si="26"/>
        <v>3648.2159999999999</v>
      </c>
      <c r="EG24" s="95"/>
      <c r="EI24" s="88" t="s">
        <v>434</v>
      </c>
      <c r="EJ24" s="88" t="s">
        <v>307</v>
      </c>
      <c r="EK24" s="88" t="s">
        <v>436</v>
      </c>
      <c r="EL24" s="88" t="s">
        <v>339</v>
      </c>
      <c r="EM24" s="88" t="s">
        <v>433</v>
      </c>
      <c r="EN24" s="88">
        <v>0</v>
      </c>
      <c r="EO24" s="88">
        <v>126372955</v>
      </c>
      <c r="EP24" s="88">
        <v>48024264</v>
      </c>
      <c r="EQ24" s="557">
        <f t="shared" si="27"/>
        <v>0</v>
      </c>
      <c r="ER24" s="557">
        <f t="shared" si="28"/>
        <v>134334.45116500001</v>
      </c>
      <c r="ES24" s="557">
        <f t="shared" si="29"/>
        <v>51049.792631999997</v>
      </c>
      <c r="FG24" s="78">
        <f>SUM(FG3:FG23)</f>
        <v>514456.52450099989</v>
      </c>
      <c r="FK24" s="88" t="s">
        <v>434</v>
      </c>
      <c r="FL24" s="88" t="s">
        <v>307</v>
      </c>
      <c r="FM24" s="88" t="s">
        <v>435</v>
      </c>
      <c r="FN24" s="88" t="s">
        <v>328</v>
      </c>
      <c r="FO24" s="354" t="s">
        <v>433</v>
      </c>
      <c r="FP24" s="79">
        <v>0</v>
      </c>
      <c r="FQ24" s="79">
        <v>1127106484</v>
      </c>
      <c r="FR24" s="79">
        <v>482366827</v>
      </c>
      <c r="FS24" s="535">
        <f t="shared" si="33"/>
        <v>0</v>
      </c>
      <c r="FT24" s="535">
        <f t="shared" si="34"/>
        <v>1198114.1924919998</v>
      </c>
      <c r="FU24" s="535">
        <f t="shared" si="35"/>
        <v>512755.93710099999</v>
      </c>
      <c r="GI24" s="638" t="s">
        <v>434</v>
      </c>
      <c r="GJ24" s="638" t="s">
        <v>307</v>
      </c>
      <c r="GK24" s="350" t="s">
        <v>435</v>
      </c>
      <c r="GL24" s="638" t="s">
        <v>328</v>
      </c>
      <c r="GM24" s="638" t="s">
        <v>433</v>
      </c>
      <c r="GN24" s="669">
        <v>0</v>
      </c>
      <c r="GO24" s="669">
        <v>1599983100</v>
      </c>
      <c r="GP24" s="669">
        <v>648908530</v>
      </c>
      <c r="GQ24" s="670">
        <f t="shared" si="36"/>
        <v>0</v>
      </c>
      <c r="GR24" s="670">
        <f t="shared" si="37"/>
        <v>1700782.0353000001</v>
      </c>
      <c r="GS24" s="670">
        <f t="shared" si="38"/>
        <v>689789.76739000005</v>
      </c>
      <c r="GX24" s="624" t="s">
        <v>534</v>
      </c>
      <c r="GY24" s="536" t="s">
        <v>537</v>
      </c>
      <c r="GZ24" s="536" t="s">
        <v>447</v>
      </c>
      <c r="HA24" s="536" t="s">
        <v>447</v>
      </c>
      <c r="HB24" s="536" t="s">
        <v>433</v>
      </c>
      <c r="HC24" s="721">
        <v>19600000</v>
      </c>
      <c r="HD24" s="722">
        <f t="shared" si="39"/>
        <v>19600</v>
      </c>
      <c r="HE24" s="80"/>
      <c r="HF24" s="80"/>
      <c r="HH24" s="725" t="s">
        <v>434</v>
      </c>
      <c r="HI24" s="725" t="s">
        <v>307</v>
      </c>
      <c r="HJ24" s="725" t="s">
        <v>436</v>
      </c>
      <c r="HK24" s="726" t="s">
        <v>339</v>
      </c>
      <c r="HL24" s="726" t="s">
        <v>433</v>
      </c>
      <c r="HM24" s="355">
        <v>0</v>
      </c>
      <c r="HN24" s="355">
        <v>133735255</v>
      </c>
      <c r="HO24" s="355">
        <v>93015762</v>
      </c>
      <c r="HP24" s="724">
        <f t="shared" si="40"/>
        <v>0</v>
      </c>
      <c r="HQ24" s="724">
        <f t="shared" si="41"/>
        <v>133735.255</v>
      </c>
      <c r="HR24" s="724">
        <f t="shared" si="42"/>
        <v>93015.762000000002</v>
      </c>
      <c r="HW24" s="726" t="s">
        <v>438</v>
      </c>
      <c r="HX24" s="726" t="s">
        <v>335</v>
      </c>
      <c r="HY24" s="726" t="s">
        <v>499</v>
      </c>
      <c r="HZ24" s="726" t="s">
        <v>632</v>
      </c>
      <c r="IA24" s="726" t="s">
        <v>433</v>
      </c>
      <c r="IB24" s="761">
        <v>0</v>
      </c>
      <c r="IC24" s="761">
        <v>796600000</v>
      </c>
      <c r="ID24" s="761">
        <v>200000000</v>
      </c>
      <c r="IE24" s="537">
        <f t="shared" si="43"/>
        <v>200000</v>
      </c>
      <c r="II24" s="350" t="s">
        <v>434</v>
      </c>
      <c r="IJ24" s="350" t="s">
        <v>307</v>
      </c>
      <c r="IK24" s="350" t="s">
        <v>447</v>
      </c>
      <c r="IL24" s="350" t="s">
        <v>447</v>
      </c>
      <c r="IM24" s="638" t="s">
        <v>433</v>
      </c>
      <c r="IN24" s="244">
        <v>0</v>
      </c>
      <c r="IO24" s="244">
        <v>0</v>
      </c>
      <c r="IP24" s="244">
        <v>0</v>
      </c>
      <c r="IQ24" s="756">
        <f t="shared" si="44"/>
        <v>0</v>
      </c>
      <c r="IR24" s="756">
        <f t="shared" si="45"/>
        <v>0</v>
      </c>
      <c r="IS24" s="756">
        <f t="shared" si="46"/>
        <v>0</v>
      </c>
      <c r="JG24" s="536" t="s">
        <v>434</v>
      </c>
      <c r="JH24" s="536" t="s">
        <v>307</v>
      </c>
      <c r="JI24" s="536" t="s">
        <v>435</v>
      </c>
      <c r="JJ24" s="536" t="s">
        <v>328</v>
      </c>
      <c r="JK24" s="536" t="s">
        <v>433</v>
      </c>
      <c r="JL24" s="79">
        <v>0</v>
      </c>
      <c r="JM24" s="79">
        <v>1292191247</v>
      </c>
      <c r="JN24" s="79">
        <v>1292191247</v>
      </c>
      <c r="JO24" s="166">
        <f t="shared" si="48"/>
        <v>0</v>
      </c>
      <c r="JP24" s="166">
        <f t="shared" si="49"/>
        <v>1292191.247</v>
      </c>
      <c r="JQ24" s="166">
        <f t="shared" si="50"/>
        <v>1292191.247</v>
      </c>
    </row>
    <row r="25" spans="1:277" ht="15" customHeight="1" x14ac:dyDescent="0.25">
      <c r="A25" s="91" t="s">
        <v>438</v>
      </c>
      <c r="B25" s="91" t="s">
        <v>335</v>
      </c>
      <c r="C25" s="91" t="s">
        <v>439</v>
      </c>
      <c r="D25" s="91" t="s">
        <v>492</v>
      </c>
      <c r="E25" s="92">
        <v>120000000</v>
      </c>
      <c r="F25" s="92">
        <f t="shared" si="7"/>
        <v>127560</v>
      </c>
      <c r="G25" s="92">
        <v>0</v>
      </c>
      <c r="H25" s="92">
        <f t="shared" si="8"/>
        <v>0</v>
      </c>
      <c r="U25" s="89" t="s">
        <v>452</v>
      </c>
      <c r="V25" s="89" t="s">
        <v>128</v>
      </c>
      <c r="W25" s="89" t="s">
        <v>447</v>
      </c>
      <c r="X25" s="1228" t="s">
        <v>447</v>
      </c>
      <c r="Y25" s="90">
        <v>10000</v>
      </c>
      <c r="Z25" s="90">
        <f t="shared" si="9"/>
        <v>10.629999999999999</v>
      </c>
      <c r="AD25" s="89" t="s">
        <v>460</v>
      </c>
      <c r="AE25" s="89" t="s">
        <v>461</v>
      </c>
      <c r="AF25" s="89" t="s">
        <v>447</v>
      </c>
      <c r="AG25" s="89" t="s">
        <v>447</v>
      </c>
      <c r="AH25" s="90">
        <v>181473000</v>
      </c>
      <c r="AI25" s="90">
        <f t="shared" si="10"/>
        <v>192905.799</v>
      </c>
      <c r="AJ25" s="90">
        <v>0</v>
      </c>
      <c r="AM25" s="166"/>
      <c r="AW25" s="89" t="s">
        <v>460</v>
      </c>
      <c r="AX25" s="89" t="s">
        <v>461</v>
      </c>
      <c r="AY25" s="89" t="s">
        <v>447</v>
      </c>
      <c r="AZ25" s="89" t="s">
        <v>447</v>
      </c>
      <c r="BA25" s="90">
        <v>181473000</v>
      </c>
      <c r="BB25" s="90">
        <v>0</v>
      </c>
      <c r="BC25" s="90">
        <v>0</v>
      </c>
      <c r="BD25" s="90">
        <f t="shared" si="1"/>
        <v>192905.799</v>
      </c>
      <c r="BE25" s="90">
        <f t="shared" si="2"/>
        <v>0</v>
      </c>
      <c r="BF25" s="90">
        <f t="shared" si="3"/>
        <v>0</v>
      </c>
      <c r="BT25" s="86" t="s">
        <v>460</v>
      </c>
      <c r="BU25" s="86" t="s">
        <v>461</v>
      </c>
      <c r="BV25" s="86" t="s">
        <v>447</v>
      </c>
      <c r="BW25" s="86" t="s">
        <v>447</v>
      </c>
      <c r="BX25" s="296" t="s">
        <v>433</v>
      </c>
      <c r="BY25" s="87">
        <v>181473000</v>
      </c>
      <c r="BZ25" s="87">
        <v>0</v>
      </c>
      <c r="CA25" s="87">
        <v>0</v>
      </c>
      <c r="CB25" s="166">
        <f t="shared" si="12"/>
        <v>192905.799</v>
      </c>
      <c r="CC25" s="166">
        <f t="shared" si="13"/>
        <v>0</v>
      </c>
      <c r="CD25" s="166">
        <f t="shared" si="14"/>
        <v>0</v>
      </c>
      <c r="CV25" s="88"/>
      <c r="CW25" s="88"/>
      <c r="CX25" s="88"/>
      <c r="CY25" s="88"/>
      <c r="CZ25" s="88"/>
      <c r="DA25" s="88"/>
      <c r="DB25" s="88"/>
      <c r="DC25" s="88"/>
      <c r="DD25" s="88"/>
      <c r="DE25" s="88"/>
      <c r="DI25" s="307" t="s">
        <v>508</v>
      </c>
      <c r="DJ25" s="307" t="s">
        <v>523</v>
      </c>
      <c r="DK25" s="307" t="s">
        <v>447</v>
      </c>
      <c r="DL25" s="307" t="s">
        <v>447</v>
      </c>
      <c r="DM25" s="79">
        <v>0</v>
      </c>
      <c r="DN25" s="79">
        <v>28982300</v>
      </c>
      <c r="DO25" s="79">
        <v>21247300</v>
      </c>
      <c r="DP25" s="560">
        <f t="shared" si="21"/>
        <v>0</v>
      </c>
      <c r="DQ25" s="560">
        <f t="shared" si="22"/>
        <v>30808.184899999997</v>
      </c>
      <c r="DR25" s="560">
        <f t="shared" si="23"/>
        <v>22585.879899999996</v>
      </c>
      <c r="DV25" s="534" t="s">
        <v>452</v>
      </c>
      <c r="DW25" s="534" t="s">
        <v>128</v>
      </c>
      <c r="DX25" s="534" t="s">
        <v>447</v>
      </c>
      <c r="DY25" s="536" t="s">
        <v>447</v>
      </c>
      <c r="DZ25" s="561" t="s">
        <v>433</v>
      </c>
      <c r="EA25" s="535">
        <v>0</v>
      </c>
      <c r="EB25" s="535">
        <v>0</v>
      </c>
      <c r="EC25" s="535">
        <v>0</v>
      </c>
      <c r="ED25" s="535">
        <f t="shared" si="24"/>
        <v>0</v>
      </c>
      <c r="EE25" s="535">
        <f t="shared" si="25"/>
        <v>0</v>
      </c>
      <c r="EF25" s="535">
        <f t="shared" si="26"/>
        <v>0</v>
      </c>
      <c r="EG25" s="95"/>
      <c r="EI25" s="88" t="s">
        <v>508</v>
      </c>
      <c r="EJ25" s="88" t="s">
        <v>523</v>
      </c>
      <c r="EK25" s="88" t="s">
        <v>447</v>
      </c>
      <c r="EL25" s="88" t="s">
        <v>447</v>
      </c>
      <c r="EM25" s="88" t="s">
        <v>433</v>
      </c>
      <c r="EN25" s="88">
        <v>90486000</v>
      </c>
      <c r="EO25" s="88">
        <v>0</v>
      </c>
      <c r="EP25" s="88">
        <v>0</v>
      </c>
      <c r="EQ25" s="557">
        <f t="shared" si="27"/>
        <v>96186.618000000002</v>
      </c>
      <c r="ER25" s="557">
        <f t="shared" si="28"/>
        <v>0</v>
      </c>
      <c r="ES25" s="557">
        <f t="shared" si="29"/>
        <v>0</v>
      </c>
      <c r="FK25" s="88" t="s">
        <v>508</v>
      </c>
      <c r="FL25" s="88" t="s">
        <v>523</v>
      </c>
      <c r="FM25" s="88" t="s">
        <v>447</v>
      </c>
      <c r="FN25" s="88" t="s">
        <v>447</v>
      </c>
      <c r="FO25" s="354" t="s">
        <v>433</v>
      </c>
      <c r="FP25" s="79">
        <v>90486000</v>
      </c>
      <c r="FQ25" s="79">
        <v>0</v>
      </c>
      <c r="FR25" s="79">
        <v>0</v>
      </c>
      <c r="FS25" s="535">
        <f t="shared" si="33"/>
        <v>96186.618000000002</v>
      </c>
      <c r="FT25" s="535">
        <f t="shared" si="34"/>
        <v>0</v>
      </c>
      <c r="FU25" s="535">
        <f t="shared" si="35"/>
        <v>0</v>
      </c>
      <c r="GI25" s="638" t="s">
        <v>508</v>
      </c>
      <c r="GJ25" s="638" t="s">
        <v>523</v>
      </c>
      <c r="GK25" s="350" t="s">
        <v>447</v>
      </c>
      <c r="GL25" s="638" t="s">
        <v>447</v>
      </c>
      <c r="GM25" s="638" t="s">
        <v>433</v>
      </c>
      <c r="GN25" s="669">
        <v>90486000</v>
      </c>
      <c r="GO25" s="669">
        <v>0</v>
      </c>
      <c r="GP25" s="669">
        <v>0</v>
      </c>
      <c r="GQ25" s="670">
        <f t="shared" si="36"/>
        <v>96186.618000000002</v>
      </c>
      <c r="GR25" s="670">
        <f t="shared" si="37"/>
        <v>0</v>
      </c>
      <c r="GS25" s="670">
        <f t="shared" si="38"/>
        <v>0</v>
      </c>
      <c r="GX25" s="80"/>
      <c r="GY25" s="80"/>
      <c r="GZ25" s="80"/>
      <c r="HA25" s="80"/>
      <c r="HB25" s="80"/>
      <c r="HC25" s="80"/>
      <c r="HD25" s="80"/>
      <c r="HE25" s="80"/>
      <c r="HF25" s="80"/>
      <c r="HH25" s="725" t="s">
        <v>508</v>
      </c>
      <c r="HI25" s="725" t="s">
        <v>523</v>
      </c>
      <c r="HJ25" s="725" t="s">
        <v>447</v>
      </c>
      <c r="HK25" s="726" t="s">
        <v>447</v>
      </c>
      <c r="HL25" s="726" t="s">
        <v>433</v>
      </c>
      <c r="HM25" s="355">
        <v>90486000</v>
      </c>
      <c r="HN25" s="355">
        <v>0</v>
      </c>
      <c r="HO25" s="355">
        <v>0</v>
      </c>
      <c r="HP25" s="724">
        <f t="shared" si="40"/>
        <v>90486</v>
      </c>
      <c r="HQ25" s="724">
        <f t="shared" si="41"/>
        <v>0</v>
      </c>
      <c r="HR25" s="724">
        <f t="shared" si="42"/>
        <v>0</v>
      </c>
      <c r="HW25" s="726" t="s">
        <v>438</v>
      </c>
      <c r="HX25" s="726" t="s">
        <v>335</v>
      </c>
      <c r="HY25" s="726" t="s">
        <v>447</v>
      </c>
      <c r="HZ25" s="726" t="s">
        <v>447</v>
      </c>
      <c r="IA25" s="726" t="s">
        <v>433</v>
      </c>
      <c r="IB25" s="761">
        <v>0</v>
      </c>
      <c r="IC25" s="761">
        <v>0</v>
      </c>
      <c r="ID25" s="761">
        <v>0</v>
      </c>
      <c r="IE25" s="537">
        <f t="shared" si="43"/>
        <v>0</v>
      </c>
      <c r="II25" s="350" t="s">
        <v>434</v>
      </c>
      <c r="IJ25" s="350" t="s">
        <v>307</v>
      </c>
      <c r="IK25" s="350" t="s">
        <v>459</v>
      </c>
      <c r="IL25" s="350" t="s">
        <v>331</v>
      </c>
      <c r="IM25" s="638" t="s">
        <v>433</v>
      </c>
      <c r="IN25" s="244">
        <v>0</v>
      </c>
      <c r="IO25" s="244">
        <v>29467178</v>
      </c>
      <c r="IP25" s="244">
        <v>19547372</v>
      </c>
      <c r="IQ25" s="756">
        <f t="shared" si="44"/>
        <v>0</v>
      </c>
      <c r="IR25" s="756">
        <f t="shared" si="45"/>
        <v>29467.178</v>
      </c>
      <c r="IS25" s="756">
        <f t="shared" si="46"/>
        <v>19547.371999999999</v>
      </c>
      <c r="JG25" s="536" t="s">
        <v>434</v>
      </c>
      <c r="JH25" s="536" t="s">
        <v>307</v>
      </c>
      <c r="JI25" s="536" t="s">
        <v>447</v>
      </c>
      <c r="JJ25" s="536" t="s">
        <v>447</v>
      </c>
      <c r="JK25" s="536" t="s">
        <v>433</v>
      </c>
      <c r="JL25" s="79">
        <v>0</v>
      </c>
      <c r="JM25" s="79">
        <v>0</v>
      </c>
      <c r="JN25" s="79">
        <v>0</v>
      </c>
      <c r="JO25" s="166">
        <f t="shared" si="48"/>
        <v>0</v>
      </c>
      <c r="JP25" s="166">
        <f t="shared" si="49"/>
        <v>0</v>
      </c>
      <c r="JQ25" s="166">
        <f t="shared" si="50"/>
        <v>0</v>
      </c>
    </row>
    <row r="26" spans="1:277" ht="15" customHeight="1" x14ac:dyDescent="0.25">
      <c r="A26" s="91" t="s">
        <v>438</v>
      </c>
      <c r="B26" s="91" t="s">
        <v>335</v>
      </c>
      <c r="C26" s="91" t="s">
        <v>500</v>
      </c>
      <c r="D26" s="91" t="s">
        <v>489</v>
      </c>
      <c r="E26" s="92">
        <v>0</v>
      </c>
      <c r="F26" s="92">
        <f t="shared" si="7"/>
        <v>0</v>
      </c>
      <c r="G26" s="92">
        <v>0</v>
      </c>
      <c r="H26" s="92">
        <f t="shared" si="8"/>
        <v>0</v>
      </c>
      <c r="Z26" s="78"/>
      <c r="AD26" s="89" t="s">
        <v>438</v>
      </c>
      <c r="AE26" s="89" t="s">
        <v>335</v>
      </c>
      <c r="AF26" s="89" t="s">
        <v>499</v>
      </c>
      <c r="AG26" s="89" t="s">
        <v>632</v>
      </c>
      <c r="AH26" s="90">
        <v>1000906000</v>
      </c>
      <c r="AI26" s="90">
        <f t="shared" si="10"/>
        <v>1063963.078</v>
      </c>
      <c r="AJ26" s="90">
        <v>0</v>
      </c>
      <c r="AM26" s="166"/>
      <c r="AW26" s="89" t="s">
        <v>438</v>
      </c>
      <c r="AX26" s="89" t="s">
        <v>335</v>
      </c>
      <c r="AY26" s="89" t="s">
        <v>439</v>
      </c>
      <c r="AZ26" s="89" t="s">
        <v>492</v>
      </c>
      <c r="BA26" s="90">
        <v>120000000</v>
      </c>
      <c r="BB26" s="90">
        <v>0</v>
      </c>
      <c r="BC26" s="90">
        <v>0</v>
      </c>
      <c r="BD26" s="90">
        <f t="shared" si="1"/>
        <v>127560</v>
      </c>
      <c r="BE26" s="90">
        <f t="shared" si="2"/>
        <v>0</v>
      </c>
      <c r="BF26" s="90">
        <f t="shared" si="3"/>
        <v>0</v>
      </c>
      <c r="BT26" s="86" t="s">
        <v>438</v>
      </c>
      <c r="BU26" s="86" t="s">
        <v>335</v>
      </c>
      <c r="BV26" s="86" t="s">
        <v>439</v>
      </c>
      <c r="BW26" s="86" t="s">
        <v>492</v>
      </c>
      <c r="BX26" s="296" t="s">
        <v>433</v>
      </c>
      <c r="BY26" s="87">
        <v>120000000</v>
      </c>
      <c r="BZ26" s="87">
        <v>0</v>
      </c>
      <c r="CA26" s="87">
        <v>0</v>
      </c>
      <c r="CB26" s="166">
        <f t="shared" si="12"/>
        <v>127560</v>
      </c>
      <c r="CC26" s="166">
        <f t="shared" si="13"/>
        <v>0</v>
      </c>
      <c r="CD26" s="166">
        <f t="shared" si="14"/>
        <v>0</v>
      </c>
      <c r="DI26" s="307" t="s">
        <v>460</v>
      </c>
      <c r="DJ26" s="307" t="s">
        <v>461</v>
      </c>
      <c r="DK26" s="307" t="s">
        <v>447</v>
      </c>
      <c r="DL26" s="307" t="s">
        <v>447</v>
      </c>
      <c r="DM26" s="79">
        <v>181473000</v>
      </c>
      <c r="DN26" s="79">
        <v>0</v>
      </c>
      <c r="DO26" s="79">
        <v>0</v>
      </c>
      <c r="DP26" s="560">
        <f t="shared" si="21"/>
        <v>192905.799</v>
      </c>
      <c r="DQ26" s="560">
        <f t="shared" si="22"/>
        <v>0</v>
      </c>
      <c r="DR26" s="560">
        <f t="shared" si="23"/>
        <v>0</v>
      </c>
      <c r="DV26" s="95"/>
      <c r="DW26" s="95"/>
      <c r="DX26" s="95"/>
      <c r="DY26" s="562"/>
      <c r="DZ26" s="95"/>
      <c r="EA26" s="95"/>
      <c r="EB26" s="95"/>
      <c r="EC26" s="95"/>
      <c r="ED26" s="95"/>
      <c r="EE26" s="95"/>
      <c r="EF26" s="563">
        <f>SUM(EF3:EF25)</f>
        <v>282305.59038900002</v>
      </c>
      <c r="EG26" s="95"/>
      <c r="EI26" s="88" t="s">
        <v>508</v>
      </c>
      <c r="EJ26" s="88" t="s">
        <v>523</v>
      </c>
      <c r="EK26" s="88" t="s">
        <v>447</v>
      </c>
      <c r="EL26" s="88" t="s">
        <v>447</v>
      </c>
      <c r="EM26" s="88" t="s">
        <v>433</v>
      </c>
      <c r="EN26" s="88">
        <v>0</v>
      </c>
      <c r="EO26" s="88">
        <v>28982300</v>
      </c>
      <c r="EP26" s="88">
        <v>21247300</v>
      </c>
      <c r="EQ26" s="557">
        <f t="shared" si="27"/>
        <v>0</v>
      </c>
      <c r="ER26" s="557">
        <f t="shared" si="28"/>
        <v>30808.184899999997</v>
      </c>
      <c r="ES26" s="557">
        <f t="shared" si="29"/>
        <v>22585.879899999996</v>
      </c>
      <c r="FK26" s="88" t="s">
        <v>508</v>
      </c>
      <c r="FL26" s="88" t="s">
        <v>523</v>
      </c>
      <c r="FM26" s="88" t="s">
        <v>447</v>
      </c>
      <c r="FN26" s="88" t="s">
        <v>447</v>
      </c>
      <c r="FO26" s="354" t="s">
        <v>433</v>
      </c>
      <c r="FP26" s="79">
        <v>0</v>
      </c>
      <c r="FQ26" s="79">
        <v>28982300</v>
      </c>
      <c r="FR26" s="79">
        <v>21247300</v>
      </c>
      <c r="FS26" s="535">
        <f t="shared" si="33"/>
        <v>0</v>
      </c>
      <c r="FT26" s="535">
        <f t="shared" si="34"/>
        <v>30808.184899999997</v>
      </c>
      <c r="FU26" s="535">
        <f t="shared" si="35"/>
        <v>22585.879899999996</v>
      </c>
      <c r="GI26" s="638" t="s">
        <v>508</v>
      </c>
      <c r="GJ26" s="638" t="s">
        <v>523</v>
      </c>
      <c r="GK26" s="350" t="s">
        <v>447</v>
      </c>
      <c r="GL26" s="638" t="s">
        <v>447</v>
      </c>
      <c r="GM26" s="638" t="s">
        <v>433</v>
      </c>
      <c r="GN26" s="669">
        <v>0</v>
      </c>
      <c r="GO26" s="669">
        <v>28982300</v>
      </c>
      <c r="GP26" s="669">
        <v>21247300</v>
      </c>
      <c r="GQ26" s="670">
        <f t="shared" si="36"/>
        <v>0</v>
      </c>
      <c r="GR26" s="670">
        <f t="shared" si="37"/>
        <v>30808.184899999997</v>
      </c>
      <c r="GS26" s="670">
        <f t="shared" si="38"/>
        <v>22585.879899999996</v>
      </c>
      <c r="HH26" s="725" t="s">
        <v>508</v>
      </c>
      <c r="HI26" s="725" t="s">
        <v>523</v>
      </c>
      <c r="HJ26" s="725" t="s">
        <v>447</v>
      </c>
      <c r="HK26" s="726" t="s">
        <v>447</v>
      </c>
      <c r="HL26" s="726" t="s">
        <v>433</v>
      </c>
      <c r="HM26" s="355">
        <v>0</v>
      </c>
      <c r="HN26" s="355">
        <v>48272200</v>
      </c>
      <c r="HO26" s="355">
        <v>21247300</v>
      </c>
      <c r="HP26" s="724">
        <f t="shared" si="40"/>
        <v>0</v>
      </c>
      <c r="HQ26" s="724">
        <f t="shared" si="41"/>
        <v>48272.2</v>
      </c>
      <c r="HR26" s="724">
        <f t="shared" si="42"/>
        <v>21247.3</v>
      </c>
      <c r="HW26" s="726" t="s">
        <v>438</v>
      </c>
      <c r="HX26" s="726" t="s">
        <v>335</v>
      </c>
      <c r="HY26" s="726" t="s">
        <v>447</v>
      </c>
      <c r="HZ26" s="726" t="s">
        <v>447</v>
      </c>
      <c r="IA26" s="726" t="s">
        <v>433</v>
      </c>
      <c r="IB26" s="761">
        <v>0</v>
      </c>
      <c r="IC26" s="761">
        <v>0</v>
      </c>
      <c r="ID26" s="761">
        <v>0</v>
      </c>
      <c r="IE26" s="537">
        <f t="shared" si="43"/>
        <v>0</v>
      </c>
      <c r="II26" s="350" t="s">
        <v>434</v>
      </c>
      <c r="IJ26" s="350" t="s">
        <v>307</v>
      </c>
      <c r="IK26" s="350" t="s">
        <v>435</v>
      </c>
      <c r="IL26" s="350" t="s">
        <v>328</v>
      </c>
      <c r="IM26" s="638" t="s">
        <v>433</v>
      </c>
      <c r="IN26" s="244">
        <v>0</v>
      </c>
      <c r="IO26" s="244">
        <v>1650089141</v>
      </c>
      <c r="IP26" s="244">
        <v>1096016002</v>
      </c>
      <c r="IQ26" s="756">
        <f t="shared" si="44"/>
        <v>0</v>
      </c>
      <c r="IR26" s="756">
        <f t="shared" si="45"/>
        <v>1650089.1410000001</v>
      </c>
      <c r="IS26" s="756">
        <f t="shared" si="46"/>
        <v>1096016.0020000001</v>
      </c>
      <c r="JG26" s="536" t="s">
        <v>434</v>
      </c>
      <c r="JH26" s="536" t="s">
        <v>307</v>
      </c>
      <c r="JI26" s="536" t="s">
        <v>437</v>
      </c>
      <c r="JJ26" s="536" t="s">
        <v>329</v>
      </c>
      <c r="JK26" s="536" t="s">
        <v>433</v>
      </c>
      <c r="JL26" s="79">
        <v>0</v>
      </c>
      <c r="JM26" s="79">
        <v>9692789</v>
      </c>
      <c r="JN26" s="79">
        <v>9692789</v>
      </c>
      <c r="JO26" s="166">
        <f t="shared" si="48"/>
        <v>0</v>
      </c>
      <c r="JP26" s="166">
        <f t="shared" si="49"/>
        <v>9692.7890000000007</v>
      </c>
      <c r="JQ26" s="166">
        <f t="shared" si="50"/>
        <v>9692.7890000000007</v>
      </c>
    </row>
    <row r="27" spans="1:277" ht="15" customHeight="1" x14ac:dyDescent="0.25">
      <c r="A27" s="91" t="s">
        <v>438</v>
      </c>
      <c r="B27" s="91" t="s">
        <v>335</v>
      </c>
      <c r="C27" s="91" t="s">
        <v>629</v>
      </c>
      <c r="D27" s="91" t="s">
        <v>630</v>
      </c>
      <c r="E27" s="92">
        <v>0</v>
      </c>
      <c r="F27" s="92">
        <f t="shared" si="7"/>
        <v>0</v>
      </c>
      <c r="G27" s="92">
        <v>0</v>
      </c>
      <c r="H27" s="92">
        <f t="shared" si="8"/>
        <v>0</v>
      </c>
      <c r="AD27" s="89" t="s">
        <v>438</v>
      </c>
      <c r="AE27" s="89" t="s">
        <v>335</v>
      </c>
      <c r="AF27" s="89" t="s">
        <v>629</v>
      </c>
      <c r="AG27" s="89" t="s">
        <v>630</v>
      </c>
      <c r="AH27" s="90">
        <v>793000000</v>
      </c>
      <c r="AI27" s="90">
        <f t="shared" si="10"/>
        <v>842959</v>
      </c>
      <c r="AJ27" s="90">
        <v>0</v>
      </c>
      <c r="AM27" s="166"/>
      <c r="AW27" s="89" t="s">
        <v>438</v>
      </c>
      <c r="AX27" s="89" t="s">
        <v>335</v>
      </c>
      <c r="AY27" s="89" t="s">
        <v>488</v>
      </c>
      <c r="AZ27" s="89" t="s">
        <v>631</v>
      </c>
      <c r="BA27" s="90">
        <v>310000000</v>
      </c>
      <c r="BB27" s="90">
        <v>0</v>
      </c>
      <c r="BC27" s="90">
        <v>0</v>
      </c>
      <c r="BD27" s="90">
        <f t="shared" si="1"/>
        <v>329530</v>
      </c>
      <c r="BE27" s="90">
        <f t="shared" si="2"/>
        <v>0</v>
      </c>
      <c r="BF27" s="90">
        <f t="shared" si="3"/>
        <v>0</v>
      </c>
      <c r="BT27" s="86" t="s">
        <v>438</v>
      </c>
      <c r="BU27" s="86" t="s">
        <v>335</v>
      </c>
      <c r="BV27" s="86" t="s">
        <v>488</v>
      </c>
      <c r="BW27" s="86" t="s">
        <v>631</v>
      </c>
      <c r="BX27" s="296" t="s">
        <v>433</v>
      </c>
      <c r="BY27" s="87">
        <v>310000000</v>
      </c>
      <c r="BZ27" s="87">
        <v>0</v>
      </c>
      <c r="CA27" s="87">
        <v>0</v>
      </c>
      <c r="CB27" s="166">
        <f t="shared" si="12"/>
        <v>329530</v>
      </c>
      <c r="CC27" s="166">
        <f t="shared" si="13"/>
        <v>0</v>
      </c>
      <c r="CD27" s="166">
        <f t="shared" si="14"/>
        <v>0</v>
      </c>
      <c r="DI27" s="307" t="s">
        <v>438</v>
      </c>
      <c r="DJ27" s="307" t="s">
        <v>335</v>
      </c>
      <c r="DK27" s="307" t="s">
        <v>499</v>
      </c>
      <c r="DL27" s="307" t="s">
        <v>632</v>
      </c>
      <c r="DM27" s="79">
        <v>1759306000</v>
      </c>
      <c r="DN27" s="79">
        <v>0</v>
      </c>
      <c r="DO27" s="79">
        <v>0</v>
      </c>
      <c r="DP27" s="560">
        <f t="shared" si="21"/>
        <v>1870142.2779999999</v>
      </c>
      <c r="DQ27" s="560">
        <f t="shared" si="22"/>
        <v>0</v>
      </c>
      <c r="DR27" s="560">
        <f t="shared" si="23"/>
        <v>0</v>
      </c>
      <c r="EI27" s="88" t="s">
        <v>460</v>
      </c>
      <c r="EJ27" s="88" t="s">
        <v>461</v>
      </c>
      <c r="EK27" s="88" t="s">
        <v>447</v>
      </c>
      <c r="EL27" s="88" t="s">
        <v>447</v>
      </c>
      <c r="EM27" s="88" t="s">
        <v>433</v>
      </c>
      <c r="EN27" s="88">
        <v>181473000</v>
      </c>
      <c r="EO27" s="88">
        <v>0</v>
      </c>
      <c r="EP27" s="88">
        <v>0</v>
      </c>
      <c r="EQ27" s="557">
        <f t="shared" si="27"/>
        <v>192905.799</v>
      </c>
      <c r="ER27" s="557">
        <f t="shared" si="28"/>
        <v>0</v>
      </c>
      <c r="ES27" s="557">
        <f t="shared" si="29"/>
        <v>0</v>
      </c>
      <c r="FK27" s="88" t="s">
        <v>460</v>
      </c>
      <c r="FL27" s="88" t="s">
        <v>461</v>
      </c>
      <c r="FM27" s="88" t="s">
        <v>447</v>
      </c>
      <c r="FN27" s="88" t="s">
        <v>447</v>
      </c>
      <c r="FO27" s="354" t="s">
        <v>433</v>
      </c>
      <c r="FP27" s="79">
        <v>181473000</v>
      </c>
      <c r="FQ27" s="79">
        <v>0</v>
      </c>
      <c r="FR27" s="79">
        <v>0</v>
      </c>
      <c r="FS27" s="535">
        <f t="shared" si="33"/>
        <v>192905.799</v>
      </c>
      <c r="FT27" s="535">
        <f t="shared" si="34"/>
        <v>0</v>
      </c>
      <c r="FU27" s="535">
        <f t="shared" si="35"/>
        <v>0</v>
      </c>
      <c r="GI27" s="638" t="s">
        <v>460</v>
      </c>
      <c r="GJ27" s="638" t="s">
        <v>461</v>
      </c>
      <c r="GK27" s="350" t="s">
        <v>447</v>
      </c>
      <c r="GL27" s="638" t="s">
        <v>447</v>
      </c>
      <c r="GM27" s="638" t="s">
        <v>433</v>
      </c>
      <c r="GN27" s="669">
        <v>181473000</v>
      </c>
      <c r="GO27" s="669">
        <v>0</v>
      </c>
      <c r="GP27" s="669">
        <v>0</v>
      </c>
      <c r="GQ27" s="670">
        <f t="shared" si="36"/>
        <v>192905.799</v>
      </c>
      <c r="GR27" s="670">
        <f t="shared" si="37"/>
        <v>0</v>
      </c>
      <c r="GS27" s="670">
        <f t="shared" si="38"/>
        <v>0</v>
      </c>
      <c r="HH27" s="725" t="s">
        <v>460</v>
      </c>
      <c r="HI27" s="725" t="s">
        <v>461</v>
      </c>
      <c r="HJ27" s="725" t="s">
        <v>447</v>
      </c>
      <c r="HK27" s="726" t="s">
        <v>447</v>
      </c>
      <c r="HL27" s="726" t="s">
        <v>433</v>
      </c>
      <c r="HM27" s="355">
        <v>181473000</v>
      </c>
      <c r="HN27" s="355">
        <v>0</v>
      </c>
      <c r="HO27" s="355">
        <v>0</v>
      </c>
      <c r="HP27" s="724">
        <f t="shared" si="40"/>
        <v>181473</v>
      </c>
      <c r="HQ27" s="724">
        <f t="shared" si="41"/>
        <v>0</v>
      </c>
      <c r="HR27" s="724">
        <f t="shared" si="42"/>
        <v>0</v>
      </c>
      <c r="HW27" s="726" t="s">
        <v>463</v>
      </c>
      <c r="HX27" s="726" t="s">
        <v>464</v>
      </c>
      <c r="HY27" s="726" t="s">
        <v>447</v>
      </c>
      <c r="HZ27" s="726" t="s">
        <v>447</v>
      </c>
      <c r="IA27" s="726" t="s">
        <v>433</v>
      </c>
      <c r="IB27" s="761">
        <v>111370686</v>
      </c>
      <c r="IC27" s="761">
        <v>0</v>
      </c>
      <c r="ID27" s="761">
        <v>0</v>
      </c>
      <c r="IE27" s="537">
        <f t="shared" si="43"/>
        <v>0</v>
      </c>
      <c r="II27" s="350" t="s">
        <v>508</v>
      </c>
      <c r="IJ27" s="350" t="s">
        <v>523</v>
      </c>
      <c r="IK27" s="350" t="s">
        <v>447</v>
      </c>
      <c r="IL27" s="350" t="s">
        <v>447</v>
      </c>
      <c r="IM27" s="638" t="s">
        <v>433</v>
      </c>
      <c r="IN27" s="244">
        <v>90486000</v>
      </c>
      <c r="IO27" s="244">
        <v>0</v>
      </c>
      <c r="IP27" s="244">
        <v>0</v>
      </c>
      <c r="IQ27" s="756">
        <f t="shared" si="44"/>
        <v>90486</v>
      </c>
      <c r="IR27" s="756">
        <f t="shared" si="45"/>
        <v>0</v>
      </c>
      <c r="IS27" s="756">
        <f t="shared" si="46"/>
        <v>0</v>
      </c>
      <c r="JG27" s="536" t="s">
        <v>434</v>
      </c>
      <c r="JH27" s="536" t="s">
        <v>307</v>
      </c>
      <c r="JI27" s="536" t="s">
        <v>458</v>
      </c>
      <c r="JJ27" s="536" t="s">
        <v>330</v>
      </c>
      <c r="JK27" s="536" t="s">
        <v>433</v>
      </c>
      <c r="JL27" s="79">
        <v>0</v>
      </c>
      <c r="JM27" s="79">
        <v>111361</v>
      </c>
      <c r="JN27" s="79">
        <v>111361</v>
      </c>
      <c r="JO27" s="166">
        <f t="shared" si="48"/>
        <v>0</v>
      </c>
      <c r="JP27" s="166">
        <f t="shared" si="49"/>
        <v>111.361</v>
      </c>
      <c r="JQ27" s="166">
        <f t="shared" si="50"/>
        <v>111.361</v>
      </c>
    </row>
    <row r="28" spans="1:277" ht="15" customHeight="1" x14ac:dyDescent="0.25">
      <c r="A28" s="91" t="s">
        <v>438</v>
      </c>
      <c r="B28" s="91" t="s">
        <v>335</v>
      </c>
      <c r="C28" s="91" t="s">
        <v>462</v>
      </c>
      <c r="D28" s="91" t="s">
        <v>633</v>
      </c>
      <c r="E28" s="92">
        <v>0</v>
      </c>
      <c r="F28" s="92">
        <f t="shared" si="7"/>
        <v>0</v>
      </c>
      <c r="G28" s="92">
        <v>0</v>
      </c>
      <c r="H28" s="92">
        <f t="shared" si="8"/>
        <v>0</v>
      </c>
      <c r="AD28" s="89" t="s">
        <v>438</v>
      </c>
      <c r="AE28" s="89" t="s">
        <v>335</v>
      </c>
      <c r="AF28" s="89" t="s">
        <v>488</v>
      </c>
      <c r="AG28" s="89" t="s">
        <v>631</v>
      </c>
      <c r="AH28" s="90">
        <v>310000000</v>
      </c>
      <c r="AI28" s="90">
        <f t="shared" si="10"/>
        <v>329530</v>
      </c>
      <c r="AJ28" s="90">
        <v>0</v>
      </c>
      <c r="AM28" s="166"/>
      <c r="AW28" s="89" t="s">
        <v>438</v>
      </c>
      <c r="AX28" s="89" t="s">
        <v>335</v>
      </c>
      <c r="AY28" s="89" t="s">
        <v>500</v>
      </c>
      <c r="AZ28" s="89" t="s">
        <v>489</v>
      </c>
      <c r="BA28" s="90">
        <v>0</v>
      </c>
      <c r="BB28" s="90">
        <v>0</v>
      </c>
      <c r="BC28" s="90">
        <v>0</v>
      </c>
      <c r="BD28" s="90">
        <f t="shared" si="1"/>
        <v>0</v>
      </c>
      <c r="BE28" s="90">
        <f t="shared" si="2"/>
        <v>0</v>
      </c>
      <c r="BF28" s="90">
        <f t="shared" si="3"/>
        <v>0</v>
      </c>
      <c r="BT28" s="86" t="s">
        <v>438</v>
      </c>
      <c r="BU28" s="86" t="s">
        <v>335</v>
      </c>
      <c r="BV28" s="86" t="s">
        <v>500</v>
      </c>
      <c r="BW28" s="86" t="s">
        <v>489</v>
      </c>
      <c r="BX28" s="296" t="s">
        <v>433</v>
      </c>
      <c r="BY28" s="87">
        <v>0</v>
      </c>
      <c r="BZ28" s="87">
        <v>0</v>
      </c>
      <c r="CA28" s="87">
        <v>0</v>
      </c>
      <c r="CB28" s="166">
        <f t="shared" si="12"/>
        <v>0</v>
      </c>
      <c r="CC28" s="166">
        <f t="shared" si="13"/>
        <v>0</v>
      </c>
      <c r="CD28" s="166">
        <f t="shared" si="14"/>
        <v>0</v>
      </c>
      <c r="DI28" s="307" t="s">
        <v>438</v>
      </c>
      <c r="DJ28" s="307" t="s">
        <v>335</v>
      </c>
      <c r="DK28" s="307" t="s">
        <v>629</v>
      </c>
      <c r="DL28" s="307" t="s">
        <v>630</v>
      </c>
      <c r="DM28" s="79">
        <v>793000000</v>
      </c>
      <c r="DN28" s="79">
        <v>0</v>
      </c>
      <c r="DO28" s="79">
        <v>0</v>
      </c>
      <c r="DP28" s="560">
        <f t="shared" si="21"/>
        <v>842959</v>
      </c>
      <c r="DQ28" s="560">
        <f t="shared" si="22"/>
        <v>0</v>
      </c>
      <c r="DR28" s="560">
        <f t="shared" si="23"/>
        <v>0</v>
      </c>
      <c r="EI28" s="88" t="s">
        <v>438</v>
      </c>
      <c r="EJ28" s="88" t="s">
        <v>335</v>
      </c>
      <c r="EK28" s="88" t="s">
        <v>499</v>
      </c>
      <c r="EL28" s="88" t="s">
        <v>632</v>
      </c>
      <c r="EM28" s="88" t="s">
        <v>433</v>
      </c>
      <c r="EN28" s="88">
        <v>1601598000</v>
      </c>
      <c r="EO28" s="88">
        <v>0</v>
      </c>
      <c r="EP28" s="88">
        <v>0</v>
      </c>
      <c r="EQ28" s="557">
        <f t="shared" si="27"/>
        <v>1702498.6739999999</v>
      </c>
      <c r="ER28" s="557">
        <f t="shared" si="28"/>
        <v>0</v>
      </c>
      <c r="ES28" s="557">
        <f t="shared" si="29"/>
        <v>0</v>
      </c>
      <c r="FK28" s="88" t="s">
        <v>438</v>
      </c>
      <c r="FL28" s="88" t="s">
        <v>335</v>
      </c>
      <c r="FM28" s="88" t="s">
        <v>499</v>
      </c>
      <c r="FN28" s="88" t="s">
        <v>632</v>
      </c>
      <c r="FO28" s="354" t="s">
        <v>433</v>
      </c>
      <c r="FP28" s="79">
        <v>2141598000</v>
      </c>
      <c r="FQ28" s="79">
        <v>0</v>
      </c>
      <c r="FR28" s="79">
        <v>0</v>
      </c>
      <c r="FS28" s="535">
        <f t="shared" si="33"/>
        <v>2276518.6739999996</v>
      </c>
      <c r="FT28" s="535">
        <f t="shared" si="34"/>
        <v>0</v>
      </c>
      <c r="FU28" s="535">
        <f t="shared" si="35"/>
        <v>0</v>
      </c>
      <c r="GI28" s="638" t="s">
        <v>438</v>
      </c>
      <c r="GJ28" s="638" t="s">
        <v>335</v>
      </c>
      <c r="GK28" s="350" t="s">
        <v>499</v>
      </c>
      <c r="GL28" s="638" t="s">
        <v>632</v>
      </c>
      <c r="GM28" s="638" t="s">
        <v>433</v>
      </c>
      <c r="GN28" s="669">
        <v>2141598000</v>
      </c>
      <c r="GO28" s="669">
        <v>0</v>
      </c>
      <c r="GP28" s="669">
        <v>0</v>
      </c>
      <c r="GQ28" s="670">
        <f t="shared" si="36"/>
        <v>2276518.6739999996</v>
      </c>
      <c r="GR28" s="670">
        <f t="shared" si="37"/>
        <v>0</v>
      </c>
      <c r="GS28" s="670">
        <f t="shared" si="38"/>
        <v>0</v>
      </c>
      <c r="HH28" s="725" t="s">
        <v>460</v>
      </c>
      <c r="HI28" s="725" t="s">
        <v>461</v>
      </c>
      <c r="HJ28" s="725" t="s">
        <v>447</v>
      </c>
      <c r="HK28" s="726" t="s">
        <v>447</v>
      </c>
      <c r="HL28" s="726" t="s">
        <v>433</v>
      </c>
      <c r="HM28" s="355">
        <v>0</v>
      </c>
      <c r="HN28" s="355">
        <v>71685585</v>
      </c>
      <c r="HO28" s="355">
        <v>0</v>
      </c>
      <c r="HP28" s="724">
        <f t="shared" si="40"/>
        <v>0</v>
      </c>
      <c r="HQ28" s="724">
        <f t="shared" si="41"/>
        <v>71685.585000000006</v>
      </c>
      <c r="HR28" s="724">
        <f t="shared" si="42"/>
        <v>0</v>
      </c>
      <c r="HW28" s="726" t="s">
        <v>463</v>
      </c>
      <c r="HX28" s="726" t="s">
        <v>464</v>
      </c>
      <c r="HY28" s="726" t="s">
        <v>447</v>
      </c>
      <c r="HZ28" s="726" t="s">
        <v>447</v>
      </c>
      <c r="IA28" s="726" t="s">
        <v>433</v>
      </c>
      <c r="IB28" s="761">
        <v>0</v>
      </c>
      <c r="IC28" s="761">
        <v>44693279</v>
      </c>
      <c r="ID28" s="761">
        <v>242761479</v>
      </c>
      <c r="IE28" s="537">
        <f t="shared" si="43"/>
        <v>242761.47899999999</v>
      </c>
      <c r="II28" s="350" t="s">
        <v>508</v>
      </c>
      <c r="IJ28" s="350" t="s">
        <v>523</v>
      </c>
      <c r="IK28" s="350" t="s">
        <v>447</v>
      </c>
      <c r="IL28" s="350" t="s">
        <v>447</v>
      </c>
      <c r="IM28" s="638" t="s">
        <v>433</v>
      </c>
      <c r="IN28" s="244">
        <v>0</v>
      </c>
      <c r="IO28" s="244">
        <v>56493360</v>
      </c>
      <c r="IP28" s="244">
        <v>40537200</v>
      </c>
      <c r="IQ28" s="756">
        <f t="shared" si="44"/>
        <v>0</v>
      </c>
      <c r="IR28" s="756">
        <f t="shared" si="45"/>
        <v>56493.36</v>
      </c>
      <c r="IS28" s="756">
        <f t="shared" si="46"/>
        <v>40537.199999999997</v>
      </c>
      <c r="JG28" s="536" t="s">
        <v>508</v>
      </c>
      <c r="JH28" s="536" t="s">
        <v>523</v>
      </c>
      <c r="JI28" s="536" t="s">
        <v>447</v>
      </c>
      <c r="JJ28" s="536" t="s">
        <v>447</v>
      </c>
      <c r="JK28" s="536" t="s">
        <v>433</v>
      </c>
      <c r="JL28" s="79">
        <v>90486000</v>
      </c>
      <c r="JM28" s="79">
        <v>0</v>
      </c>
      <c r="JN28" s="79">
        <v>0</v>
      </c>
      <c r="JO28" s="166">
        <f t="shared" si="48"/>
        <v>90486</v>
      </c>
      <c r="JP28" s="166">
        <f t="shared" si="49"/>
        <v>0</v>
      </c>
      <c r="JQ28" s="166">
        <f t="shared" si="50"/>
        <v>0</v>
      </c>
    </row>
    <row r="29" spans="1:277" ht="15" customHeight="1" x14ac:dyDescent="0.25">
      <c r="A29" s="91" t="s">
        <v>438</v>
      </c>
      <c r="B29" s="91" t="s">
        <v>335</v>
      </c>
      <c r="C29" s="91" t="s">
        <v>499</v>
      </c>
      <c r="D29" s="91" t="s">
        <v>632</v>
      </c>
      <c r="E29" s="92">
        <v>0</v>
      </c>
      <c r="F29" s="92">
        <f t="shared" si="7"/>
        <v>0</v>
      </c>
      <c r="G29" s="92">
        <v>54000000</v>
      </c>
      <c r="H29" s="92">
        <f t="shared" si="8"/>
        <v>57402</v>
      </c>
      <c r="AD29" s="89" t="s">
        <v>438</v>
      </c>
      <c r="AE29" s="89" t="s">
        <v>335</v>
      </c>
      <c r="AF29" s="89" t="s">
        <v>462</v>
      </c>
      <c r="AG29" s="89" t="s">
        <v>633</v>
      </c>
      <c r="AH29" s="90">
        <v>160000000</v>
      </c>
      <c r="AI29" s="90">
        <f t="shared" si="10"/>
        <v>170080</v>
      </c>
      <c r="AJ29" s="90">
        <v>0</v>
      </c>
      <c r="AM29" s="166"/>
      <c r="AW29" s="89" t="s">
        <v>438</v>
      </c>
      <c r="AX29" s="89" t="s">
        <v>335</v>
      </c>
      <c r="AY29" s="89" t="s">
        <v>462</v>
      </c>
      <c r="AZ29" s="89" t="s">
        <v>633</v>
      </c>
      <c r="BA29" s="90">
        <v>160000000</v>
      </c>
      <c r="BB29" s="90">
        <v>0</v>
      </c>
      <c r="BC29" s="90">
        <v>0</v>
      </c>
      <c r="BD29" s="90">
        <f t="shared" si="1"/>
        <v>170080</v>
      </c>
      <c r="BE29" s="90">
        <f t="shared" si="2"/>
        <v>0</v>
      </c>
      <c r="BF29" s="90">
        <f t="shared" si="3"/>
        <v>0</v>
      </c>
      <c r="BT29" s="86" t="s">
        <v>438</v>
      </c>
      <c r="BU29" s="86" t="s">
        <v>335</v>
      </c>
      <c r="BV29" s="86" t="s">
        <v>462</v>
      </c>
      <c r="BW29" s="86" t="s">
        <v>633</v>
      </c>
      <c r="BX29" s="296" t="s">
        <v>433</v>
      </c>
      <c r="BY29" s="87">
        <v>175000000</v>
      </c>
      <c r="BZ29" s="87">
        <v>0</v>
      </c>
      <c r="CA29" s="87">
        <v>0</v>
      </c>
      <c r="CB29" s="166">
        <f t="shared" si="12"/>
        <v>186025</v>
      </c>
      <c r="CC29" s="166">
        <f t="shared" si="13"/>
        <v>0</v>
      </c>
      <c r="CD29" s="166">
        <f t="shared" si="14"/>
        <v>0</v>
      </c>
      <c r="DI29" s="307" t="s">
        <v>438</v>
      </c>
      <c r="DJ29" s="307" t="s">
        <v>335</v>
      </c>
      <c r="DK29" s="307" t="s">
        <v>488</v>
      </c>
      <c r="DL29" s="307" t="s">
        <v>631</v>
      </c>
      <c r="DM29" s="79">
        <v>310000000</v>
      </c>
      <c r="DN29" s="79">
        <v>0</v>
      </c>
      <c r="DO29" s="79">
        <v>0</v>
      </c>
      <c r="DP29" s="560">
        <f t="shared" si="21"/>
        <v>329530</v>
      </c>
      <c r="DQ29" s="560">
        <f t="shared" si="22"/>
        <v>0</v>
      </c>
      <c r="DR29" s="560">
        <f t="shared" si="23"/>
        <v>0</v>
      </c>
      <c r="EI29" s="88" t="s">
        <v>438</v>
      </c>
      <c r="EJ29" s="88" t="s">
        <v>335</v>
      </c>
      <c r="EK29" s="88" t="s">
        <v>629</v>
      </c>
      <c r="EL29" s="88" t="s">
        <v>630</v>
      </c>
      <c r="EM29" s="88" t="s">
        <v>433</v>
      </c>
      <c r="EN29" s="88">
        <v>793000000</v>
      </c>
      <c r="EO29" s="88">
        <v>0</v>
      </c>
      <c r="EP29" s="88">
        <v>0</v>
      </c>
      <c r="EQ29" s="557">
        <f t="shared" si="27"/>
        <v>842959</v>
      </c>
      <c r="ER29" s="557">
        <f t="shared" si="28"/>
        <v>0</v>
      </c>
      <c r="ES29" s="557">
        <f t="shared" si="29"/>
        <v>0</v>
      </c>
      <c r="FK29" s="88" t="s">
        <v>438</v>
      </c>
      <c r="FL29" s="88" t="s">
        <v>335</v>
      </c>
      <c r="FM29" s="88" t="s">
        <v>488</v>
      </c>
      <c r="FN29" s="88" t="s">
        <v>631</v>
      </c>
      <c r="FO29" s="354" t="s">
        <v>433</v>
      </c>
      <c r="FP29" s="79">
        <v>310000000</v>
      </c>
      <c r="FQ29" s="79">
        <v>0</v>
      </c>
      <c r="FR29" s="79">
        <v>0</v>
      </c>
      <c r="FS29" s="535">
        <f t="shared" si="33"/>
        <v>329530</v>
      </c>
      <c r="FT29" s="535">
        <f t="shared" si="34"/>
        <v>0</v>
      </c>
      <c r="FU29" s="535">
        <f t="shared" si="35"/>
        <v>0</v>
      </c>
      <c r="GI29" s="638" t="s">
        <v>438</v>
      </c>
      <c r="GJ29" s="638" t="s">
        <v>335</v>
      </c>
      <c r="GK29" s="350" t="s">
        <v>488</v>
      </c>
      <c r="GL29" s="638" t="s">
        <v>631</v>
      </c>
      <c r="GM29" s="638" t="s">
        <v>433</v>
      </c>
      <c r="GN29" s="669">
        <v>310000000</v>
      </c>
      <c r="GO29" s="669">
        <v>0</v>
      </c>
      <c r="GP29" s="669">
        <v>0</v>
      </c>
      <c r="GQ29" s="670">
        <f t="shared" si="36"/>
        <v>329530</v>
      </c>
      <c r="GR29" s="670">
        <f t="shared" si="37"/>
        <v>0</v>
      </c>
      <c r="GS29" s="670">
        <f t="shared" si="38"/>
        <v>0</v>
      </c>
      <c r="HH29" s="725" t="s">
        <v>438</v>
      </c>
      <c r="HI29" s="725" t="s">
        <v>335</v>
      </c>
      <c r="HJ29" s="725" t="s">
        <v>499</v>
      </c>
      <c r="HK29" s="726" t="s">
        <v>632</v>
      </c>
      <c r="HL29" s="726" t="s">
        <v>433</v>
      </c>
      <c r="HM29" s="355">
        <v>2141598000</v>
      </c>
      <c r="HN29" s="355">
        <v>0</v>
      </c>
      <c r="HO29" s="355">
        <v>0</v>
      </c>
      <c r="HP29" s="724">
        <f t="shared" si="40"/>
        <v>2141598</v>
      </c>
      <c r="HQ29" s="724">
        <f t="shared" si="41"/>
        <v>0</v>
      </c>
      <c r="HR29" s="724">
        <f t="shared" si="42"/>
        <v>0</v>
      </c>
      <c r="HW29" s="726" t="s">
        <v>465</v>
      </c>
      <c r="HX29" s="726" t="s">
        <v>466</v>
      </c>
      <c r="HY29" s="726" t="s">
        <v>447</v>
      </c>
      <c r="HZ29" s="726" t="s">
        <v>447</v>
      </c>
      <c r="IA29" s="726" t="s">
        <v>433</v>
      </c>
      <c r="IB29" s="761">
        <v>0</v>
      </c>
      <c r="IC29" s="761">
        <v>15000000</v>
      </c>
      <c r="ID29" s="761">
        <v>35201377</v>
      </c>
      <c r="IE29" s="537">
        <f t="shared" si="43"/>
        <v>35201.377</v>
      </c>
      <c r="II29" s="350" t="s">
        <v>460</v>
      </c>
      <c r="IJ29" s="350" t="s">
        <v>461</v>
      </c>
      <c r="IK29" s="350" t="s">
        <v>447</v>
      </c>
      <c r="IL29" s="350" t="s">
        <v>447</v>
      </c>
      <c r="IM29" s="638" t="s">
        <v>433</v>
      </c>
      <c r="IN29" s="244">
        <v>181473000</v>
      </c>
      <c r="IO29" s="244">
        <v>0</v>
      </c>
      <c r="IP29" s="244">
        <v>0</v>
      </c>
      <c r="IQ29" s="756">
        <f t="shared" si="44"/>
        <v>181473</v>
      </c>
      <c r="IR29" s="756">
        <f t="shared" si="45"/>
        <v>0</v>
      </c>
      <c r="IS29" s="756">
        <f t="shared" si="46"/>
        <v>0</v>
      </c>
      <c r="JG29" s="536" t="s">
        <v>508</v>
      </c>
      <c r="JH29" s="536" t="s">
        <v>523</v>
      </c>
      <c r="JI29" s="536" t="s">
        <v>447</v>
      </c>
      <c r="JJ29" s="536" t="s">
        <v>447</v>
      </c>
      <c r="JK29" s="536" t="s">
        <v>433</v>
      </c>
      <c r="JL29" s="79">
        <v>0</v>
      </c>
      <c r="JM29" s="79">
        <v>68886360</v>
      </c>
      <c r="JN29" s="79">
        <v>46171360</v>
      </c>
      <c r="JO29" s="166">
        <f t="shared" si="48"/>
        <v>0</v>
      </c>
      <c r="JP29" s="166">
        <f t="shared" si="49"/>
        <v>68886.36</v>
      </c>
      <c r="JQ29" s="166">
        <f t="shared" si="50"/>
        <v>46171.360000000001</v>
      </c>
    </row>
    <row r="30" spans="1:277" ht="15" customHeight="1" x14ac:dyDescent="0.25">
      <c r="A30" s="91" t="s">
        <v>438</v>
      </c>
      <c r="B30" s="91" t="s">
        <v>335</v>
      </c>
      <c r="C30" s="91" t="s">
        <v>447</v>
      </c>
      <c r="D30" s="91" t="s">
        <v>447</v>
      </c>
      <c r="E30" s="92">
        <v>0</v>
      </c>
      <c r="F30" s="92">
        <f t="shared" si="7"/>
        <v>0</v>
      </c>
      <c r="G30" s="92">
        <v>0</v>
      </c>
      <c r="H30" s="92">
        <f t="shared" si="8"/>
        <v>0</v>
      </c>
      <c r="AD30" s="89" t="s">
        <v>438</v>
      </c>
      <c r="AE30" s="89" t="s">
        <v>335</v>
      </c>
      <c r="AF30" s="89" t="s">
        <v>439</v>
      </c>
      <c r="AG30" s="89" t="s">
        <v>492</v>
      </c>
      <c r="AH30" s="90">
        <v>120000000</v>
      </c>
      <c r="AI30" s="90">
        <f t="shared" si="10"/>
        <v>127560</v>
      </c>
      <c r="AJ30" s="90">
        <v>0</v>
      </c>
      <c r="AM30" s="166"/>
      <c r="AW30" s="89" t="s">
        <v>438</v>
      </c>
      <c r="AX30" s="89" t="s">
        <v>335</v>
      </c>
      <c r="AY30" s="89" t="s">
        <v>462</v>
      </c>
      <c r="AZ30" s="89" t="s">
        <v>633</v>
      </c>
      <c r="BA30" s="90">
        <v>0</v>
      </c>
      <c r="BB30" s="90">
        <v>149000000</v>
      </c>
      <c r="BC30" s="90">
        <v>149000000</v>
      </c>
      <c r="BD30" s="90">
        <f t="shared" si="1"/>
        <v>0</v>
      </c>
      <c r="BE30" s="90">
        <f t="shared" si="2"/>
        <v>158387</v>
      </c>
      <c r="BF30" s="90">
        <f t="shared" si="3"/>
        <v>158387</v>
      </c>
      <c r="BT30" s="86" t="s">
        <v>438</v>
      </c>
      <c r="BU30" s="86" t="s">
        <v>335</v>
      </c>
      <c r="BV30" s="86" t="s">
        <v>462</v>
      </c>
      <c r="BW30" s="86" t="s">
        <v>633</v>
      </c>
      <c r="BX30" s="296" t="s">
        <v>433</v>
      </c>
      <c r="BY30" s="87">
        <v>0</v>
      </c>
      <c r="BZ30" s="87">
        <v>149000000</v>
      </c>
      <c r="CA30" s="87">
        <v>149000000</v>
      </c>
      <c r="CB30" s="166">
        <f t="shared" si="12"/>
        <v>0</v>
      </c>
      <c r="CC30" s="166">
        <f t="shared" si="13"/>
        <v>158387</v>
      </c>
      <c r="CD30" s="166">
        <f t="shared" si="14"/>
        <v>158387</v>
      </c>
      <c r="DI30" s="307" t="s">
        <v>438</v>
      </c>
      <c r="DJ30" s="307" t="s">
        <v>335</v>
      </c>
      <c r="DK30" s="307" t="s">
        <v>462</v>
      </c>
      <c r="DL30" s="307" t="s">
        <v>633</v>
      </c>
      <c r="DM30" s="79">
        <v>175000000</v>
      </c>
      <c r="DN30" s="79">
        <v>0</v>
      </c>
      <c r="DO30" s="79">
        <v>0</v>
      </c>
      <c r="DP30" s="560">
        <f t="shared" si="21"/>
        <v>186025</v>
      </c>
      <c r="DQ30" s="560">
        <f t="shared" si="22"/>
        <v>0</v>
      </c>
      <c r="DR30" s="560">
        <f t="shared" si="23"/>
        <v>0</v>
      </c>
      <c r="EI30" s="88" t="s">
        <v>438</v>
      </c>
      <c r="EJ30" s="88" t="s">
        <v>335</v>
      </c>
      <c r="EK30" s="88" t="s">
        <v>488</v>
      </c>
      <c r="EL30" s="88" t="s">
        <v>631</v>
      </c>
      <c r="EM30" s="88" t="s">
        <v>433</v>
      </c>
      <c r="EN30" s="88">
        <v>310000000</v>
      </c>
      <c r="EO30" s="88">
        <v>0</v>
      </c>
      <c r="EP30" s="88">
        <v>0</v>
      </c>
      <c r="EQ30" s="557">
        <f t="shared" si="27"/>
        <v>329530</v>
      </c>
      <c r="ER30" s="557">
        <f t="shared" si="28"/>
        <v>0</v>
      </c>
      <c r="ES30" s="557">
        <f t="shared" si="29"/>
        <v>0</v>
      </c>
      <c r="FK30" s="88" t="s">
        <v>438</v>
      </c>
      <c r="FL30" s="88" t="s">
        <v>335</v>
      </c>
      <c r="FM30" s="88" t="s">
        <v>462</v>
      </c>
      <c r="FN30" s="88" t="s">
        <v>633</v>
      </c>
      <c r="FO30" s="354" t="s">
        <v>433</v>
      </c>
      <c r="FP30" s="79">
        <v>285000000</v>
      </c>
      <c r="FQ30" s="79">
        <v>0</v>
      </c>
      <c r="FR30" s="79">
        <v>0</v>
      </c>
      <c r="FS30" s="535">
        <f t="shared" si="33"/>
        <v>302955</v>
      </c>
      <c r="FT30" s="535">
        <f t="shared" si="34"/>
        <v>0</v>
      </c>
      <c r="FU30" s="535">
        <f t="shared" si="35"/>
        <v>0</v>
      </c>
      <c r="GI30" s="638" t="s">
        <v>438</v>
      </c>
      <c r="GJ30" s="638" t="s">
        <v>335</v>
      </c>
      <c r="GK30" s="350" t="s">
        <v>462</v>
      </c>
      <c r="GL30" s="638" t="s">
        <v>633</v>
      </c>
      <c r="GM30" s="638" t="s">
        <v>433</v>
      </c>
      <c r="GN30" s="669">
        <v>285000000</v>
      </c>
      <c r="GO30" s="669">
        <v>0</v>
      </c>
      <c r="GP30" s="669">
        <v>0</v>
      </c>
      <c r="GQ30" s="670">
        <f t="shared" si="36"/>
        <v>302955</v>
      </c>
      <c r="GR30" s="670">
        <f t="shared" si="37"/>
        <v>0</v>
      </c>
      <c r="GS30" s="670">
        <f t="shared" si="38"/>
        <v>0</v>
      </c>
      <c r="HH30" s="725" t="s">
        <v>438</v>
      </c>
      <c r="HI30" s="725" t="s">
        <v>335</v>
      </c>
      <c r="HJ30" s="725" t="s">
        <v>488</v>
      </c>
      <c r="HK30" s="726" t="s">
        <v>631</v>
      </c>
      <c r="HL30" s="726" t="s">
        <v>433</v>
      </c>
      <c r="HM30" s="355">
        <v>310000000</v>
      </c>
      <c r="HN30" s="355">
        <v>0</v>
      </c>
      <c r="HO30" s="355">
        <v>0</v>
      </c>
      <c r="HP30" s="724">
        <f t="shared" si="40"/>
        <v>310000</v>
      </c>
      <c r="HQ30" s="724">
        <f t="shared" si="41"/>
        <v>0</v>
      </c>
      <c r="HR30" s="724">
        <f t="shared" si="42"/>
        <v>0</v>
      </c>
      <c r="HW30" s="726" t="s">
        <v>465</v>
      </c>
      <c r="HX30" s="726" t="s">
        <v>466</v>
      </c>
      <c r="HY30" s="726" t="s">
        <v>447</v>
      </c>
      <c r="HZ30" s="726" t="s">
        <v>447</v>
      </c>
      <c r="IA30" s="726" t="s">
        <v>433</v>
      </c>
      <c r="IB30" s="761">
        <v>-30422186</v>
      </c>
      <c r="IC30" s="761">
        <v>0</v>
      </c>
      <c r="ID30" s="761">
        <v>0</v>
      </c>
      <c r="IE30" s="537">
        <f t="shared" si="43"/>
        <v>0</v>
      </c>
      <c r="II30" s="350" t="s">
        <v>460</v>
      </c>
      <c r="IJ30" s="350" t="s">
        <v>461</v>
      </c>
      <c r="IK30" s="350" t="s">
        <v>447</v>
      </c>
      <c r="IL30" s="350" t="s">
        <v>447</v>
      </c>
      <c r="IM30" s="638" t="s">
        <v>433</v>
      </c>
      <c r="IN30" s="244">
        <v>0</v>
      </c>
      <c r="IO30" s="244">
        <v>91935585</v>
      </c>
      <c r="IP30" s="244">
        <v>0</v>
      </c>
      <c r="IQ30" s="756">
        <f t="shared" si="44"/>
        <v>0</v>
      </c>
      <c r="IR30" s="756">
        <f t="shared" si="45"/>
        <v>91935.585000000006</v>
      </c>
      <c r="IS30" s="756">
        <f t="shared" si="46"/>
        <v>0</v>
      </c>
      <c r="JG30" s="536" t="s">
        <v>460</v>
      </c>
      <c r="JH30" s="536" t="s">
        <v>461</v>
      </c>
      <c r="JI30" s="536" t="s">
        <v>447</v>
      </c>
      <c r="JJ30" s="536" t="s">
        <v>447</v>
      </c>
      <c r="JK30" s="536" t="s">
        <v>433</v>
      </c>
      <c r="JL30" s="79">
        <v>181473000</v>
      </c>
      <c r="JM30" s="79">
        <v>0</v>
      </c>
      <c r="JN30" s="79">
        <v>0</v>
      </c>
      <c r="JO30" s="166">
        <f t="shared" si="48"/>
        <v>181473</v>
      </c>
      <c r="JP30" s="166">
        <f t="shared" si="49"/>
        <v>0</v>
      </c>
      <c r="JQ30" s="166">
        <f t="shared" si="50"/>
        <v>0</v>
      </c>
    </row>
    <row r="31" spans="1:277" ht="15" customHeight="1" x14ac:dyDescent="0.25">
      <c r="A31" s="91" t="s">
        <v>463</v>
      </c>
      <c r="B31" s="91" t="s">
        <v>464</v>
      </c>
      <c r="C31" s="91" t="s">
        <v>447</v>
      </c>
      <c r="D31" s="91" t="s">
        <v>447</v>
      </c>
      <c r="E31" s="92">
        <v>520000000</v>
      </c>
      <c r="F31" s="92">
        <f t="shared" si="7"/>
        <v>552760</v>
      </c>
      <c r="G31" s="92">
        <v>0</v>
      </c>
      <c r="H31" s="92">
        <f t="shared" si="8"/>
        <v>0</v>
      </c>
      <c r="AD31" s="89" t="s">
        <v>438</v>
      </c>
      <c r="AE31" s="89" t="s">
        <v>335</v>
      </c>
      <c r="AF31" s="89" t="s">
        <v>462</v>
      </c>
      <c r="AG31" s="89" t="s">
        <v>633</v>
      </c>
      <c r="AH31" s="90">
        <v>0</v>
      </c>
      <c r="AI31" s="90">
        <f t="shared" si="10"/>
        <v>0</v>
      </c>
      <c r="AJ31" s="90">
        <v>149000000</v>
      </c>
      <c r="AM31" s="166"/>
      <c r="AW31" s="89" t="s">
        <v>438</v>
      </c>
      <c r="AX31" s="89" t="s">
        <v>335</v>
      </c>
      <c r="AY31" s="89" t="s">
        <v>499</v>
      </c>
      <c r="AZ31" s="89" t="s">
        <v>632</v>
      </c>
      <c r="BA31" s="90">
        <v>1000906000</v>
      </c>
      <c r="BB31" s="90">
        <v>0</v>
      </c>
      <c r="BC31" s="90">
        <v>0</v>
      </c>
      <c r="BD31" s="90">
        <f t="shared" si="1"/>
        <v>1063963.078</v>
      </c>
      <c r="BE31" s="90">
        <f t="shared" si="2"/>
        <v>0</v>
      </c>
      <c r="BF31" s="90">
        <f t="shared" si="3"/>
        <v>0</v>
      </c>
      <c r="BT31" s="86" t="s">
        <v>438</v>
      </c>
      <c r="BU31" s="86" t="s">
        <v>335</v>
      </c>
      <c r="BV31" s="86" t="s">
        <v>499</v>
      </c>
      <c r="BW31" s="86" t="s">
        <v>632</v>
      </c>
      <c r="BX31" s="296" t="s">
        <v>433</v>
      </c>
      <c r="BY31" s="87">
        <v>985906000</v>
      </c>
      <c r="BZ31" s="87">
        <v>0</v>
      </c>
      <c r="CA31" s="87">
        <v>0</v>
      </c>
      <c r="CB31" s="166">
        <f t="shared" si="12"/>
        <v>1048018.078</v>
      </c>
      <c r="CC31" s="166">
        <f t="shared" si="13"/>
        <v>0</v>
      </c>
      <c r="CD31" s="166">
        <f t="shared" si="14"/>
        <v>0</v>
      </c>
      <c r="DI31" s="307" t="s">
        <v>438</v>
      </c>
      <c r="DJ31" s="307" t="s">
        <v>335</v>
      </c>
      <c r="DK31" s="307" t="s">
        <v>439</v>
      </c>
      <c r="DL31" s="307" t="s">
        <v>492</v>
      </c>
      <c r="DM31" s="79">
        <v>120000000</v>
      </c>
      <c r="DN31" s="79">
        <v>0</v>
      </c>
      <c r="DO31" s="79">
        <v>0</v>
      </c>
      <c r="DP31" s="560">
        <f t="shared" si="21"/>
        <v>127560</v>
      </c>
      <c r="DQ31" s="560">
        <f t="shared" si="22"/>
        <v>0</v>
      </c>
      <c r="DR31" s="560">
        <f t="shared" si="23"/>
        <v>0</v>
      </c>
      <c r="EI31" s="88" t="s">
        <v>438</v>
      </c>
      <c r="EJ31" s="88" t="s">
        <v>335</v>
      </c>
      <c r="EK31" s="88" t="s">
        <v>462</v>
      </c>
      <c r="EL31" s="88" t="s">
        <v>633</v>
      </c>
      <c r="EM31" s="88" t="s">
        <v>433</v>
      </c>
      <c r="EN31" s="88">
        <v>175000000</v>
      </c>
      <c r="EO31" s="88">
        <v>0</v>
      </c>
      <c r="EP31" s="88">
        <v>0</v>
      </c>
      <c r="EQ31" s="557">
        <f t="shared" si="27"/>
        <v>186025</v>
      </c>
      <c r="ER31" s="557">
        <f t="shared" si="28"/>
        <v>0</v>
      </c>
      <c r="ES31" s="557">
        <f t="shared" si="29"/>
        <v>0</v>
      </c>
      <c r="FK31" s="88" t="s">
        <v>438</v>
      </c>
      <c r="FL31" s="88" t="s">
        <v>335</v>
      </c>
      <c r="FM31" s="88" t="s">
        <v>629</v>
      </c>
      <c r="FN31" s="88" t="s">
        <v>630</v>
      </c>
      <c r="FO31" s="354" t="s">
        <v>433</v>
      </c>
      <c r="FP31" s="79">
        <v>143000000</v>
      </c>
      <c r="FQ31" s="79">
        <v>0</v>
      </c>
      <c r="FR31" s="79">
        <v>0</v>
      </c>
      <c r="FS31" s="535">
        <f t="shared" si="33"/>
        <v>152009</v>
      </c>
      <c r="FT31" s="535">
        <f t="shared" si="34"/>
        <v>0</v>
      </c>
      <c r="FU31" s="535">
        <f t="shared" si="35"/>
        <v>0</v>
      </c>
      <c r="GI31" s="638" t="s">
        <v>438</v>
      </c>
      <c r="GJ31" s="638" t="s">
        <v>335</v>
      </c>
      <c r="GK31" s="350" t="s">
        <v>629</v>
      </c>
      <c r="GL31" s="638" t="s">
        <v>630</v>
      </c>
      <c r="GM31" s="638" t="s">
        <v>433</v>
      </c>
      <c r="GN31" s="669">
        <v>143000000</v>
      </c>
      <c r="GO31" s="669">
        <v>0</v>
      </c>
      <c r="GP31" s="669">
        <v>0</v>
      </c>
      <c r="GQ31" s="670">
        <f t="shared" si="36"/>
        <v>152009</v>
      </c>
      <c r="GR31" s="670">
        <f t="shared" si="37"/>
        <v>0</v>
      </c>
      <c r="GS31" s="670">
        <f t="shared" si="38"/>
        <v>0</v>
      </c>
      <c r="HH31" s="725" t="s">
        <v>438</v>
      </c>
      <c r="HI31" s="725" t="s">
        <v>335</v>
      </c>
      <c r="HJ31" s="725" t="s">
        <v>462</v>
      </c>
      <c r="HK31" s="726" t="s">
        <v>633</v>
      </c>
      <c r="HL31" s="726" t="s">
        <v>433</v>
      </c>
      <c r="HM31" s="355">
        <v>285000000</v>
      </c>
      <c r="HN31" s="355">
        <v>0</v>
      </c>
      <c r="HO31" s="355">
        <v>0</v>
      </c>
      <c r="HP31" s="724">
        <f t="shared" si="40"/>
        <v>285000</v>
      </c>
      <c r="HQ31" s="724">
        <f t="shared" si="41"/>
        <v>0</v>
      </c>
      <c r="HR31" s="724">
        <f t="shared" si="42"/>
        <v>0</v>
      </c>
      <c r="HW31" s="726" t="s">
        <v>534</v>
      </c>
      <c r="HX31" s="726" t="s">
        <v>537</v>
      </c>
      <c r="HY31" s="726" t="s">
        <v>447</v>
      </c>
      <c r="HZ31" s="726" t="s">
        <v>447</v>
      </c>
      <c r="IA31" s="726" t="s">
        <v>433</v>
      </c>
      <c r="IB31" s="761">
        <v>0</v>
      </c>
      <c r="IC31" s="761">
        <v>0</v>
      </c>
      <c r="ID31" s="761">
        <v>0</v>
      </c>
      <c r="IE31" s="537">
        <f t="shared" si="43"/>
        <v>0</v>
      </c>
      <c r="II31" s="350" t="s">
        <v>438</v>
      </c>
      <c r="IJ31" s="350" t="s">
        <v>335</v>
      </c>
      <c r="IK31" s="350" t="s">
        <v>499</v>
      </c>
      <c r="IL31" s="350" t="s">
        <v>632</v>
      </c>
      <c r="IM31" s="638" t="s">
        <v>433</v>
      </c>
      <c r="IN31" s="244">
        <v>2141598000</v>
      </c>
      <c r="IO31" s="244">
        <v>0</v>
      </c>
      <c r="IP31" s="244">
        <v>0</v>
      </c>
      <c r="IQ31" s="756">
        <f t="shared" si="44"/>
        <v>2141598</v>
      </c>
      <c r="IR31" s="756">
        <f t="shared" si="45"/>
        <v>0</v>
      </c>
      <c r="IS31" s="756">
        <f t="shared" si="46"/>
        <v>0</v>
      </c>
      <c r="JG31" s="536" t="s">
        <v>460</v>
      </c>
      <c r="JH31" s="536" t="s">
        <v>461</v>
      </c>
      <c r="JI31" s="536" t="s">
        <v>447</v>
      </c>
      <c r="JJ31" s="536" t="s">
        <v>447</v>
      </c>
      <c r="JK31" s="536" t="s">
        <v>433</v>
      </c>
      <c r="JL31" s="79">
        <v>0</v>
      </c>
      <c r="JM31" s="79">
        <v>181465585</v>
      </c>
      <c r="JN31" s="79">
        <v>181465585</v>
      </c>
      <c r="JO31" s="166">
        <f t="shared" si="48"/>
        <v>0</v>
      </c>
      <c r="JP31" s="166">
        <f t="shared" si="49"/>
        <v>181465.58499999999</v>
      </c>
      <c r="JQ31" s="166">
        <f t="shared" si="50"/>
        <v>181465.58499999999</v>
      </c>
    </row>
    <row r="32" spans="1:277" ht="15" customHeight="1" x14ac:dyDescent="0.25">
      <c r="A32" s="91" t="s">
        <v>465</v>
      </c>
      <c r="B32" s="91" t="s">
        <v>466</v>
      </c>
      <c r="C32" s="91" t="s">
        <v>447</v>
      </c>
      <c r="D32" s="91" t="s">
        <v>447</v>
      </c>
      <c r="E32" s="92">
        <v>280000000</v>
      </c>
      <c r="F32" s="92">
        <f t="shared" si="7"/>
        <v>297640</v>
      </c>
      <c r="G32" s="92">
        <v>0</v>
      </c>
      <c r="H32" s="92">
        <f t="shared" si="8"/>
        <v>0</v>
      </c>
      <c r="AD32" s="89" t="s">
        <v>438</v>
      </c>
      <c r="AE32" s="89" t="s">
        <v>335</v>
      </c>
      <c r="AF32" s="89" t="s">
        <v>629</v>
      </c>
      <c r="AG32" s="89" t="s">
        <v>630</v>
      </c>
      <c r="AH32" s="90">
        <v>0</v>
      </c>
      <c r="AI32" s="90">
        <f t="shared" si="10"/>
        <v>0</v>
      </c>
      <c r="AJ32" s="90">
        <v>750000</v>
      </c>
      <c r="AM32" s="166"/>
      <c r="AW32" s="89" t="s">
        <v>438</v>
      </c>
      <c r="AX32" s="89" t="s">
        <v>335</v>
      </c>
      <c r="AY32" s="89" t="s">
        <v>499</v>
      </c>
      <c r="AZ32" s="89" t="s">
        <v>632</v>
      </c>
      <c r="BA32" s="90">
        <v>0</v>
      </c>
      <c r="BB32" s="90">
        <v>624000000</v>
      </c>
      <c r="BC32" s="90">
        <v>439000000</v>
      </c>
      <c r="BD32" s="90">
        <f t="shared" si="1"/>
        <v>0</v>
      </c>
      <c r="BE32" s="90">
        <f t="shared" si="2"/>
        <v>663312</v>
      </c>
      <c r="BF32" s="90">
        <f t="shared" si="3"/>
        <v>466657</v>
      </c>
      <c r="BT32" s="86" t="s">
        <v>438</v>
      </c>
      <c r="BU32" s="86" t="s">
        <v>335</v>
      </c>
      <c r="BV32" s="86" t="s">
        <v>499</v>
      </c>
      <c r="BW32" s="86" t="s">
        <v>632</v>
      </c>
      <c r="BX32" s="296" t="s">
        <v>433</v>
      </c>
      <c r="BY32" s="87">
        <v>0</v>
      </c>
      <c r="BZ32" s="87">
        <v>624000000</v>
      </c>
      <c r="CA32" s="87">
        <v>439000000</v>
      </c>
      <c r="CB32" s="166">
        <f t="shared" si="12"/>
        <v>0</v>
      </c>
      <c r="CC32" s="166">
        <f t="shared" si="13"/>
        <v>663312</v>
      </c>
      <c r="CD32" s="166">
        <f t="shared" si="14"/>
        <v>466657</v>
      </c>
      <c r="DI32" s="307" t="s">
        <v>438</v>
      </c>
      <c r="DJ32" s="307" t="s">
        <v>335</v>
      </c>
      <c r="DK32" s="307" t="s">
        <v>500</v>
      </c>
      <c r="DL32" s="307" t="s">
        <v>489</v>
      </c>
      <c r="DM32" s="79">
        <v>0</v>
      </c>
      <c r="DN32" s="79">
        <v>0</v>
      </c>
      <c r="DO32" s="79">
        <v>0</v>
      </c>
      <c r="DP32" s="560">
        <f t="shared" si="21"/>
        <v>0</v>
      </c>
      <c r="DQ32" s="560">
        <f t="shared" si="22"/>
        <v>0</v>
      </c>
      <c r="DR32" s="560">
        <f t="shared" si="23"/>
        <v>0</v>
      </c>
      <c r="EI32" s="88" t="s">
        <v>438</v>
      </c>
      <c r="EJ32" s="88" t="s">
        <v>335</v>
      </c>
      <c r="EK32" s="88" t="s">
        <v>439</v>
      </c>
      <c r="EL32" s="88" t="s">
        <v>492</v>
      </c>
      <c r="EM32" s="88" t="s">
        <v>433</v>
      </c>
      <c r="EN32" s="88">
        <v>120000000</v>
      </c>
      <c r="EO32" s="88">
        <v>0</v>
      </c>
      <c r="EP32" s="88">
        <v>0</v>
      </c>
      <c r="EQ32" s="557">
        <f t="shared" si="27"/>
        <v>127560</v>
      </c>
      <c r="ER32" s="557">
        <f t="shared" si="28"/>
        <v>0</v>
      </c>
      <c r="ES32" s="557">
        <f t="shared" si="29"/>
        <v>0</v>
      </c>
      <c r="FK32" s="88" t="s">
        <v>438</v>
      </c>
      <c r="FL32" s="88" t="s">
        <v>335</v>
      </c>
      <c r="FM32" s="88" t="s">
        <v>439</v>
      </c>
      <c r="FN32" s="88" t="s">
        <v>492</v>
      </c>
      <c r="FO32" s="354" t="s">
        <v>433</v>
      </c>
      <c r="FP32" s="79">
        <v>120000000</v>
      </c>
      <c r="FQ32" s="79">
        <v>0</v>
      </c>
      <c r="FR32" s="79">
        <v>0</v>
      </c>
      <c r="FS32" s="535">
        <f t="shared" si="33"/>
        <v>127560</v>
      </c>
      <c r="FT32" s="535">
        <f t="shared" si="34"/>
        <v>0</v>
      </c>
      <c r="FU32" s="535">
        <f t="shared" si="35"/>
        <v>0</v>
      </c>
      <c r="GI32" s="638" t="s">
        <v>438</v>
      </c>
      <c r="GJ32" s="638" t="s">
        <v>335</v>
      </c>
      <c r="GK32" s="350" t="s">
        <v>439</v>
      </c>
      <c r="GL32" s="638" t="s">
        <v>492</v>
      </c>
      <c r="GM32" s="638" t="s">
        <v>433</v>
      </c>
      <c r="GN32" s="669">
        <v>120000000</v>
      </c>
      <c r="GO32" s="669">
        <v>0</v>
      </c>
      <c r="GP32" s="669">
        <v>0</v>
      </c>
      <c r="GQ32" s="670">
        <f t="shared" si="36"/>
        <v>127560</v>
      </c>
      <c r="GR32" s="670">
        <f t="shared" si="37"/>
        <v>0</v>
      </c>
      <c r="GS32" s="670">
        <f t="shared" si="38"/>
        <v>0</v>
      </c>
      <c r="HH32" s="725" t="s">
        <v>438</v>
      </c>
      <c r="HI32" s="725" t="s">
        <v>335</v>
      </c>
      <c r="HJ32" s="725" t="s">
        <v>629</v>
      </c>
      <c r="HK32" s="726" t="s">
        <v>630</v>
      </c>
      <c r="HL32" s="726" t="s">
        <v>433</v>
      </c>
      <c r="HM32" s="355">
        <v>143000000</v>
      </c>
      <c r="HN32" s="355">
        <v>0</v>
      </c>
      <c r="HO32" s="355">
        <v>0</v>
      </c>
      <c r="HP32" s="724">
        <f t="shared" si="40"/>
        <v>143000</v>
      </c>
      <c r="HQ32" s="724">
        <f t="shared" si="41"/>
        <v>0</v>
      </c>
      <c r="HR32" s="724">
        <f t="shared" si="42"/>
        <v>0</v>
      </c>
      <c r="HW32" s="726" t="s">
        <v>534</v>
      </c>
      <c r="HX32" s="726" t="s">
        <v>537</v>
      </c>
      <c r="HY32" s="726" t="s">
        <v>447</v>
      </c>
      <c r="HZ32" s="726" t="s">
        <v>447</v>
      </c>
      <c r="IA32" s="726" t="s">
        <v>433</v>
      </c>
      <c r="IB32" s="761">
        <v>-30000000</v>
      </c>
      <c r="IC32" s="761">
        <v>0</v>
      </c>
      <c r="ID32" s="761">
        <v>0</v>
      </c>
      <c r="IE32" s="537">
        <f t="shared" si="43"/>
        <v>0</v>
      </c>
      <c r="II32" s="350" t="s">
        <v>438</v>
      </c>
      <c r="IJ32" s="350" t="s">
        <v>335</v>
      </c>
      <c r="IK32" s="350" t="s">
        <v>488</v>
      </c>
      <c r="IL32" s="350" t="s">
        <v>631</v>
      </c>
      <c r="IM32" s="638" t="s">
        <v>433</v>
      </c>
      <c r="IN32" s="244">
        <v>310000000</v>
      </c>
      <c r="IO32" s="244">
        <v>0</v>
      </c>
      <c r="IP32" s="244">
        <v>0</v>
      </c>
      <c r="IQ32" s="756">
        <f t="shared" si="44"/>
        <v>310000</v>
      </c>
      <c r="IR32" s="756">
        <f t="shared" si="45"/>
        <v>0</v>
      </c>
      <c r="IS32" s="756">
        <f t="shared" si="46"/>
        <v>0</v>
      </c>
      <c r="JG32" s="536" t="s">
        <v>438</v>
      </c>
      <c r="JH32" s="536" t="s">
        <v>335</v>
      </c>
      <c r="JI32" s="536" t="s">
        <v>499</v>
      </c>
      <c r="JJ32" s="536" t="s">
        <v>632</v>
      </c>
      <c r="JK32" s="536" t="s">
        <v>433</v>
      </c>
      <c r="JL32" s="79">
        <v>2157078000</v>
      </c>
      <c r="JM32" s="79">
        <v>0</v>
      </c>
      <c r="JN32" s="79">
        <v>0</v>
      </c>
      <c r="JO32" s="166">
        <f t="shared" si="48"/>
        <v>2157078</v>
      </c>
      <c r="JP32" s="166">
        <f t="shared" si="49"/>
        <v>0</v>
      </c>
      <c r="JQ32" s="166">
        <f t="shared" si="50"/>
        <v>0</v>
      </c>
    </row>
    <row r="33" spans="1:277" ht="15" customHeight="1" x14ac:dyDescent="0.25">
      <c r="A33" s="91" t="s">
        <v>465</v>
      </c>
      <c r="B33" s="91" t="s">
        <v>466</v>
      </c>
      <c r="C33" s="91" t="s">
        <v>447</v>
      </c>
      <c r="D33" s="91" t="s">
        <v>447</v>
      </c>
      <c r="E33" s="92">
        <v>0</v>
      </c>
      <c r="F33" s="92">
        <f t="shared" si="7"/>
        <v>0</v>
      </c>
      <c r="G33" s="92">
        <v>10126514</v>
      </c>
      <c r="H33" s="92">
        <f t="shared" si="8"/>
        <v>10764.484381999999</v>
      </c>
      <c r="AD33" s="89" t="s">
        <v>438</v>
      </c>
      <c r="AE33" s="89" t="s">
        <v>335</v>
      </c>
      <c r="AF33" s="89" t="s">
        <v>447</v>
      </c>
      <c r="AG33" s="89" t="s">
        <v>447</v>
      </c>
      <c r="AH33" s="90">
        <v>0</v>
      </c>
      <c r="AI33" s="90">
        <f t="shared" si="10"/>
        <v>0</v>
      </c>
      <c r="AJ33" s="90">
        <v>0</v>
      </c>
      <c r="AM33" s="166"/>
      <c r="AW33" s="89" t="s">
        <v>438</v>
      </c>
      <c r="AX33" s="89" t="s">
        <v>335</v>
      </c>
      <c r="AY33" s="89" t="s">
        <v>629</v>
      </c>
      <c r="AZ33" s="89" t="s">
        <v>630</v>
      </c>
      <c r="BA33" s="90">
        <v>793000000</v>
      </c>
      <c r="BB33" s="90">
        <v>0</v>
      </c>
      <c r="BC33" s="90">
        <v>0</v>
      </c>
      <c r="BD33" s="90">
        <f t="shared" si="1"/>
        <v>842959</v>
      </c>
      <c r="BE33" s="90">
        <f t="shared" si="2"/>
        <v>0</v>
      </c>
      <c r="BF33" s="90">
        <f t="shared" si="3"/>
        <v>0</v>
      </c>
      <c r="BT33" s="86" t="s">
        <v>438</v>
      </c>
      <c r="BU33" s="86" t="s">
        <v>335</v>
      </c>
      <c r="BV33" s="86" t="s">
        <v>629</v>
      </c>
      <c r="BW33" s="86" t="s">
        <v>630</v>
      </c>
      <c r="BX33" s="296" t="s">
        <v>433</v>
      </c>
      <c r="BY33" s="87">
        <v>793000000</v>
      </c>
      <c r="BZ33" s="87">
        <v>0</v>
      </c>
      <c r="CA33" s="87">
        <v>0</v>
      </c>
      <c r="CB33" s="166">
        <f t="shared" si="12"/>
        <v>842959</v>
      </c>
      <c r="CC33" s="166">
        <f t="shared" si="13"/>
        <v>0</v>
      </c>
      <c r="CD33" s="166">
        <f t="shared" si="14"/>
        <v>0</v>
      </c>
      <c r="DI33" s="307" t="s">
        <v>438</v>
      </c>
      <c r="DJ33" s="307" t="s">
        <v>335</v>
      </c>
      <c r="DK33" s="307" t="s">
        <v>462</v>
      </c>
      <c r="DL33" s="307" t="s">
        <v>633</v>
      </c>
      <c r="DM33" s="79">
        <v>0</v>
      </c>
      <c r="DN33" s="79">
        <v>149000000</v>
      </c>
      <c r="DO33" s="79">
        <v>149000000</v>
      </c>
      <c r="DP33" s="560">
        <f t="shared" si="21"/>
        <v>0</v>
      </c>
      <c r="DQ33" s="560">
        <f t="shared" si="22"/>
        <v>158387</v>
      </c>
      <c r="DR33" s="560">
        <f t="shared" si="23"/>
        <v>158387</v>
      </c>
      <c r="EI33" s="88" t="s">
        <v>438</v>
      </c>
      <c r="EJ33" s="88" t="s">
        <v>335</v>
      </c>
      <c r="EK33" s="88" t="s">
        <v>462</v>
      </c>
      <c r="EL33" s="88" t="s">
        <v>633</v>
      </c>
      <c r="EM33" s="88" t="s">
        <v>433</v>
      </c>
      <c r="EN33" s="88">
        <v>0</v>
      </c>
      <c r="EO33" s="88">
        <v>164000000</v>
      </c>
      <c r="EP33" s="88">
        <v>164000000</v>
      </c>
      <c r="EQ33" s="557">
        <f t="shared" si="27"/>
        <v>0</v>
      </c>
      <c r="ER33" s="557">
        <f t="shared" si="28"/>
        <v>174332</v>
      </c>
      <c r="ES33" s="557">
        <f t="shared" si="29"/>
        <v>174332</v>
      </c>
      <c r="FK33" s="88" t="s">
        <v>438</v>
      </c>
      <c r="FL33" s="88" t="s">
        <v>335</v>
      </c>
      <c r="FM33" s="88" t="s">
        <v>499</v>
      </c>
      <c r="FN33" s="88" t="s">
        <v>632</v>
      </c>
      <c r="FO33" s="354" t="s">
        <v>433</v>
      </c>
      <c r="FP33" s="79">
        <v>0</v>
      </c>
      <c r="FQ33" s="79">
        <v>782600000</v>
      </c>
      <c r="FR33" s="79">
        <v>487600000</v>
      </c>
      <c r="FS33" s="535">
        <f t="shared" si="33"/>
        <v>0</v>
      </c>
      <c r="FT33" s="535">
        <f t="shared" si="34"/>
        <v>831903.79999999993</v>
      </c>
      <c r="FU33" s="535">
        <f t="shared" si="35"/>
        <v>518318.8</v>
      </c>
      <c r="GI33" s="638" t="s">
        <v>438</v>
      </c>
      <c r="GJ33" s="638" t="s">
        <v>335</v>
      </c>
      <c r="GK33" s="350" t="s">
        <v>447</v>
      </c>
      <c r="GL33" s="638" t="s">
        <v>447</v>
      </c>
      <c r="GM33" s="638" t="s">
        <v>433</v>
      </c>
      <c r="GN33" s="669">
        <v>0</v>
      </c>
      <c r="GO33" s="669">
        <v>0</v>
      </c>
      <c r="GP33" s="669">
        <v>0</v>
      </c>
      <c r="GQ33" s="670">
        <f t="shared" si="36"/>
        <v>0</v>
      </c>
      <c r="GR33" s="670">
        <f t="shared" si="37"/>
        <v>0</v>
      </c>
      <c r="GS33" s="670">
        <f t="shared" si="38"/>
        <v>0</v>
      </c>
      <c r="HH33" s="725" t="s">
        <v>438</v>
      </c>
      <c r="HI33" s="725" t="s">
        <v>335</v>
      </c>
      <c r="HJ33" s="725" t="s">
        <v>439</v>
      </c>
      <c r="HK33" s="726" t="s">
        <v>492</v>
      </c>
      <c r="HL33" s="726" t="s">
        <v>433</v>
      </c>
      <c r="HM33" s="355">
        <v>120000000</v>
      </c>
      <c r="HN33" s="355">
        <v>0</v>
      </c>
      <c r="HO33" s="355">
        <v>0</v>
      </c>
      <c r="HP33" s="724">
        <f t="shared" si="40"/>
        <v>120000</v>
      </c>
      <c r="HQ33" s="724">
        <f t="shared" si="41"/>
        <v>0</v>
      </c>
      <c r="HR33" s="724">
        <f t="shared" si="42"/>
        <v>0</v>
      </c>
      <c r="HW33" s="726" t="s">
        <v>672</v>
      </c>
      <c r="HX33" s="726" t="s">
        <v>673</v>
      </c>
      <c r="HY33" s="726" t="s">
        <v>447</v>
      </c>
      <c r="HZ33" s="726" t="s">
        <v>447</v>
      </c>
      <c r="IA33" s="726" t="s">
        <v>433</v>
      </c>
      <c r="IB33" s="761">
        <v>0</v>
      </c>
      <c r="IC33" s="761">
        <v>0</v>
      </c>
      <c r="ID33" s="761">
        <v>1716000</v>
      </c>
      <c r="IE33" s="537">
        <f t="shared" si="43"/>
        <v>1716</v>
      </c>
      <c r="II33" s="350" t="s">
        <v>438</v>
      </c>
      <c r="IJ33" s="350" t="s">
        <v>335</v>
      </c>
      <c r="IK33" s="350" t="s">
        <v>462</v>
      </c>
      <c r="IL33" s="350" t="s">
        <v>633</v>
      </c>
      <c r="IM33" s="638" t="s">
        <v>433</v>
      </c>
      <c r="IN33" s="244">
        <v>285000000</v>
      </c>
      <c r="IO33" s="244">
        <v>0</v>
      </c>
      <c r="IP33" s="244">
        <v>0</v>
      </c>
      <c r="IQ33" s="756">
        <f t="shared" si="44"/>
        <v>285000</v>
      </c>
      <c r="IR33" s="756">
        <f t="shared" si="45"/>
        <v>0</v>
      </c>
      <c r="IS33" s="756">
        <f t="shared" si="46"/>
        <v>0</v>
      </c>
      <c r="JG33" s="536" t="s">
        <v>438</v>
      </c>
      <c r="JH33" s="536" t="s">
        <v>335</v>
      </c>
      <c r="JI33" s="536" t="s">
        <v>488</v>
      </c>
      <c r="JJ33" s="536" t="s">
        <v>631</v>
      </c>
      <c r="JK33" s="536" t="s">
        <v>433</v>
      </c>
      <c r="JL33" s="79">
        <v>308990000</v>
      </c>
      <c r="JM33" s="79">
        <v>0</v>
      </c>
      <c r="JN33" s="79">
        <v>0</v>
      </c>
      <c r="JO33" s="166">
        <f t="shared" si="48"/>
        <v>308990</v>
      </c>
      <c r="JP33" s="166">
        <f t="shared" si="49"/>
        <v>0</v>
      </c>
      <c r="JQ33" s="166">
        <f t="shared" si="50"/>
        <v>0</v>
      </c>
    </row>
    <row r="34" spans="1:277" ht="15" customHeight="1" x14ac:dyDescent="0.25">
      <c r="A34" s="91" t="s">
        <v>534</v>
      </c>
      <c r="B34" s="91" t="s">
        <v>537</v>
      </c>
      <c r="C34" s="91" t="s">
        <v>447</v>
      </c>
      <c r="D34" s="91" t="s">
        <v>447</v>
      </c>
      <c r="E34" s="92">
        <v>278933000</v>
      </c>
      <c r="F34" s="92">
        <f t="shared" si="7"/>
        <v>296505.77899999998</v>
      </c>
      <c r="G34" s="92">
        <v>0</v>
      </c>
      <c r="H34" s="92">
        <f t="shared" si="8"/>
        <v>0</v>
      </c>
      <c r="AD34" s="89" t="s">
        <v>438</v>
      </c>
      <c r="AE34" s="89" t="s">
        <v>335</v>
      </c>
      <c r="AF34" s="89" t="s">
        <v>447</v>
      </c>
      <c r="AG34" s="89" t="s">
        <v>447</v>
      </c>
      <c r="AH34" s="90">
        <v>0</v>
      </c>
      <c r="AI34" s="90">
        <f t="shared" si="10"/>
        <v>0</v>
      </c>
      <c r="AJ34" s="90">
        <v>0</v>
      </c>
      <c r="AM34" s="166"/>
      <c r="AW34" s="89" t="s">
        <v>438</v>
      </c>
      <c r="AX34" s="89" t="s">
        <v>335</v>
      </c>
      <c r="AY34" s="89" t="s">
        <v>629</v>
      </c>
      <c r="AZ34" s="89" t="s">
        <v>630</v>
      </c>
      <c r="BA34" s="90">
        <v>0</v>
      </c>
      <c r="BB34" s="90">
        <v>2250000</v>
      </c>
      <c r="BC34" s="90">
        <v>1500000</v>
      </c>
      <c r="BD34" s="90">
        <f t="shared" si="1"/>
        <v>0</v>
      </c>
      <c r="BE34" s="90">
        <f t="shared" si="2"/>
        <v>2391.75</v>
      </c>
      <c r="BF34" s="90">
        <f t="shared" si="3"/>
        <v>1594.5</v>
      </c>
      <c r="BT34" s="86" t="s">
        <v>438</v>
      </c>
      <c r="BU34" s="86" t="s">
        <v>335</v>
      </c>
      <c r="BV34" s="86" t="s">
        <v>629</v>
      </c>
      <c r="BW34" s="86" t="s">
        <v>630</v>
      </c>
      <c r="BX34" s="296" t="s">
        <v>433</v>
      </c>
      <c r="BY34" s="87">
        <v>0</v>
      </c>
      <c r="BZ34" s="87">
        <v>95250000</v>
      </c>
      <c r="CA34" s="87">
        <v>1500000</v>
      </c>
      <c r="CB34" s="166">
        <f t="shared" si="12"/>
        <v>0</v>
      </c>
      <c r="CC34" s="166">
        <f t="shared" si="13"/>
        <v>101250.75</v>
      </c>
      <c r="CD34" s="166">
        <f t="shared" si="14"/>
        <v>1594.5</v>
      </c>
      <c r="DI34" s="307" t="s">
        <v>438</v>
      </c>
      <c r="DJ34" s="307" t="s">
        <v>335</v>
      </c>
      <c r="DK34" s="307" t="s">
        <v>629</v>
      </c>
      <c r="DL34" s="307" t="s">
        <v>630</v>
      </c>
      <c r="DM34" s="79">
        <v>0</v>
      </c>
      <c r="DN34" s="79">
        <v>95250000</v>
      </c>
      <c r="DO34" s="79">
        <v>1500000</v>
      </c>
      <c r="DP34" s="560">
        <f t="shared" si="21"/>
        <v>0</v>
      </c>
      <c r="DQ34" s="560">
        <f t="shared" si="22"/>
        <v>101250.75</v>
      </c>
      <c r="DR34" s="560">
        <f t="shared" si="23"/>
        <v>1594.5</v>
      </c>
      <c r="EI34" s="88" t="s">
        <v>438</v>
      </c>
      <c r="EJ34" s="88" t="s">
        <v>335</v>
      </c>
      <c r="EK34" s="88" t="s">
        <v>447</v>
      </c>
      <c r="EL34" s="88" t="s">
        <v>447</v>
      </c>
      <c r="EM34" s="88" t="s">
        <v>433</v>
      </c>
      <c r="EN34" s="88">
        <v>0</v>
      </c>
      <c r="EO34" s="88">
        <v>0</v>
      </c>
      <c r="EP34" s="88">
        <v>0</v>
      </c>
      <c r="EQ34" s="557">
        <f t="shared" si="27"/>
        <v>0</v>
      </c>
      <c r="ER34" s="557">
        <f t="shared" si="28"/>
        <v>0</v>
      </c>
      <c r="ES34" s="557">
        <f t="shared" si="29"/>
        <v>0</v>
      </c>
      <c r="FK34" s="88" t="s">
        <v>438</v>
      </c>
      <c r="FL34" s="88" t="s">
        <v>335</v>
      </c>
      <c r="FM34" s="88" t="s">
        <v>447</v>
      </c>
      <c r="FN34" s="88" t="s">
        <v>447</v>
      </c>
      <c r="FO34" s="354" t="s">
        <v>433</v>
      </c>
      <c r="FP34" s="79">
        <v>0</v>
      </c>
      <c r="FQ34" s="79">
        <v>0</v>
      </c>
      <c r="FR34" s="79">
        <v>0</v>
      </c>
      <c r="FS34" s="535">
        <f t="shared" si="33"/>
        <v>0</v>
      </c>
      <c r="FT34" s="535">
        <f t="shared" si="34"/>
        <v>0</v>
      </c>
      <c r="FU34" s="535">
        <f t="shared" si="35"/>
        <v>0</v>
      </c>
      <c r="GI34" s="638" t="s">
        <v>438</v>
      </c>
      <c r="GJ34" s="638" t="s">
        <v>335</v>
      </c>
      <c r="GK34" s="350" t="s">
        <v>462</v>
      </c>
      <c r="GL34" s="638" t="s">
        <v>633</v>
      </c>
      <c r="GM34" s="638" t="s">
        <v>433</v>
      </c>
      <c r="GN34" s="669">
        <v>0</v>
      </c>
      <c r="GO34" s="669">
        <v>164000000</v>
      </c>
      <c r="GP34" s="669">
        <v>164000000</v>
      </c>
      <c r="GQ34" s="670">
        <f t="shared" si="36"/>
        <v>0</v>
      </c>
      <c r="GR34" s="670">
        <f t="shared" si="37"/>
        <v>174332</v>
      </c>
      <c r="GS34" s="670">
        <f t="shared" si="38"/>
        <v>174332</v>
      </c>
      <c r="HH34" s="725" t="s">
        <v>438</v>
      </c>
      <c r="HI34" s="725" t="s">
        <v>335</v>
      </c>
      <c r="HJ34" s="725" t="s">
        <v>447</v>
      </c>
      <c r="HK34" s="726" t="s">
        <v>447</v>
      </c>
      <c r="HL34" s="726" t="s">
        <v>433</v>
      </c>
      <c r="HM34" s="355">
        <v>0</v>
      </c>
      <c r="HN34" s="355">
        <v>0</v>
      </c>
      <c r="HO34" s="355">
        <v>0</v>
      </c>
      <c r="HP34" s="724">
        <f t="shared" si="40"/>
        <v>0</v>
      </c>
      <c r="HQ34" s="724">
        <f t="shared" si="41"/>
        <v>0</v>
      </c>
      <c r="HR34" s="724">
        <f t="shared" si="42"/>
        <v>0</v>
      </c>
      <c r="HW34" s="726" t="s">
        <v>672</v>
      </c>
      <c r="HX34" s="726" t="s">
        <v>673</v>
      </c>
      <c r="HY34" s="726" t="s">
        <v>447</v>
      </c>
      <c r="HZ34" s="726" t="s">
        <v>447</v>
      </c>
      <c r="IA34" s="726" t="s">
        <v>433</v>
      </c>
      <c r="IB34" s="761">
        <v>-22988000</v>
      </c>
      <c r="IC34" s="761">
        <v>0</v>
      </c>
      <c r="ID34" s="761">
        <v>0</v>
      </c>
      <c r="IE34" s="537">
        <f t="shared" si="43"/>
        <v>0</v>
      </c>
      <c r="II34" s="350" t="s">
        <v>438</v>
      </c>
      <c r="IJ34" s="350" t="s">
        <v>335</v>
      </c>
      <c r="IK34" s="350" t="s">
        <v>629</v>
      </c>
      <c r="IL34" s="350" t="s">
        <v>630</v>
      </c>
      <c r="IM34" s="638" t="s">
        <v>433</v>
      </c>
      <c r="IN34" s="244">
        <v>143000000</v>
      </c>
      <c r="IO34" s="244">
        <v>0</v>
      </c>
      <c r="IP34" s="244">
        <v>0</v>
      </c>
      <c r="IQ34" s="756">
        <f t="shared" si="44"/>
        <v>143000</v>
      </c>
      <c r="IR34" s="756">
        <f t="shared" si="45"/>
        <v>0</v>
      </c>
      <c r="IS34" s="756">
        <f t="shared" si="46"/>
        <v>0</v>
      </c>
      <c r="JG34" s="536" t="s">
        <v>438</v>
      </c>
      <c r="JH34" s="536" t="s">
        <v>335</v>
      </c>
      <c r="JI34" s="536" t="s">
        <v>462</v>
      </c>
      <c r="JJ34" s="536" t="s">
        <v>633</v>
      </c>
      <c r="JK34" s="536" t="s">
        <v>433</v>
      </c>
      <c r="JL34" s="79">
        <v>285000000</v>
      </c>
      <c r="JM34" s="79">
        <v>0</v>
      </c>
      <c r="JN34" s="79">
        <v>0</v>
      </c>
      <c r="JO34" s="166">
        <f t="shared" si="48"/>
        <v>285000</v>
      </c>
      <c r="JP34" s="166">
        <f t="shared" si="49"/>
        <v>0</v>
      </c>
      <c r="JQ34" s="166">
        <f t="shared" si="50"/>
        <v>0</v>
      </c>
    </row>
    <row r="35" spans="1:277" ht="15" customHeight="1" x14ac:dyDescent="0.25">
      <c r="A35" s="91" t="s">
        <v>534</v>
      </c>
      <c r="B35" s="91" t="s">
        <v>537</v>
      </c>
      <c r="C35" s="91" t="s">
        <v>447</v>
      </c>
      <c r="D35" s="91" t="s">
        <v>447</v>
      </c>
      <c r="E35" s="92">
        <v>0</v>
      </c>
      <c r="F35" s="92">
        <f t="shared" si="7"/>
        <v>0</v>
      </c>
      <c r="G35" s="92">
        <v>0</v>
      </c>
      <c r="H35" s="92">
        <f t="shared" si="8"/>
        <v>0</v>
      </c>
      <c r="AD35" s="89" t="s">
        <v>438</v>
      </c>
      <c r="AE35" s="89" t="s">
        <v>335</v>
      </c>
      <c r="AF35" s="89" t="s">
        <v>447</v>
      </c>
      <c r="AG35" s="89" t="s">
        <v>447</v>
      </c>
      <c r="AH35" s="90">
        <v>0</v>
      </c>
      <c r="AI35" s="90">
        <f t="shared" si="10"/>
        <v>0</v>
      </c>
      <c r="AJ35" s="90">
        <v>0</v>
      </c>
      <c r="AM35" s="166"/>
      <c r="AW35" s="89" t="s">
        <v>438</v>
      </c>
      <c r="AX35" s="89" t="s">
        <v>335</v>
      </c>
      <c r="AY35" s="89" t="s">
        <v>447</v>
      </c>
      <c r="AZ35" s="89" t="s">
        <v>447</v>
      </c>
      <c r="BA35" s="90">
        <v>0</v>
      </c>
      <c r="BB35" s="90">
        <v>0</v>
      </c>
      <c r="BC35" s="90">
        <v>0</v>
      </c>
      <c r="BD35" s="90">
        <f t="shared" ref="BD35:BD51" si="52">+BA35/$BG$2*$BH$2</f>
        <v>0</v>
      </c>
      <c r="BE35" s="90">
        <f t="shared" ref="BE35:BE51" si="53">+BB35/$BG$2*$BH$2</f>
        <v>0</v>
      </c>
      <c r="BF35" s="90">
        <f t="shared" ref="BF35:BF51" si="54">+BC35/$BG$2*$BH$2</f>
        <v>0</v>
      </c>
      <c r="BT35" s="86" t="s">
        <v>438</v>
      </c>
      <c r="BU35" s="86" t="s">
        <v>335</v>
      </c>
      <c r="BV35" s="86" t="s">
        <v>447</v>
      </c>
      <c r="BW35" s="86" t="s">
        <v>447</v>
      </c>
      <c r="BX35" s="296" t="s">
        <v>433</v>
      </c>
      <c r="BY35" s="87">
        <v>0</v>
      </c>
      <c r="BZ35" s="87">
        <v>0</v>
      </c>
      <c r="CA35" s="87">
        <v>0</v>
      </c>
      <c r="CB35" s="166">
        <f t="shared" si="12"/>
        <v>0</v>
      </c>
      <c r="CC35" s="166">
        <f t="shared" si="13"/>
        <v>0</v>
      </c>
      <c r="CD35" s="166">
        <f t="shared" si="14"/>
        <v>0</v>
      </c>
      <c r="DI35" s="307" t="s">
        <v>438</v>
      </c>
      <c r="DJ35" s="307" t="s">
        <v>335</v>
      </c>
      <c r="DK35" s="307" t="s">
        <v>447</v>
      </c>
      <c r="DL35" s="307" t="s">
        <v>447</v>
      </c>
      <c r="DM35" s="79">
        <v>0</v>
      </c>
      <c r="DN35" s="79">
        <v>0</v>
      </c>
      <c r="DO35" s="79">
        <v>0</v>
      </c>
      <c r="DP35" s="560">
        <f t="shared" si="21"/>
        <v>0</v>
      </c>
      <c r="DQ35" s="560">
        <f t="shared" si="22"/>
        <v>0</v>
      </c>
      <c r="DR35" s="560">
        <f t="shared" si="23"/>
        <v>0</v>
      </c>
      <c r="EI35" s="88" t="s">
        <v>438</v>
      </c>
      <c r="EJ35" s="88" t="s">
        <v>335</v>
      </c>
      <c r="EK35" s="88" t="s">
        <v>499</v>
      </c>
      <c r="EL35" s="88" t="s">
        <v>632</v>
      </c>
      <c r="EM35" s="88" t="s">
        <v>433</v>
      </c>
      <c r="EN35" s="88">
        <v>0</v>
      </c>
      <c r="EO35" s="88">
        <v>672600000</v>
      </c>
      <c r="EP35" s="88">
        <v>471400000</v>
      </c>
      <c r="EQ35" s="557">
        <f t="shared" si="27"/>
        <v>0</v>
      </c>
      <c r="ER35" s="557">
        <f t="shared" si="28"/>
        <v>714973.79999999993</v>
      </c>
      <c r="ES35" s="557">
        <f t="shared" si="29"/>
        <v>501098.19999999995</v>
      </c>
      <c r="FK35" s="88" t="s">
        <v>438</v>
      </c>
      <c r="FL35" s="88" t="s">
        <v>335</v>
      </c>
      <c r="FM35" s="88" t="s">
        <v>629</v>
      </c>
      <c r="FN35" s="88" t="s">
        <v>630</v>
      </c>
      <c r="FO35" s="354" t="s">
        <v>433</v>
      </c>
      <c r="FP35" s="79">
        <v>0</v>
      </c>
      <c r="FQ35" s="79">
        <v>95250000</v>
      </c>
      <c r="FR35" s="79">
        <v>76650000</v>
      </c>
      <c r="FS35" s="535">
        <f t="shared" si="33"/>
        <v>0</v>
      </c>
      <c r="FT35" s="535">
        <f t="shared" si="34"/>
        <v>101250.75</v>
      </c>
      <c r="FU35" s="535">
        <f t="shared" si="35"/>
        <v>81478.95</v>
      </c>
      <c r="GI35" s="638" t="s">
        <v>438</v>
      </c>
      <c r="GJ35" s="638" t="s">
        <v>335</v>
      </c>
      <c r="GK35" s="350" t="s">
        <v>499</v>
      </c>
      <c r="GL35" s="638" t="s">
        <v>632</v>
      </c>
      <c r="GM35" s="638" t="s">
        <v>433</v>
      </c>
      <c r="GN35" s="669">
        <v>0</v>
      </c>
      <c r="GO35" s="669">
        <v>782600000</v>
      </c>
      <c r="GP35" s="669">
        <v>597600000</v>
      </c>
      <c r="GQ35" s="670">
        <f t="shared" si="36"/>
        <v>0</v>
      </c>
      <c r="GR35" s="670">
        <f t="shared" si="37"/>
        <v>831903.79999999993</v>
      </c>
      <c r="GS35" s="670">
        <f t="shared" si="38"/>
        <v>635248.79999999993</v>
      </c>
      <c r="HH35" s="725" t="s">
        <v>438</v>
      </c>
      <c r="HI35" s="725" t="s">
        <v>335</v>
      </c>
      <c r="HJ35" s="725" t="s">
        <v>499</v>
      </c>
      <c r="HK35" s="726" t="s">
        <v>632</v>
      </c>
      <c r="HL35" s="726" t="s">
        <v>433</v>
      </c>
      <c r="HM35" s="355">
        <v>0</v>
      </c>
      <c r="HN35" s="355">
        <v>982600000</v>
      </c>
      <c r="HO35" s="355">
        <v>597600000</v>
      </c>
      <c r="HP35" s="724">
        <f t="shared" si="40"/>
        <v>0</v>
      </c>
      <c r="HQ35" s="724">
        <f t="shared" si="41"/>
        <v>982600</v>
      </c>
      <c r="HR35" s="724">
        <f t="shared" si="42"/>
        <v>597600</v>
      </c>
      <c r="HW35" s="726" t="s">
        <v>674</v>
      </c>
      <c r="HX35" s="726" t="s">
        <v>675</v>
      </c>
      <c r="HY35" s="726" t="s">
        <v>447</v>
      </c>
      <c r="HZ35" s="726" t="s">
        <v>447</v>
      </c>
      <c r="IA35" s="726" t="s">
        <v>433</v>
      </c>
      <c r="IB35" s="761">
        <v>-27960500</v>
      </c>
      <c r="IC35" s="761">
        <v>0</v>
      </c>
      <c r="ID35" s="761">
        <v>0</v>
      </c>
      <c r="IE35" s="537">
        <f t="shared" si="43"/>
        <v>0</v>
      </c>
      <c r="II35" s="350" t="s">
        <v>438</v>
      </c>
      <c r="IJ35" s="350" t="s">
        <v>335</v>
      </c>
      <c r="IK35" s="350" t="s">
        <v>439</v>
      </c>
      <c r="IL35" s="350" t="s">
        <v>492</v>
      </c>
      <c r="IM35" s="638" t="s">
        <v>433</v>
      </c>
      <c r="IN35" s="244">
        <v>120000000</v>
      </c>
      <c r="IO35" s="244">
        <v>0</v>
      </c>
      <c r="IP35" s="244">
        <v>0</v>
      </c>
      <c r="IQ35" s="756">
        <f t="shared" si="44"/>
        <v>120000</v>
      </c>
      <c r="IR35" s="756">
        <f t="shared" si="45"/>
        <v>0</v>
      </c>
      <c r="IS35" s="756">
        <f t="shared" si="46"/>
        <v>0</v>
      </c>
      <c r="JG35" s="536" t="s">
        <v>438</v>
      </c>
      <c r="JH35" s="536" t="s">
        <v>335</v>
      </c>
      <c r="JI35" s="536" t="s">
        <v>629</v>
      </c>
      <c r="JJ35" s="536" t="s">
        <v>630</v>
      </c>
      <c r="JK35" s="536" t="s">
        <v>433</v>
      </c>
      <c r="JL35" s="79">
        <v>128530000</v>
      </c>
      <c r="JM35" s="79">
        <v>0</v>
      </c>
      <c r="JN35" s="79">
        <v>0</v>
      </c>
      <c r="JO35" s="166">
        <f t="shared" si="48"/>
        <v>128530</v>
      </c>
      <c r="JP35" s="166">
        <f t="shared" si="49"/>
        <v>0</v>
      </c>
      <c r="JQ35" s="166">
        <f t="shared" si="50"/>
        <v>0</v>
      </c>
    </row>
    <row r="36" spans="1:277" ht="15" customHeight="1" x14ac:dyDescent="0.25">
      <c r="A36" s="91" t="s">
        <v>672</v>
      </c>
      <c r="B36" s="91" t="s">
        <v>673</v>
      </c>
      <c r="C36" s="91" t="s">
        <v>447</v>
      </c>
      <c r="D36" s="91" t="s">
        <v>447</v>
      </c>
      <c r="E36" s="92">
        <v>35000000</v>
      </c>
      <c r="F36" s="92">
        <f t="shared" si="7"/>
        <v>37205</v>
      </c>
      <c r="G36" s="92">
        <v>0</v>
      </c>
      <c r="H36" s="92">
        <f t="shared" si="8"/>
        <v>0</v>
      </c>
      <c r="AD36" s="89" t="s">
        <v>438</v>
      </c>
      <c r="AE36" s="89" t="s">
        <v>335</v>
      </c>
      <c r="AF36" s="89" t="s">
        <v>499</v>
      </c>
      <c r="AG36" s="89" t="s">
        <v>632</v>
      </c>
      <c r="AH36" s="90">
        <v>0</v>
      </c>
      <c r="AI36" s="90">
        <f t="shared" si="10"/>
        <v>0</v>
      </c>
      <c r="AJ36" s="90">
        <v>439000000</v>
      </c>
      <c r="AM36" s="166"/>
      <c r="AW36" s="89" t="s">
        <v>438</v>
      </c>
      <c r="AX36" s="89" t="s">
        <v>335</v>
      </c>
      <c r="AY36" s="89" t="s">
        <v>447</v>
      </c>
      <c r="AZ36" s="89" t="s">
        <v>447</v>
      </c>
      <c r="BA36" s="90">
        <v>0</v>
      </c>
      <c r="BB36" s="90">
        <v>0</v>
      </c>
      <c r="BC36" s="90">
        <v>0</v>
      </c>
      <c r="BD36" s="90">
        <f t="shared" si="52"/>
        <v>0</v>
      </c>
      <c r="BE36" s="90">
        <f t="shared" si="53"/>
        <v>0</v>
      </c>
      <c r="BF36" s="90">
        <f t="shared" si="54"/>
        <v>0</v>
      </c>
      <c r="BT36" s="86" t="s">
        <v>438</v>
      </c>
      <c r="BU36" s="86" t="s">
        <v>335</v>
      </c>
      <c r="BV36" s="86" t="s">
        <v>447</v>
      </c>
      <c r="BW36" s="86" t="s">
        <v>447</v>
      </c>
      <c r="BX36" s="296" t="s">
        <v>433</v>
      </c>
      <c r="BY36" s="87">
        <v>0</v>
      </c>
      <c r="BZ36" s="87">
        <v>0</v>
      </c>
      <c r="CA36" s="87">
        <v>0</v>
      </c>
      <c r="CB36" s="166">
        <f t="shared" si="12"/>
        <v>0</v>
      </c>
      <c r="CC36" s="166">
        <f t="shared" si="13"/>
        <v>0</v>
      </c>
      <c r="CD36" s="166">
        <f t="shared" si="14"/>
        <v>0</v>
      </c>
      <c r="DI36" s="307" t="s">
        <v>438</v>
      </c>
      <c r="DJ36" s="307" t="s">
        <v>335</v>
      </c>
      <c r="DK36" s="307" t="s">
        <v>499</v>
      </c>
      <c r="DL36" s="307" t="s">
        <v>632</v>
      </c>
      <c r="DM36" s="79">
        <v>0</v>
      </c>
      <c r="DN36" s="79">
        <v>672600000</v>
      </c>
      <c r="DO36" s="79">
        <v>439000000</v>
      </c>
      <c r="DP36" s="560">
        <f t="shared" si="21"/>
        <v>0</v>
      </c>
      <c r="DQ36" s="560">
        <f t="shared" si="22"/>
        <v>714973.79999999993</v>
      </c>
      <c r="DR36" s="560">
        <f t="shared" si="23"/>
        <v>466657</v>
      </c>
      <c r="EI36" s="88" t="s">
        <v>438</v>
      </c>
      <c r="EJ36" s="88" t="s">
        <v>335</v>
      </c>
      <c r="EK36" s="88" t="s">
        <v>447</v>
      </c>
      <c r="EL36" s="88" t="s">
        <v>447</v>
      </c>
      <c r="EM36" s="88" t="s">
        <v>433</v>
      </c>
      <c r="EN36" s="88">
        <v>0</v>
      </c>
      <c r="EO36" s="88">
        <v>0</v>
      </c>
      <c r="EP36" s="88">
        <v>0</v>
      </c>
      <c r="EQ36" s="557">
        <f t="shared" si="27"/>
        <v>0</v>
      </c>
      <c r="ER36" s="557">
        <f t="shared" si="28"/>
        <v>0</v>
      </c>
      <c r="ES36" s="557">
        <f t="shared" si="29"/>
        <v>0</v>
      </c>
      <c r="FK36" s="88" t="s">
        <v>438</v>
      </c>
      <c r="FL36" s="88" t="s">
        <v>335</v>
      </c>
      <c r="FM36" s="88" t="s">
        <v>439</v>
      </c>
      <c r="FN36" s="88" t="s">
        <v>492</v>
      </c>
      <c r="FO36" s="354" t="s">
        <v>433</v>
      </c>
      <c r="FP36" s="79">
        <v>0</v>
      </c>
      <c r="FQ36" s="79">
        <v>120000000</v>
      </c>
      <c r="FR36" s="79">
        <v>120000000</v>
      </c>
      <c r="FS36" s="535">
        <f t="shared" si="33"/>
        <v>0</v>
      </c>
      <c r="FT36" s="535">
        <f t="shared" si="34"/>
        <v>127560</v>
      </c>
      <c r="FU36" s="535">
        <f t="shared" si="35"/>
        <v>127560</v>
      </c>
      <c r="GI36" s="638" t="s">
        <v>438</v>
      </c>
      <c r="GJ36" s="638" t="s">
        <v>335</v>
      </c>
      <c r="GK36" s="350" t="s">
        <v>447</v>
      </c>
      <c r="GL36" s="638" t="s">
        <v>447</v>
      </c>
      <c r="GM36" s="638" t="s">
        <v>433</v>
      </c>
      <c r="GN36" s="669">
        <v>0</v>
      </c>
      <c r="GO36" s="669">
        <v>0</v>
      </c>
      <c r="GP36" s="669">
        <v>0</v>
      </c>
      <c r="GQ36" s="670">
        <f t="shared" si="36"/>
        <v>0</v>
      </c>
      <c r="GR36" s="670">
        <f t="shared" si="37"/>
        <v>0</v>
      </c>
      <c r="GS36" s="670">
        <f t="shared" si="38"/>
        <v>0</v>
      </c>
      <c r="HH36" s="725" t="s">
        <v>438</v>
      </c>
      <c r="HI36" s="725" t="s">
        <v>335</v>
      </c>
      <c r="HJ36" s="725" t="s">
        <v>629</v>
      </c>
      <c r="HK36" s="726" t="s">
        <v>630</v>
      </c>
      <c r="HL36" s="726" t="s">
        <v>433</v>
      </c>
      <c r="HM36" s="355">
        <v>0</v>
      </c>
      <c r="HN36" s="355">
        <v>114610000</v>
      </c>
      <c r="HO36" s="355">
        <v>76650000</v>
      </c>
      <c r="HP36" s="724">
        <f t="shared" si="40"/>
        <v>0</v>
      </c>
      <c r="HQ36" s="724">
        <f t="shared" si="41"/>
        <v>114610</v>
      </c>
      <c r="HR36" s="724">
        <f t="shared" si="42"/>
        <v>76650</v>
      </c>
      <c r="HW36" s="726"/>
      <c r="HX36" s="726"/>
      <c r="HY36" s="726"/>
      <c r="HZ36" s="726"/>
      <c r="IA36" s="726"/>
      <c r="IB36" s="80"/>
      <c r="IC36" s="80"/>
      <c r="ID36" s="80"/>
      <c r="II36" s="350" t="s">
        <v>438</v>
      </c>
      <c r="IJ36" s="350" t="s">
        <v>335</v>
      </c>
      <c r="IK36" s="350" t="s">
        <v>462</v>
      </c>
      <c r="IL36" s="350" t="s">
        <v>633</v>
      </c>
      <c r="IM36" s="638" t="s">
        <v>433</v>
      </c>
      <c r="IN36" s="244">
        <v>0</v>
      </c>
      <c r="IO36" s="244">
        <v>285000000</v>
      </c>
      <c r="IP36" s="244">
        <v>270000000</v>
      </c>
      <c r="IQ36" s="756">
        <f t="shared" si="44"/>
        <v>0</v>
      </c>
      <c r="IR36" s="756">
        <f t="shared" si="45"/>
        <v>285000</v>
      </c>
      <c r="IS36" s="756">
        <f t="shared" si="46"/>
        <v>270000</v>
      </c>
      <c r="JG36" s="536" t="s">
        <v>438</v>
      </c>
      <c r="JH36" s="536" t="s">
        <v>335</v>
      </c>
      <c r="JI36" s="536" t="s">
        <v>439</v>
      </c>
      <c r="JJ36" s="536" t="s">
        <v>492</v>
      </c>
      <c r="JK36" s="536" t="s">
        <v>433</v>
      </c>
      <c r="JL36" s="79">
        <v>120000000</v>
      </c>
      <c r="JM36" s="79">
        <v>0</v>
      </c>
      <c r="JN36" s="79">
        <v>0</v>
      </c>
      <c r="JO36" s="166">
        <f t="shared" si="48"/>
        <v>120000</v>
      </c>
      <c r="JP36" s="166">
        <f t="shared" si="49"/>
        <v>0</v>
      </c>
      <c r="JQ36" s="166">
        <f t="shared" si="50"/>
        <v>0</v>
      </c>
    </row>
    <row r="37" spans="1:277" ht="15" customHeight="1" x14ac:dyDescent="0.25">
      <c r="A37" s="91" t="s">
        <v>674</v>
      </c>
      <c r="B37" s="91" t="s">
        <v>675</v>
      </c>
      <c r="C37" s="91" t="s">
        <v>447</v>
      </c>
      <c r="D37" s="91" t="s">
        <v>447</v>
      </c>
      <c r="E37" s="92">
        <v>50000000</v>
      </c>
      <c r="F37" s="92">
        <f t="shared" si="7"/>
        <v>53150</v>
      </c>
      <c r="G37" s="92">
        <v>0</v>
      </c>
      <c r="H37" s="92">
        <f t="shared" si="8"/>
        <v>0</v>
      </c>
      <c r="AD37" s="89" t="s">
        <v>438</v>
      </c>
      <c r="AE37" s="89" t="s">
        <v>335</v>
      </c>
      <c r="AF37" s="89" t="s">
        <v>500</v>
      </c>
      <c r="AG37" s="89" t="s">
        <v>489</v>
      </c>
      <c r="AH37" s="90">
        <v>0</v>
      </c>
      <c r="AI37" s="90">
        <f t="shared" si="10"/>
        <v>0</v>
      </c>
      <c r="AJ37" s="90">
        <v>0</v>
      </c>
      <c r="AM37" s="166"/>
      <c r="AW37" s="89" t="s">
        <v>438</v>
      </c>
      <c r="AX37" s="89" t="s">
        <v>335</v>
      </c>
      <c r="AY37" s="89" t="s">
        <v>447</v>
      </c>
      <c r="AZ37" s="89" t="s">
        <v>447</v>
      </c>
      <c r="BA37" s="90">
        <v>0</v>
      </c>
      <c r="BB37" s="90">
        <v>0</v>
      </c>
      <c r="BC37" s="90">
        <v>0</v>
      </c>
      <c r="BD37" s="90">
        <f t="shared" si="52"/>
        <v>0</v>
      </c>
      <c r="BE37" s="90">
        <f t="shared" si="53"/>
        <v>0</v>
      </c>
      <c r="BF37" s="90">
        <f t="shared" si="54"/>
        <v>0</v>
      </c>
      <c r="BT37" s="86" t="s">
        <v>438</v>
      </c>
      <c r="BU37" s="86" t="s">
        <v>335</v>
      </c>
      <c r="BV37" s="86" t="s">
        <v>447</v>
      </c>
      <c r="BW37" s="86" t="s">
        <v>447</v>
      </c>
      <c r="BX37" s="296" t="s">
        <v>433</v>
      </c>
      <c r="BY37" s="87">
        <v>0</v>
      </c>
      <c r="BZ37" s="87">
        <v>0</v>
      </c>
      <c r="CA37" s="87">
        <v>0</v>
      </c>
      <c r="CB37" s="166">
        <f t="shared" si="12"/>
        <v>0</v>
      </c>
      <c r="CC37" s="166">
        <f t="shared" si="13"/>
        <v>0</v>
      </c>
      <c r="CD37" s="166">
        <f t="shared" si="14"/>
        <v>0</v>
      </c>
      <c r="DI37" s="307" t="s">
        <v>438</v>
      </c>
      <c r="DJ37" s="307" t="s">
        <v>335</v>
      </c>
      <c r="DK37" s="307" t="s">
        <v>447</v>
      </c>
      <c r="DL37" s="307" t="s">
        <v>447</v>
      </c>
      <c r="DM37" s="79">
        <v>0</v>
      </c>
      <c r="DN37" s="79">
        <v>0</v>
      </c>
      <c r="DO37" s="79">
        <v>0</v>
      </c>
      <c r="DP37" s="560">
        <f t="shared" si="21"/>
        <v>0</v>
      </c>
      <c r="DQ37" s="560">
        <f t="shared" si="22"/>
        <v>0</v>
      </c>
      <c r="DR37" s="560">
        <f t="shared" si="23"/>
        <v>0</v>
      </c>
      <c r="EI37" s="88" t="s">
        <v>438</v>
      </c>
      <c r="EJ37" s="88" t="s">
        <v>335</v>
      </c>
      <c r="EK37" s="88" t="s">
        <v>500</v>
      </c>
      <c r="EL37" s="88" t="s">
        <v>489</v>
      </c>
      <c r="EM37" s="88" t="s">
        <v>433</v>
      </c>
      <c r="EN37" s="88">
        <v>0</v>
      </c>
      <c r="EO37" s="88">
        <v>0</v>
      </c>
      <c r="EP37" s="88">
        <v>0</v>
      </c>
      <c r="EQ37" s="557">
        <f t="shared" si="27"/>
        <v>0</v>
      </c>
      <c r="ER37" s="557">
        <f t="shared" si="28"/>
        <v>0</v>
      </c>
      <c r="ES37" s="557">
        <f t="shared" si="29"/>
        <v>0</v>
      </c>
      <c r="FK37" s="88" t="s">
        <v>438</v>
      </c>
      <c r="FL37" s="88" t="s">
        <v>335</v>
      </c>
      <c r="FM37" s="88" t="s">
        <v>462</v>
      </c>
      <c r="FN37" s="88" t="s">
        <v>633</v>
      </c>
      <c r="FO37" s="354" t="s">
        <v>433</v>
      </c>
      <c r="FP37" s="79">
        <v>0</v>
      </c>
      <c r="FQ37" s="79">
        <v>164000000</v>
      </c>
      <c r="FR37" s="79">
        <v>164000000</v>
      </c>
      <c r="FS37" s="535">
        <f t="shared" si="33"/>
        <v>0</v>
      </c>
      <c r="FT37" s="535">
        <f t="shared" si="34"/>
        <v>174332</v>
      </c>
      <c r="FU37" s="535">
        <f t="shared" si="35"/>
        <v>174332</v>
      </c>
      <c r="GI37" s="638" t="s">
        <v>438</v>
      </c>
      <c r="GJ37" s="638" t="s">
        <v>335</v>
      </c>
      <c r="GK37" s="350" t="s">
        <v>629</v>
      </c>
      <c r="GL37" s="638" t="s">
        <v>630</v>
      </c>
      <c r="GM37" s="638" t="s">
        <v>433</v>
      </c>
      <c r="GN37" s="669">
        <v>0</v>
      </c>
      <c r="GO37" s="669">
        <v>95250000</v>
      </c>
      <c r="GP37" s="669">
        <v>76650000</v>
      </c>
      <c r="GQ37" s="670">
        <f t="shared" si="36"/>
        <v>0</v>
      </c>
      <c r="GR37" s="670">
        <f t="shared" si="37"/>
        <v>101250.75</v>
      </c>
      <c r="GS37" s="670">
        <f t="shared" si="38"/>
        <v>81478.95</v>
      </c>
      <c r="HH37" s="725" t="s">
        <v>438</v>
      </c>
      <c r="HI37" s="725" t="s">
        <v>335</v>
      </c>
      <c r="HJ37" s="725" t="s">
        <v>447</v>
      </c>
      <c r="HK37" s="726" t="s">
        <v>447</v>
      </c>
      <c r="HL37" s="726" t="s">
        <v>433</v>
      </c>
      <c r="HM37" s="355">
        <v>0</v>
      </c>
      <c r="HN37" s="355">
        <v>0</v>
      </c>
      <c r="HO37" s="355">
        <v>0</v>
      </c>
      <c r="HP37" s="724">
        <f t="shared" si="40"/>
        <v>0</v>
      </c>
      <c r="HQ37" s="724">
        <f t="shared" si="41"/>
        <v>0</v>
      </c>
      <c r="HR37" s="724">
        <f t="shared" si="42"/>
        <v>0</v>
      </c>
      <c r="II37" s="350" t="s">
        <v>438</v>
      </c>
      <c r="IJ37" s="350" t="s">
        <v>335</v>
      </c>
      <c r="IK37" s="350" t="s">
        <v>447</v>
      </c>
      <c r="IL37" s="350" t="s">
        <v>447</v>
      </c>
      <c r="IM37" s="638" t="s">
        <v>433</v>
      </c>
      <c r="IN37" s="244">
        <v>0</v>
      </c>
      <c r="IO37" s="244">
        <v>0</v>
      </c>
      <c r="IP37" s="244">
        <v>0</v>
      </c>
      <c r="IQ37" s="756">
        <f t="shared" si="44"/>
        <v>0</v>
      </c>
      <c r="IR37" s="756">
        <f t="shared" si="45"/>
        <v>0</v>
      </c>
      <c r="IS37" s="756">
        <f t="shared" si="46"/>
        <v>0</v>
      </c>
      <c r="JG37" s="536" t="s">
        <v>438</v>
      </c>
      <c r="JH37" s="536" t="s">
        <v>335</v>
      </c>
      <c r="JI37" s="536" t="s">
        <v>447</v>
      </c>
      <c r="JJ37" s="536" t="s">
        <v>447</v>
      </c>
      <c r="JK37" s="536" t="s">
        <v>433</v>
      </c>
      <c r="JL37" s="79">
        <v>0</v>
      </c>
      <c r="JM37" s="79">
        <v>0</v>
      </c>
      <c r="JN37" s="79">
        <v>0</v>
      </c>
      <c r="JO37" s="166">
        <f t="shared" si="48"/>
        <v>0</v>
      </c>
      <c r="JP37" s="166">
        <f t="shared" si="49"/>
        <v>0</v>
      </c>
      <c r="JQ37" s="166">
        <f t="shared" si="50"/>
        <v>0</v>
      </c>
    </row>
    <row r="38" spans="1:277" ht="15" customHeight="1" x14ac:dyDescent="0.25">
      <c r="A38" s="91" t="s">
        <v>452</v>
      </c>
      <c r="B38" s="91" t="s">
        <v>128</v>
      </c>
      <c r="C38" s="91" t="s">
        <v>447</v>
      </c>
      <c r="D38" s="91" t="s">
        <v>447</v>
      </c>
      <c r="E38" s="92">
        <v>10000</v>
      </c>
      <c r="F38" s="92">
        <f t="shared" si="7"/>
        <v>10.629999999999999</v>
      </c>
      <c r="G38" s="92">
        <v>0</v>
      </c>
      <c r="H38" s="92">
        <f t="shared" si="8"/>
        <v>0</v>
      </c>
      <c r="AD38" s="89" t="s">
        <v>463</v>
      </c>
      <c r="AE38" s="89" t="s">
        <v>464</v>
      </c>
      <c r="AF38" s="89" t="s">
        <v>447</v>
      </c>
      <c r="AG38" s="89" t="s">
        <v>447</v>
      </c>
      <c r="AH38" s="90">
        <v>520000000</v>
      </c>
      <c r="AI38" s="90">
        <f t="shared" si="10"/>
        <v>552760</v>
      </c>
      <c r="AJ38" s="90">
        <v>0</v>
      </c>
      <c r="AM38" s="166"/>
      <c r="AW38" s="89" t="s">
        <v>463</v>
      </c>
      <c r="AX38" s="89" t="s">
        <v>464</v>
      </c>
      <c r="AY38" s="89" t="s">
        <v>447</v>
      </c>
      <c r="AZ38" s="89" t="s">
        <v>447</v>
      </c>
      <c r="BA38" s="90">
        <v>520000000</v>
      </c>
      <c r="BB38" s="90">
        <v>0</v>
      </c>
      <c r="BC38" s="90">
        <v>0</v>
      </c>
      <c r="BD38" s="90">
        <f t="shared" si="52"/>
        <v>552760</v>
      </c>
      <c r="BE38" s="90">
        <f t="shared" si="53"/>
        <v>0</v>
      </c>
      <c r="BF38" s="90">
        <f t="shared" si="54"/>
        <v>0</v>
      </c>
      <c r="BT38" s="86" t="s">
        <v>463</v>
      </c>
      <c r="BU38" s="86" t="s">
        <v>464</v>
      </c>
      <c r="BV38" s="86" t="s">
        <v>447</v>
      </c>
      <c r="BW38" s="86" t="s">
        <v>447</v>
      </c>
      <c r="BX38" s="296" t="s">
        <v>433</v>
      </c>
      <c r="BY38" s="87">
        <v>520000000</v>
      </c>
      <c r="BZ38" s="87">
        <v>0</v>
      </c>
      <c r="CA38" s="87">
        <v>0</v>
      </c>
      <c r="CB38" s="166">
        <f t="shared" si="12"/>
        <v>552760</v>
      </c>
      <c r="CC38" s="166">
        <f t="shared" si="13"/>
        <v>0</v>
      </c>
      <c r="CD38" s="166">
        <f t="shared" si="14"/>
        <v>0</v>
      </c>
      <c r="DI38" s="307" t="s">
        <v>438</v>
      </c>
      <c r="DJ38" s="307" t="s">
        <v>335</v>
      </c>
      <c r="DK38" s="307" t="s">
        <v>439</v>
      </c>
      <c r="DL38" s="307" t="s">
        <v>492</v>
      </c>
      <c r="DM38" s="79">
        <v>0</v>
      </c>
      <c r="DN38" s="79">
        <v>120000000</v>
      </c>
      <c r="DO38" s="79">
        <v>96000000</v>
      </c>
      <c r="DP38" s="560">
        <f t="shared" si="21"/>
        <v>0</v>
      </c>
      <c r="DQ38" s="560">
        <f t="shared" si="22"/>
        <v>127560</v>
      </c>
      <c r="DR38" s="560">
        <f t="shared" si="23"/>
        <v>102048</v>
      </c>
      <c r="EI38" s="88" t="s">
        <v>438</v>
      </c>
      <c r="EJ38" s="88" t="s">
        <v>335</v>
      </c>
      <c r="EK38" s="88" t="s">
        <v>447</v>
      </c>
      <c r="EL38" s="88" t="s">
        <v>447</v>
      </c>
      <c r="EM38" s="88" t="s">
        <v>433</v>
      </c>
      <c r="EN38" s="88">
        <v>0</v>
      </c>
      <c r="EO38" s="88">
        <v>0</v>
      </c>
      <c r="EP38" s="88">
        <v>0</v>
      </c>
      <c r="EQ38" s="557">
        <f t="shared" si="27"/>
        <v>0</v>
      </c>
      <c r="ER38" s="557">
        <f t="shared" si="28"/>
        <v>0</v>
      </c>
      <c r="ES38" s="557">
        <f t="shared" si="29"/>
        <v>0</v>
      </c>
      <c r="FK38" s="88" t="s">
        <v>438</v>
      </c>
      <c r="FL38" s="88" t="s">
        <v>335</v>
      </c>
      <c r="FM38" s="88" t="s">
        <v>447</v>
      </c>
      <c r="FN38" s="88" t="s">
        <v>447</v>
      </c>
      <c r="FO38" s="354" t="s">
        <v>433</v>
      </c>
      <c r="FP38" s="79">
        <v>0</v>
      </c>
      <c r="FQ38" s="79">
        <v>0</v>
      </c>
      <c r="FR38" s="79">
        <v>0</v>
      </c>
      <c r="FS38" s="535">
        <f t="shared" si="33"/>
        <v>0</v>
      </c>
      <c r="FT38" s="535">
        <f t="shared" si="34"/>
        <v>0</v>
      </c>
      <c r="FU38" s="535">
        <f t="shared" si="35"/>
        <v>0</v>
      </c>
      <c r="GI38" s="638" t="s">
        <v>438</v>
      </c>
      <c r="GJ38" s="638" t="s">
        <v>335</v>
      </c>
      <c r="GK38" s="350" t="s">
        <v>439</v>
      </c>
      <c r="GL38" s="638" t="s">
        <v>492</v>
      </c>
      <c r="GM38" s="638" t="s">
        <v>433</v>
      </c>
      <c r="GN38" s="669">
        <v>0</v>
      </c>
      <c r="GO38" s="669">
        <v>120000000</v>
      </c>
      <c r="GP38" s="669">
        <v>120000000</v>
      </c>
      <c r="GQ38" s="670">
        <f t="shared" si="36"/>
        <v>0</v>
      </c>
      <c r="GR38" s="670">
        <f t="shared" si="37"/>
        <v>127560</v>
      </c>
      <c r="GS38" s="670">
        <f t="shared" si="38"/>
        <v>127560</v>
      </c>
      <c r="HH38" s="725" t="s">
        <v>438</v>
      </c>
      <c r="HI38" s="725" t="s">
        <v>335</v>
      </c>
      <c r="HJ38" s="725" t="s">
        <v>447</v>
      </c>
      <c r="HK38" s="726" t="s">
        <v>447</v>
      </c>
      <c r="HL38" s="726" t="s">
        <v>433</v>
      </c>
      <c r="HM38" s="355">
        <v>0</v>
      </c>
      <c r="HN38" s="355">
        <v>0</v>
      </c>
      <c r="HO38" s="355">
        <v>0</v>
      </c>
      <c r="HP38" s="724">
        <f t="shared" si="40"/>
        <v>0</v>
      </c>
      <c r="HQ38" s="724">
        <f t="shared" si="41"/>
        <v>0</v>
      </c>
      <c r="HR38" s="724">
        <f t="shared" si="42"/>
        <v>0</v>
      </c>
      <c r="II38" s="350" t="s">
        <v>438</v>
      </c>
      <c r="IJ38" s="350" t="s">
        <v>335</v>
      </c>
      <c r="IK38" s="350" t="s">
        <v>447</v>
      </c>
      <c r="IL38" s="350" t="s">
        <v>447</v>
      </c>
      <c r="IM38" s="638" t="s">
        <v>433</v>
      </c>
      <c r="IN38" s="244">
        <v>0</v>
      </c>
      <c r="IO38" s="244">
        <v>0</v>
      </c>
      <c r="IP38" s="244">
        <v>0</v>
      </c>
      <c r="IQ38" s="756">
        <f t="shared" si="44"/>
        <v>0</v>
      </c>
      <c r="IR38" s="756">
        <f t="shared" si="45"/>
        <v>0</v>
      </c>
      <c r="IS38" s="756">
        <f t="shared" si="46"/>
        <v>0</v>
      </c>
      <c r="JG38" s="536" t="s">
        <v>438</v>
      </c>
      <c r="JH38" s="536" t="s">
        <v>335</v>
      </c>
      <c r="JI38" s="536" t="s">
        <v>629</v>
      </c>
      <c r="JJ38" s="536" t="s">
        <v>630</v>
      </c>
      <c r="JK38" s="536" t="s">
        <v>433</v>
      </c>
      <c r="JL38" s="79">
        <v>0</v>
      </c>
      <c r="JM38" s="79">
        <v>128530000</v>
      </c>
      <c r="JN38" s="79">
        <v>128530000</v>
      </c>
      <c r="JO38" s="166">
        <f t="shared" si="48"/>
        <v>0</v>
      </c>
      <c r="JP38" s="166">
        <f t="shared" si="49"/>
        <v>128530</v>
      </c>
      <c r="JQ38" s="166">
        <f t="shared" si="50"/>
        <v>128530</v>
      </c>
    </row>
    <row r="39" spans="1:277" ht="15" customHeight="1" x14ac:dyDescent="0.25">
      <c r="A39" s="91" t="s">
        <v>452</v>
      </c>
      <c r="B39" s="91" t="s">
        <v>128</v>
      </c>
      <c r="C39" s="91" t="s">
        <v>447</v>
      </c>
      <c r="D39" s="91" t="s">
        <v>447</v>
      </c>
      <c r="E39" s="92">
        <v>0</v>
      </c>
      <c r="F39" s="92">
        <f t="shared" si="7"/>
        <v>0</v>
      </c>
      <c r="G39" s="92">
        <v>98044982</v>
      </c>
      <c r="H39" s="92">
        <f t="shared" si="8"/>
        <v>104221.815866</v>
      </c>
      <c r="AD39" s="89" t="s">
        <v>463</v>
      </c>
      <c r="AE39" s="89" t="s">
        <v>464</v>
      </c>
      <c r="AF39" s="89" t="s">
        <v>447</v>
      </c>
      <c r="AG39" s="89" t="s">
        <v>447</v>
      </c>
      <c r="AH39" s="90">
        <v>0</v>
      </c>
      <c r="AI39" s="90">
        <f t="shared" si="10"/>
        <v>0</v>
      </c>
      <c r="AJ39" s="90">
        <v>14000000</v>
      </c>
      <c r="AM39" s="166"/>
      <c r="AW39" s="89" t="s">
        <v>463</v>
      </c>
      <c r="AX39" s="89" t="s">
        <v>464</v>
      </c>
      <c r="AY39" s="89" t="s">
        <v>447</v>
      </c>
      <c r="AZ39" s="89" t="s">
        <v>447</v>
      </c>
      <c r="BA39" s="90">
        <v>0</v>
      </c>
      <c r="BB39" s="90">
        <v>14000000</v>
      </c>
      <c r="BC39" s="90">
        <v>14000000</v>
      </c>
      <c r="BD39" s="90">
        <f t="shared" si="52"/>
        <v>0</v>
      </c>
      <c r="BE39" s="90">
        <f t="shared" si="53"/>
        <v>14882</v>
      </c>
      <c r="BF39" s="90">
        <f t="shared" si="54"/>
        <v>14882</v>
      </c>
      <c r="BT39" s="86" t="s">
        <v>463</v>
      </c>
      <c r="BU39" s="86" t="s">
        <v>464</v>
      </c>
      <c r="BV39" s="86" t="s">
        <v>447</v>
      </c>
      <c r="BW39" s="86" t="s">
        <v>447</v>
      </c>
      <c r="BX39" s="296" t="s">
        <v>433</v>
      </c>
      <c r="BY39" s="87">
        <v>0</v>
      </c>
      <c r="BZ39" s="87">
        <v>14000000</v>
      </c>
      <c r="CA39" s="87">
        <v>14000000</v>
      </c>
      <c r="CB39" s="166">
        <f t="shared" si="12"/>
        <v>0</v>
      </c>
      <c r="CC39" s="166">
        <f t="shared" si="13"/>
        <v>14882</v>
      </c>
      <c r="CD39" s="166">
        <f t="shared" si="14"/>
        <v>14882</v>
      </c>
      <c r="DI39" s="307" t="s">
        <v>438</v>
      </c>
      <c r="DJ39" s="307" t="s">
        <v>335</v>
      </c>
      <c r="DK39" s="307" t="s">
        <v>447</v>
      </c>
      <c r="DL39" s="307" t="s">
        <v>447</v>
      </c>
      <c r="DM39" s="79">
        <v>0</v>
      </c>
      <c r="DN39" s="79">
        <v>0</v>
      </c>
      <c r="DO39" s="79">
        <v>0</v>
      </c>
      <c r="DP39" s="560">
        <f t="shared" si="21"/>
        <v>0</v>
      </c>
      <c r="DQ39" s="560">
        <f t="shared" si="22"/>
        <v>0</v>
      </c>
      <c r="DR39" s="560">
        <f t="shared" si="23"/>
        <v>0</v>
      </c>
      <c r="EI39" s="88" t="s">
        <v>438</v>
      </c>
      <c r="EJ39" s="88" t="s">
        <v>335</v>
      </c>
      <c r="EK39" s="88" t="s">
        <v>629</v>
      </c>
      <c r="EL39" s="88" t="s">
        <v>630</v>
      </c>
      <c r="EM39" s="88" t="s">
        <v>433</v>
      </c>
      <c r="EN39" s="88">
        <v>0</v>
      </c>
      <c r="EO39" s="88">
        <v>95250000</v>
      </c>
      <c r="EP39" s="88">
        <v>76650000</v>
      </c>
      <c r="EQ39" s="557">
        <f t="shared" si="27"/>
        <v>0</v>
      </c>
      <c r="ER39" s="557">
        <f t="shared" si="28"/>
        <v>101250.75</v>
      </c>
      <c r="ES39" s="557">
        <f t="shared" si="29"/>
        <v>81478.95</v>
      </c>
      <c r="FK39" s="88" t="s">
        <v>438</v>
      </c>
      <c r="FL39" s="88" t="s">
        <v>335</v>
      </c>
      <c r="FM39" s="88" t="s">
        <v>500</v>
      </c>
      <c r="FN39" s="88" t="s">
        <v>489</v>
      </c>
      <c r="FO39" s="354" t="s">
        <v>433</v>
      </c>
      <c r="FP39" s="79">
        <v>0</v>
      </c>
      <c r="FQ39" s="79">
        <v>0</v>
      </c>
      <c r="FR39" s="79">
        <v>0</v>
      </c>
      <c r="FS39" s="535">
        <f t="shared" si="33"/>
        <v>0</v>
      </c>
      <c r="FT39" s="535">
        <f t="shared" si="34"/>
        <v>0</v>
      </c>
      <c r="FU39" s="535">
        <f t="shared" si="35"/>
        <v>0</v>
      </c>
      <c r="GI39" s="638" t="s">
        <v>438</v>
      </c>
      <c r="GJ39" s="638" t="s">
        <v>335</v>
      </c>
      <c r="GK39" s="350" t="s">
        <v>500</v>
      </c>
      <c r="GL39" s="638" t="s">
        <v>489</v>
      </c>
      <c r="GM39" s="638" t="s">
        <v>433</v>
      </c>
      <c r="GN39" s="669">
        <v>0</v>
      </c>
      <c r="GO39" s="669">
        <v>0</v>
      </c>
      <c r="GP39" s="669">
        <v>0</v>
      </c>
      <c r="GQ39" s="670">
        <f t="shared" si="36"/>
        <v>0</v>
      </c>
      <c r="GR39" s="670">
        <f t="shared" si="37"/>
        <v>0</v>
      </c>
      <c r="GS39" s="670">
        <f t="shared" si="38"/>
        <v>0</v>
      </c>
      <c r="HH39" s="725" t="s">
        <v>438</v>
      </c>
      <c r="HI39" s="725" t="s">
        <v>335</v>
      </c>
      <c r="HJ39" s="725" t="s">
        <v>488</v>
      </c>
      <c r="HK39" s="726" t="s">
        <v>631</v>
      </c>
      <c r="HL39" s="726" t="s">
        <v>433</v>
      </c>
      <c r="HM39" s="355">
        <v>0</v>
      </c>
      <c r="HN39" s="355">
        <v>308990000</v>
      </c>
      <c r="HO39" s="355">
        <v>63000000</v>
      </c>
      <c r="HP39" s="724">
        <f t="shared" si="40"/>
        <v>0</v>
      </c>
      <c r="HQ39" s="724">
        <f t="shared" si="41"/>
        <v>308990</v>
      </c>
      <c r="HR39" s="724">
        <f t="shared" si="42"/>
        <v>63000</v>
      </c>
      <c r="II39" s="350" t="s">
        <v>438</v>
      </c>
      <c r="IJ39" s="350" t="s">
        <v>335</v>
      </c>
      <c r="IK39" s="350" t="s">
        <v>500</v>
      </c>
      <c r="IL39" s="350" t="s">
        <v>489</v>
      </c>
      <c r="IM39" s="638" t="s">
        <v>433</v>
      </c>
      <c r="IN39" s="244">
        <v>0</v>
      </c>
      <c r="IO39" s="244">
        <v>0</v>
      </c>
      <c r="IP39" s="244">
        <v>0</v>
      </c>
      <c r="IQ39" s="756">
        <f t="shared" si="44"/>
        <v>0</v>
      </c>
      <c r="IR39" s="756">
        <f t="shared" si="45"/>
        <v>0</v>
      </c>
      <c r="IS39" s="756">
        <f t="shared" si="46"/>
        <v>0</v>
      </c>
      <c r="JG39" s="536" t="s">
        <v>438</v>
      </c>
      <c r="JH39" s="536" t="s">
        <v>335</v>
      </c>
      <c r="JI39" s="536" t="s">
        <v>462</v>
      </c>
      <c r="JJ39" s="536" t="s">
        <v>633</v>
      </c>
      <c r="JK39" s="536" t="s">
        <v>433</v>
      </c>
      <c r="JL39" s="79">
        <v>0</v>
      </c>
      <c r="JM39" s="79">
        <v>285000000</v>
      </c>
      <c r="JN39" s="79">
        <v>285000000</v>
      </c>
      <c r="JO39" s="166">
        <f t="shared" si="48"/>
        <v>0</v>
      </c>
      <c r="JP39" s="166">
        <f t="shared" si="49"/>
        <v>285000</v>
      </c>
      <c r="JQ39" s="166">
        <f t="shared" si="50"/>
        <v>285000</v>
      </c>
    </row>
    <row r="40" spans="1:277" ht="15" customHeight="1" x14ac:dyDescent="0.25">
      <c r="AD40" s="89" t="s">
        <v>465</v>
      </c>
      <c r="AE40" s="89" t="s">
        <v>466</v>
      </c>
      <c r="AF40" s="89" t="s">
        <v>447</v>
      </c>
      <c r="AG40" s="89" t="s">
        <v>447</v>
      </c>
      <c r="AH40" s="90">
        <v>280000000</v>
      </c>
      <c r="AI40" s="90">
        <f t="shared" si="10"/>
        <v>297640</v>
      </c>
      <c r="AJ40" s="90">
        <v>0</v>
      </c>
      <c r="AM40" s="166"/>
      <c r="AW40" s="89" t="s">
        <v>465</v>
      </c>
      <c r="AX40" s="89" t="s">
        <v>466</v>
      </c>
      <c r="AY40" s="89" t="s">
        <v>447</v>
      </c>
      <c r="AZ40" s="89" t="s">
        <v>447</v>
      </c>
      <c r="BA40" s="90">
        <v>280000000</v>
      </c>
      <c r="BB40" s="90">
        <v>0</v>
      </c>
      <c r="BC40" s="90">
        <v>0</v>
      </c>
      <c r="BD40" s="90">
        <f t="shared" si="52"/>
        <v>297640</v>
      </c>
      <c r="BE40" s="90">
        <f t="shared" si="53"/>
        <v>0</v>
      </c>
      <c r="BF40" s="90">
        <f t="shared" si="54"/>
        <v>0</v>
      </c>
      <c r="BT40" s="86" t="s">
        <v>465</v>
      </c>
      <c r="BU40" s="86" t="s">
        <v>466</v>
      </c>
      <c r="BV40" s="86" t="s">
        <v>447</v>
      </c>
      <c r="BW40" s="86" t="s">
        <v>447</v>
      </c>
      <c r="BX40" s="296" t="s">
        <v>433</v>
      </c>
      <c r="BY40" s="87">
        <v>280000000</v>
      </c>
      <c r="BZ40" s="87">
        <v>0</v>
      </c>
      <c r="CA40" s="87">
        <v>0</v>
      </c>
      <c r="CB40" s="166">
        <f t="shared" si="12"/>
        <v>297640</v>
      </c>
      <c r="CC40" s="166">
        <f t="shared" si="13"/>
        <v>0</v>
      </c>
      <c r="CD40" s="166">
        <f t="shared" si="14"/>
        <v>0</v>
      </c>
      <c r="DI40" s="307" t="s">
        <v>544</v>
      </c>
      <c r="DJ40" s="307" t="s">
        <v>545</v>
      </c>
      <c r="DK40" s="307" t="s">
        <v>447</v>
      </c>
      <c r="DL40" s="307" t="s">
        <v>447</v>
      </c>
      <c r="DM40" s="79">
        <v>10</v>
      </c>
      <c r="DN40" s="79">
        <v>0</v>
      </c>
      <c r="DO40" s="79">
        <v>0</v>
      </c>
      <c r="DP40" s="560">
        <f t="shared" si="21"/>
        <v>1.0629999999999999E-2</v>
      </c>
      <c r="DQ40" s="560">
        <f t="shared" si="22"/>
        <v>0</v>
      </c>
      <c r="DR40" s="560">
        <f t="shared" si="23"/>
        <v>0</v>
      </c>
      <c r="EI40" s="88" t="s">
        <v>438</v>
      </c>
      <c r="EJ40" s="88" t="s">
        <v>335</v>
      </c>
      <c r="EK40" s="88" t="s">
        <v>439</v>
      </c>
      <c r="EL40" s="88" t="s">
        <v>492</v>
      </c>
      <c r="EM40" s="88" t="s">
        <v>433</v>
      </c>
      <c r="EN40" s="88">
        <v>0</v>
      </c>
      <c r="EO40" s="88">
        <v>120000000</v>
      </c>
      <c r="EP40" s="88">
        <v>120000000</v>
      </c>
      <c r="EQ40" s="557">
        <f t="shared" si="27"/>
        <v>0</v>
      </c>
      <c r="ER40" s="557">
        <f t="shared" si="28"/>
        <v>127560</v>
      </c>
      <c r="ES40" s="557">
        <f t="shared" si="29"/>
        <v>127560</v>
      </c>
      <c r="FK40" s="88" t="s">
        <v>438</v>
      </c>
      <c r="FL40" s="88" t="s">
        <v>335</v>
      </c>
      <c r="FM40" s="88" t="s">
        <v>447</v>
      </c>
      <c r="FN40" s="88" t="s">
        <v>447</v>
      </c>
      <c r="FO40" s="354" t="s">
        <v>433</v>
      </c>
      <c r="FP40" s="79">
        <v>0</v>
      </c>
      <c r="FQ40" s="79">
        <v>0</v>
      </c>
      <c r="FR40" s="79">
        <v>0</v>
      </c>
      <c r="FS40" s="535">
        <f t="shared" si="33"/>
        <v>0</v>
      </c>
      <c r="FT40" s="535">
        <f t="shared" si="34"/>
        <v>0</v>
      </c>
      <c r="FU40" s="535">
        <f t="shared" si="35"/>
        <v>0</v>
      </c>
      <c r="GI40" s="638" t="s">
        <v>438</v>
      </c>
      <c r="GJ40" s="638" t="s">
        <v>335</v>
      </c>
      <c r="GK40" s="350" t="s">
        <v>447</v>
      </c>
      <c r="GL40" s="638" t="s">
        <v>447</v>
      </c>
      <c r="GM40" s="638" t="s">
        <v>433</v>
      </c>
      <c r="GN40" s="669">
        <v>0</v>
      </c>
      <c r="GO40" s="669">
        <v>0</v>
      </c>
      <c r="GP40" s="669">
        <v>0</v>
      </c>
      <c r="GQ40" s="670">
        <f t="shared" si="36"/>
        <v>0</v>
      </c>
      <c r="GR40" s="670">
        <f t="shared" si="37"/>
        <v>0</v>
      </c>
      <c r="GS40" s="670">
        <f t="shared" si="38"/>
        <v>0</v>
      </c>
      <c r="HH40" s="725" t="s">
        <v>438</v>
      </c>
      <c r="HI40" s="725" t="s">
        <v>335</v>
      </c>
      <c r="HJ40" s="725" t="s">
        <v>462</v>
      </c>
      <c r="HK40" s="726" t="s">
        <v>633</v>
      </c>
      <c r="HL40" s="726" t="s">
        <v>433</v>
      </c>
      <c r="HM40" s="355">
        <v>0</v>
      </c>
      <c r="HN40" s="355">
        <v>285000000</v>
      </c>
      <c r="HO40" s="355">
        <v>164000000</v>
      </c>
      <c r="HP40" s="724">
        <f t="shared" si="40"/>
        <v>0</v>
      </c>
      <c r="HQ40" s="724">
        <f t="shared" si="41"/>
        <v>285000</v>
      </c>
      <c r="HR40" s="724">
        <f t="shared" si="42"/>
        <v>164000</v>
      </c>
      <c r="II40" s="350" t="s">
        <v>438</v>
      </c>
      <c r="IJ40" s="350" t="s">
        <v>335</v>
      </c>
      <c r="IK40" s="350" t="s">
        <v>499</v>
      </c>
      <c r="IL40" s="350" t="s">
        <v>632</v>
      </c>
      <c r="IM40" s="638" t="s">
        <v>433</v>
      </c>
      <c r="IN40" s="244">
        <v>0</v>
      </c>
      <c r="IO40" s="244">
        <v>1779200000</v>
      </c>
      <c r="IP40" s="244">
        <v>797600000</v>
      </c>
      <c r="IQ40" s="756">
        <f t="shared" si="44"/>
        <v>0</v>
      </c>
      <c r="IR40" s="756">
        <f t="shared" si="45"/>
        <v>1779200</v>
      </c>
      <c r="IS40" s="756">
        <f t="shared" si="46"/>
        <v>797600</v>
      </c>
      <c r="JG40" s="536" t="s">
        <v>438</v>
      </c>
      <c r="JH40" s="536" t="s">
        <v>335</v>
      </c>
      <c r="JI40" s="536" t="s">
        <v>447</v>
      </c>
      <c r="JJ40" s="536" t="s">
        <v>447</v>
      </c>
      <c r="JK40" s="536" t="s">
        <v>433</v>
      </c>
      <c r="JL40" s="79">
        <v>0</v>
      </c>
      <c r="JM40" s="79">
        <v>0</v>
      </c>
      <c r="JN40" s="79">
        <v>0</v>
      </c>
      <c r="JO40" s="166">
        <f t="shared" si="48"/>
        <v>0</v>
      </c>
      <c r="JP40" s="166">
        <f t="shared" si="49"/>
        <v>0</v>
      </c>
      <c r="JQ40" s="166">
        <f t="shared" si="50"/>
        <v>0</v>
      </c>
    </row>
    <row r="41" spans="1:277" ht="15" customHeight="1" x14ac:dyDescent="0.25">
      <c r="AD41" s="89" t="s">
        <v>465</v>
      </c>
      <c r="AE41" s="89" t="s">
        <v>466</v>
      </c>
      <c r="AF41" s="89" t="s">
        <v>447</v>
      </c>
      <c r="AG41" s="89" t="s">
        <v>447</v>
      </c>
      <c r="AH41" s="90">
        <v>0</v>
      </c>
      <c r="AI41" s="90">
        <f t="shared" si="10"/>
        <v>0</v>
      </c>
      <c r="AJ41" s="90">
        <v>44031930</v>
      </c>
      <c r="AM41" s="166"/>
      <c r="AW41" s="89" t="s">
        <v>465</v>
      </c>
      <c r="AX41" s="89" t="s">
        <v>466</v>
      </c>
      <c r="AY41" s="89" t="s">
        <v>447</v>
      </c>
      <c r="AZ41" s="89" t="s">
        <v>447</v>
      </c>
      <c r="BA41" s="90">
        <v>0</v>
      </c>
      <c r="BB41" s="90">
        <v>216626022</v>
      </c>
      <c r="BC41" s="90">
        <v>54361506</v>
      </c>
      <c r="BD41" s="90">
        <f t="shared" si="52"/>
        <v>0</v>
      </c>
      <c r="BE41" s="90">
        <f t="shared" si="53"/>
        <v>230273.46138599998</v>
      </c>
      <c r="BF41" s="90">
        <f t="shared" si="54"/>
        <v>57786.280877999998</v>
      </c>
      <c r="BT41" s="86" t="s">
        <v>465</v>
      </c>
      <c r="BU41" s="86" t="s">
        <v>466</v>
      </c>
      <c r="BV41" s="86" t="s">
        <v>447</v>
      </c>
      <c r="BW41" s="86" t="s">
        <v>447</v>
      </c>
      <c r="BX41" s="296" t="s">
        <v>433</v>
      </c>
      <c r="BY41" s="87">
        <v>0</v>
      </c>
      <c r="BZ41" s="87">
        <v>216626022</v>
      </c>
      <c r="CA41" s="87">
        <v>57777937</v>
      </c>
      <c r="CB41" s="166">
        <f t="shared" si="12"/>
        <v>0</v>
      </c>
      <c r="CC41" s="166">
        <f t="shared" si="13"/>
        <v>230273.46138599998</v>
      </c>
      <c r="CD41" s="166">
        <f t="shared" si="14"/>
        <v>61417.947030999996</v>
      </c>
      <c r="DI41" s="307" t="s">
        <v>463</v>
      </c>
      <c r="DJ41" s="307" t="s">
        <v>464</v>
      </c>
      <c r="DK41" s="307" t="s">
        <v>447</v>
      </c>
      <c r="DL41" s="307" t="s">
        <v>447</v>
      </c>
      <c r="DM41" s="79">
        <v>520000000</v>
      </c>
      <c r="DN41" s="79">
        <v>0</v>
      </c>
      <c r="DO41" s="79">
        <v>0</v>
      </c>
      <c r="DP41" s="560">
        <f t="shared" si="21"/>
        <v>552760</v>
      </c>
      <c r="DQ41" s="560">
        <f t="shared" si="22"/>
        <v>0</v>
      </c>
      <c r="DR41" s="560">
        <f t="shared" si="23"/>
        <v>0</v>
      </c>
      <c r="EI41" s="88" t="s">
        <v>544</v>
      </c>
      <c r="EJ41" s="88" t="s">
        <v>545</v>
      </c>
      <c r="EK41" s="88" t="s">
        <v>447</v>
      </c>
      <c r="EL41" s="88" t="s">
        <v>447</v>
      </c>
      <c r="EM41" s="88" t="s">
        <v>433</v>
      </c>
      <c r="EN41" s="88">
        <v>10</v>
      </c>
      <c r="EO41" s="88">
        <v>0</v>
      </c>
      <c r="EP41" s="88">
        <v>0</v>
      </c>
      <c r="EQ41" s="557">
        <f t="shared" si="27"/>
        <v>1.0629999999999999E-2</v>
      </c>
      <c r="ER41" s="557">
        <f t="shared" si="28"/>
        <v>0</v>
      </c>
      <c r="ES41" s="557">
        <f t="shared" si="29"/>
        <v>0</v>
      </c>
      <c r="FK41" s="88" t="s">
        <v>544</v>
      </c>
      <c r="FL41" s="88" t="s">
        <v>545</v>
      </c>
      <c r="FM41" s="88" t="s">
        <v>447</v>
      </c>
      <c r="FN41" s="88" t="s">
        <v>447</v>
      </c>
      <c r="FO41" s="354" t="s">
        <v>433</v>
      </c>
      <c r="FP41" s="79">
        <v>10</v>
      </c>
      <c r="FQ41" s="79">
        <v>0</v>
      </c>
      <c r="FR41" s="79">
        <v>0</v>
      </c>
      <c r="FS41" s="535">
        <f t="shared" si="33"/>
        <v>1.0629999999999999E-2</v>
      </c>
      <c r="FT41" s="535">
        <f t="shared" si="34"/>
        <v>0</v>
      </c>
      <c r="FU41" s="535">
        <f t="shared" si="35"/>
        <v>0</v>
      </c>
      <c r="GI41" s="638" t="s">
        <v>544</v>
      </c>
      <c r="GJ41" s="638" t="s">
        <v>545</v>
      </c>
      <c r="GK41" s="350" t="s">
        <v>447</v>
      </c>
      <c r="GL41" s="638" t="s">
        <v>447</v>
      </c>
      <c r="GM41" s="638" t="s">
        <v>433</v>
      </c>
      <c r="GN41" s="669">
        <v>10</v>
      </c>
      <c r="GO41" s="669">
        <v>0</v>
      </c>
      <c r="GP41" s="669">
        <v>0</v>
      </c>
      <c r="GQ41" s="670">
        <f t="shared" si="36"/>
        <v>1.0629999999999999E-2</v>
      </c>
      <c r="GR41" s="670">
        <f t="shared" si="37"/>
        <v>0</v>
      </c>
      <c r="GS41" s="670">
        <f t="shared" si="38"/>
        <v>0</v>
      </c>
      <c r="HH41" s="725" t="s">
        <v>438</v>
      </c>
      <c r="HI41" s="725" t="s">
        <v>335</v>
      </c>
      <c r="HJ41" s="725" t="s">
        <v>439</v>
      </c>
      <c r="HK41" s="726" t="s">
        <v>492</v>
      </c>
      <c r="HL41" s="726" t="s">
        <v>433</v>
      </c>
      <c r="HM41" s="355">
        <v>0</v>
      </c>
      <c r="HN41" s="355">
        <v>120000000</v>
      </c>
      <c r="HO41" s="355">
        <v>120000000</v>
      </c>
      <c r="HP41" s="724">
        <f t="shared" si="40"/>
        <v>0</v>
      </c>
      <c r="HQ41" s="724">
        <f t="shared" si="41"/>
        <v>120000</v>
      </c>
      <c r="HR41" s="724">
        <f t="shared" si="42"/>
        <v>120000</v>
      </c>
      <c r="II41" s="350" t="s">
        <v>438</v>
      </c>
      <c r="IJ41" s="350" t="s">
        <v>335</v>
      </c>
      <c r="IK41" s="350" t="s">
        <v>488</v>
      </c>
      <c r="IL41" s="350" t="s">
        <v>631</v>
      </c>
      <c r="IM41" s="638" t="s">
        <v>433</v>
      </c>
      <c r="IN41" s="244">
        <v>0</v>
      </c>
      <c r="IO41" s="244">
        <v>308990000</v>
      </c>
      <c r="IP41" s="244">
        <v>308990000</v>
      </c>
      <c r="IQ41" s="756">
        <f t="shared" si="44"/>
        <v>0</v>
      </c>
      <c r="IR41" s="756">
        <f t="shared" si="45"/>
        <v>308990</v>
      </c>
      <c r="IS41" s="756">
        <f t="shared" si="46"/>
        <v>308990</v>
      </c>
      <c r="JG41" s="536" t="s">
        <v>438</v>
      </c>
      <c r="JH41" s="536" t="s">
        <v>335</v>
      </c>
      <c r="JI41" s="536" t="s">
        <v>499</v>
      </c>
      <c r="JJ41" s="536" t="s">
        <v>632</v>
      </c>
      <c r="JK41" s="536" t="s">
        <v>433</v>
      </c>
      <c r="JL41" s="79">
        <v>0</v>
      </c>
      <c r="JM41" s="79">
        <v>2147000000</v>
      </c>
      <c r="JN41" s="79">
        <v>2147000000</v>
      </c>
      <c r="JO41" s="166">
        <f t="shared" si="48"/>
        <v>0</v>
      </c>
      <c r="JP41" s="166">
        <f t="shared" si="49"/>
        <v>2147000</v>
      </c>
      <c r="JQ41" s="166">
        <f t="shared" si="50"/>
        <v>2147000</v>
      </c>
    </row>
    <row r="42" spans="1:277" ht="15" customHeight="1" x14ac:dyDescent="0.25">
      <c r="AD42" s="89" t="s">
        <v>534</v>
      </c>
      <c r="AE42" s="89" t="s">
        <v>537</v>
      </c>
      <c r="AF42" s="89" t="s">
        <v>447</v>
      </c>
      <c r="AG42" s="89" t="s">
        <v>447</v>
      </c>
      <c r="AH42" s="90">
        <v>278933000</v>
      </c>
      <c r="AI42" s="90">
        <f t="shared" si="10"/>
        <v>296505.77899999998</v>
      </c>
      <c r="AJ42" s="90">
        <v>0</v>
      </c>
      <c r="AM42" s="166"/>
      <c r="AW42" s="89" t="s">
        <v>534</v>
      </c>
      <c r="AX42" s="89" t="s">
        <v>537</v>
      </c>
      <c r="AY42" s="89" t="s">
        <v>447</v>
      </c>
      <c r="AZ42" s="89" t="s">
        <v>447</v>
      </c>
      <c r="BA42" s="90">
        <v>278933000</v>
      </c>
      <c r="BB42" s="90">
        <v>0</v>
      </c>
      <c r="BC42" s="90">
        <v>0</v>
      </c>
      <c r="BD42" s="90">
        <f t="shared" si="52"/>
        <v>296505.77899999998</v>
      </c>
      <c r="BE42" s="90">
        <f t="shared" si="53"/>
        <v>0</v>
      </c>
      <c r="BF42" s="90">
        <f t="shared" si="54"/>
        <v>0</v>
      </c>
      <c r="BT42" s="86" t="s">
        <v>534</v>
      </c>
      <c r="BU42" s="86" t="s">
        <v>537</v>
      </c>
      <c r="BV42" s="86" t="s">
        <v>447</v>
      </c>
      <c r="BW42" s="86" t="s">
        <v>447</v>
      </c>
      <c r="BX42" s="296" t="s">
        <v>433</v>
      </c>
      <c r="BY42" s="87">
        <v>278933000</v>
      </c>
      <c r="BZ42" s="87">
        <v>0</v>
      </c>
      <c r="CA42" s="87">
        <v>0</v>
      </c>
      <c r="CB42" s="166">
        <f t="shared" si="12"/>
        <v>296505.77899999998</v>
      </c>
      <c r="CC42" s="166">
        <f t="shared" si="13"/>
        <v>0</v>
      </c>
      <c r="CD42" s="166">
        <f t="shared" si="14"/>
        <v>0</v>
      </c>
      <c r="DI42" s="307" t="s">
        <v>463</v>
      </c>
      <c r="DJ42" s="307" t="s">
        <v>464</v>
      </c>
      <c r="DK42" s="307" t="s">
        <v>447</v>
      </c>
      <c r="DL42" s="307" t="s">
        <v>447</v>
      </c>
      <c r="DM42" s="79">
        <v>0</v>
      </c>
      <c r="DN42" s="79">
        <v>14000000</v>
      </c>
      <c r="DO42" s="79">
        <v>14000000</v>
      </c>
      <c r="DP42" s="560">
        <f t="shared" si="21"/>
        <v>0</v>
      </c>
      <c r="DQ42" s="560">
        <f t="shared" si="22"/>
        <v>14882</v>
      </c>
      <c r="DR42" s="560">
        <f t="shared" si="23"/>
        <v>14882</v>
      </c>
      <c r="EI42" s="88" t="s">
        <v>463</v>
      </c>
      <c r="EJ42" s="88" t="s">
        <v>464</v>
      </c>
      <c r="EK42" s="88" t="s">
        <v>447</v>
      </c>
      <c r="EL42" s="88" t="s">
        <v>447</v>
      </c>
      <c r="EM42" s="88" t="s">
        <v>433</v>
      </c>
      <c r="EN42" s="88">
        <v>520000000</v>
      </c>
      <c r="EO42" s="88">
        <v>0</v>
      </c>
      <c r="EP42" s="88">
        <v>0</v>
      </c>
      <c r="EQ42" s="557">
        <f t="shared" si="27"/>
        <v>552760</v>
      </c>
      <c r="ER42" s="557">
        <f t="shared" si="28"/>
        <v>0</v>
      </c>
      <c r="ES42" s="557">
        <f t="shared" si="29"/>
        <v>0</v>
      </c>
      <c r="FK42" s="88" t="s">
        <v>463</v>
      </c>
      <c r="FL42" s="88" t="s">
        <v>464</v>
      </c>
      <c r="FM42" s="88" t="s">
        <v>447</v>
      </c>
      <c r="FN42" s="88" t="s">
        <v>447</v>
      </c>
      <c r="FO42" s="354" t="s">
        <v>433</v>
      </c>
      <c r="FP42" s="79">
        <v>520000000</v>
      </c>
      <c r="FQ42" s="79">
        <v>0</v>
      </c>
      <c r="FR42" s="79">
        <v>0</v>
      </c>
      <c r="FS42" s="535">
        <f t="shared" si="33"/>
        <v>552760</v>
      </c>
      <c r="FT42" s="535">
        <f t="shared" si="34"/>
        <v>0</v>
      </c>
      <c r="FU42" s="535">
        <f t="shared" si="35"/>
        <v>0</v>
      </c>
      <c r="GI42" s="638" t="s">
        <v>463</v>
      </c>
      <c r="GJ42" s="638" t="s">
        <v>464</v>
      </c>
      <c r="GK42" s="350" t="s">
        <v>447</v>
      </c>
      <c r="GL42" s="638" t="s">
        <v>447</v>
      </c>
      <c r="GM42" s="638" t="s">
        <v>433</v>
      </c>
      <c r="GN42" s="669">
        <v>520000000</v>
      </c>
      <c r="GO42" s="669">
        <v>0</v>
      </c>
      <c r="GP42" s="669">
        <v>0</v>
      </c>
      <c r="GQ42" s="670">
        <f t="shared" si="36"/>
        <v>552760</v>
      </c>
      <c r="GR42" s="670">
        <f t="shared" si="37"/>
        <v>0</v>
      </c>
      <c r="GS42" s="670">
        <f t="shared" si="38"/>
        <v>0</v>
      </c>
      <c r="HH42" s="725" t="s">
        <v>438</v>
      </c>
      <c r="HI42" s="725" t="s">
        <v>335</v>
      </c>
      <c r="HJ42" s="725" t="s">
        <v>500</v>
      </c>
      <c r="HK42" s="726" t="s">
        <v>489</v>
      </c>
      <c r="HL42" s="726" t="s">
        <v>433</v>
      </c>
      <c r="HM42" s="355">
        <v>0</v>
      </c>
      <c r="HN42" s="355">
        <v>0</v>
      </c>
      <c r="HO42" s="355">
        <v>0</v>
      </c>
      <c r="HP42" s="724">
        <f t="shared" si="40"/>
        <v>0</v>
      </c>
      <c r="HQ42" s="724">
        <f t="shared" si="41"/>
        <v>0</v>
      </c>
      <c r="HR42" s="724">
        <f t="shared" si="42"/>
        <v>0</v>
      </c>
      <c r="II42" s="350" t="s">
        <v>438</v>
      </c>
      <c r="IJ42" s="350" t="s">
        <v>335</v>
      </c>
      <c r="IK42" s="350" t="s">
        <v>439</v>
      </c>
      <c r="IL42" s="350" t="s">
        <v>492</v>
      </c>
      <c r="IM42" s="638" t="s">
        <v>433</v>
      </c>
      <c r="IN42" s="244">
        <v>0</v>
      </c>
      <c r="IO42" s="244">
        <v>120000000</v>
      </c>
      <c r="IP42" s="244">
        <v>120000000</v>
      </c>
      <c r="IQ42" s="756">
        <f t="shared" si="44"/>
        <v>0</v>
      </c>
      <c r="IR42" s="756">
        <f t="shared" si="45"/>
        <v>120000</v>
      </c>
      <c r="IS42" s="756">
        <f t="shared" si="46"/>
        <v>120000</v>
      </c>
      <c r="JG42" s="536" t="s">
        <v>438</v>
      </c>
      <c r="JH42" s="536" t="s">
        <v>335</v>
      </c>
      <c r="JI42" s="536" t="s">
        <v>500</v>
      </c>
      <c r="JJ42" s="536" t="s">
        <v>489</v>
      </c>
      <c r="JK42" s="536" t="s">
        <v>433</v>
      </c>
      <c r="JL42" s="79">
        <v>0</v>
      </c>
      <c r="JM42" s="79">
        <v>0</v>
      </c>
      <c r="JN42" s="79">
        <v>0</v>
      </c>
      <c r="JO42" s="166">
        <f t="shared" si="48"/>
        <v>0</v>
      </c>
      <c r="JP42" s="166">
        <f t="shared" si="49"/>
        <v>0</v>
      </c>
      <c r="JQ42" s="166">
        <f t="shared" si="50"/>
        <v>0</v>
      </c>
    </row>
    <row r="43" spans="1:277" ht="15" customHeight="1" x14ac:dyDescent="0.25">
      <c r="AD43" s="89" t="s">
        <v>534</v>
      </c>
      <c r="AE43" s="89" t="s">
        <v>537</v>
      </c>
      <c r="AF43" s="89" t="s">
        <v>447</v>
      </c>
      <c r="AG43" s="89" t="s">
        <v>447</v>
      </c>
      <c r="AH43" s="90">
        <v>0</v>
      </c>
      <c r="AI43" s="90">
        <f t="shared" si="10"/>
        <v>0</v>
      </c>
      <c r="AJ43" s="90">
        <v>0</v>
      </c>
      <c r="AM43" s="166"/>
      <c r="AW43" s="89" t="s">
        <v>534</v>
      </c>
      <c r="AX43" s="89" t="s">
        <v>537</v>
      </c>
      <c r="AY43" s="89" t="s">
        <v>447</v>
      </c>
      <c r="AZ43" s="89" t="s">
        <v>447</v>
      </c>
      <c r="BA43" s="90">
        <v>0</v>
      </c>
      <c r="BB43" s="90">
        <v>98000000</v>
      </c>
      <c r="BC43" s="90">
        <v>0</v>
      </c>
      <c r="BD43" s="90">
        <f t="shared" si="52"/>
        <v>0</v>
      </c>
      <c r="BE43" s="90">
        <f t="shared" si="53"/>
        <v>104174</v>
      </c>
      <c r="BF43" s="90">
        <f t="shared" si="54"/>
        <v>0</v>
      </c>
      <c r="BT43" s="86" t="s">
        <v>534</v>
      </c>
      <c r="BU43" s="86" t="s">
        <v>537</v>
      </c>
      <c r="BV43" s="86" t="s">
        <v>447</v>
      </c>
      <c r="BW43" s="86" t="s">
        <v>447</v>
      </c>
      <c r="BX43" s="296" t="s">
        <v>433</v>
      </c>
      <c r="BY43" s="87">
        <v>0</v>
      </c>
      <c r="BZ43" s="87">
        <v>98000000</v>
      </c>
      <c r="CA43" s="87">
        <v>0</v>
      </c>
      <c r="CB43" s="166">
        <f t="shared" si="12"/>
        <v>0</v>
      </c>
      <c r="CC43" s="166">
        <f t="shared" si="13"/>
        <v>104174</v>
      </c>
      <c r="CD43" s="166">
        <f t="shared" si="14"/>
        <v>0</v>
      </c>
      <c r="DI43" s="307" t="s">
        <v>465</v>
      </c>
      <c r="DJ43" s="307" t="s">
        <v>466</v>
      </c>
      <c r="DK43" s="307" t="s">
        <v>447</v>
      </c>
      <c r="DL43" s="307" t="s">
        <v>447</v>
      </c>
      <c r="DM43" s="79">
        <v>280000000</v>
      </c>
      <c r="DN43" s="79">
        <v>0</v>
      </c>
      <c r="DO43" s="79">
        <v>0</v>
      </c>
      <c r="DP43" s="560">
        <f t="shared" si="21"/>
        <v>297640</v>
      </c>
      <c r="DQ43" s="560">
        <f t="shared" si="22"/>
        <v>0</v>
      </c>
      <c r="DR43" s="560">
        <f t="shared" si="23"/>
        <v>0</v>
      </c>
      <c r="EI43" s="88" t="s">
        <v>463</v>
      </c>
      <c r="EJ43" s="88" t="s">
        <v>464</v>
      </c>
      <c r="EK43" s="88" t="s">
        <v>447</v>
      </c>
      <c r="EL43" s="88" t="s">
        <v>447</v>
      </c>
      <c r="EM43" s="88" t="s">
        <v>433</v>
      </c>
      <c r="EN43" s="88">
        <v>0</v>
      </c>
      <c r="EO43" s="88">
        <v>14000000</v>
      </c>
      <c r="EP43" s="88">
        <v>14000000</v>
      </c>
      <c r="EQ43" s="557">
        <f t="shared" si="27"/>
        <v>0</v>
      </c>
      <c r="ER43" s="557">
        <f t="shared" si="28"/>
        <v>14882</v>
      </c>
      <c r="ES43" s="557">
        <f t="shared" si="29"/>
        <v>14882</v>
      </c>
      <c r="FK43" s="88" t="s">
        <v>463</v>
      </c>
      <c r="FL43" s="88" t="s">
        <v>464</v>
      </c>
      <c r="FM43" s="88" t="s">
        <v>447</v>
      </c>
      <c r="FN43" s="88" t="s">
        <v>447</v>
      </c>
      <c r="FO43" s="354" t="s">
        <v>433</v>
      </c>
      <c r="FP43" s="79">
        <v>0</v>
      </c>
      <c r="FQ43" s="79">
        <v>153961816</v>
      </c>
      <c r="FR43" s="79">
        <v>48000000</v>
      </c>
      <c r="FS43" s="535">
        <f t="shared" si="33"/>
        <v>0</v>
      </c>
      <c r="FT43" s="535">
        <f t="shared" si="34"/>
        <v>163661.410408</v>
      </c>
      <c r="FU43" s="535">
        <f t="shared" si="35"/>
        <v>51024</v>
      </c>
      <c r="GI43" s="638" t="s">
        <v>463</v>
      </c>
      <c r="GJ43" s="638" t="s">
        <v>464</v>
      </c>
      <c r="GK43" s="350" t="s">
        <v>447</v>
      </c>
      <c r="GL43" s="638" t="s">
        <v>447</v>
      </c>
      <c r="GM43" s="638" t="s">
        <v>433</v>
      </c>
      <c r="GN43" s="669">
        <v>0</v>
      </c>
      <c r="GO43" s="669">
        <v>175124816</v>
      </c>
      <c r="GP43" s="669">
        <v>129961816</v>
      </c>
      <c r="GQ43" s="670">
        <f t="shared" si="36"/>
        <v>0</v>
      </c>
      <c r="GR43" s="670">
        <f t="shared" si="37"/>
        <v>186157.67940799997</v>
      </c>
      <c r="GS43" s="670">
        <f t="shared" si="38"/>
        <v>138149.410408</v>
      </c>
      <c r="HH43" s="725" t="s">
        <v>544</v>
      </c>
      <c r="HI43" s="725" t="s">
        <v>545</v>
      </c>
      <c r="HJ43" s="725" t="s">
        <v>447</v>
      </c>
      <c r="HK43" s="726" t="s">
        <v>447</v>
      </c>
      <c r="HL43" s="726" t="s">
        <v>433</v>
      </c>
      <c r="HM43" s="355">
        <v>10</v>
      </c>
      <c r="HN43" s="355">
        <v>0</v>
      </c>
      <c r="HO43" s="355">
        <v>0</v>
      </c>
      <c r="HP43" s="724">
        <f t="shared" si="40"/>
        <v>0.01</v>
      </c>
      <c r="HQ43" s="724">
        <f t="shared" si="41"/>
        <v>0</v>
      </c>
      <c r="HR43" s="724">
        <f t="shared" si="42"/>
        <v>0</v>
      </c>
      <c r="II43" s="350" t="s">
        <v>438</v>
      </c>
      <c r="IJ43" s="350" t="s">
        <v>335</v>
      </c>
      <c r="IK43" s="350" t="s">
        <v>629</v>
      </c>
      <c r="IL43" s="350" t="s">
        <v>630</v>
      </c>
      <c r="IM43" s="638" t="s">
        <v>433</v>
      </c>
      <c r="IN43" s="244">
        <v>0</v>
      </c>
      <c r="IO43" s="244">
        <v>124610000</v>
      </c>
      <c r="IP43" s="244">
        <v>115250000</v>
      </c>
      <c r="IQ43" s="756">
        <f t="shared" si="44"/>
        <v>0</v>
      </c>
      <c r="IR43" s="756">
        <f t="shared" si="45"/>
        <v>124610</v>
      </c>
      <c r="IS43" s="756">
        <f t="shared" si="46"/>
        <v>115250</v>
      </c>
      <c r="JG43" s="536" t="s">
        <v>438</v>
      </c>
      <c r="JH43" s="536" t="s">
        <v>335</v>
      </c>
      <c r="JI43" s="536" t="s">
        <v>488</v>
      </c>
      <c r="JJ43" s="536" t="s">
        <v>631</v>
      </c>
      <c r="JK43" s="536" t="s">
        <v>433</v>
      </c>
      <c r="JL43" s="79">
        <v>0</v>
      </c>
      <c r="JM43" s="79">
        <v>308990000</v>
      </c>
      <c r="JN43" s="79">
        <v>308990000</v>
      </c>
      <c r="JO43" s="166">
        <f t="shared" si="48"/>
        <v>0</v>
      </c>
      <c r="JP43" s="166">
        <f t="shared" si="49"/>
        <v>308990</v>
      </c>
      <c r="JQ43" s="166">
        <f t="shared" si="50"/>
        <v>308990</v>
      </c>
    </row>
    <row r="44" spans="1:277" ht="15" customHeight="1" x14ac:dyDescent="0.25">
      <c r="AD44" s="89" t="s">
        <v>672</v>
      </c>
      <c r="AE44" s="89" t="s">
        <v>673</v>
      </c>
      <c r="AF44" s="89" t="s">
        <v>447</v>
      </c>
      <c r="AG44" s="89" t="s">
        <v>447</v>
      </c>
      <c r="AH44" s="90">
        <v>35000000</v>
      </c>
      <c r="AI44" s="90">
        <f t="shared" si="10"/>
        <v>37205</v>
      </c>
      <c r="AJ44" s="90">
        <v>0</v>
      </c>
      <c r="AM44" s="166"/>
      <c r="AW44" s="89" t="s">
        <v>672</v>
      </c>
      <c r="AX44" s="89" t="s">
        <v>673</v>
      </c>
      <c r="AY44" s="89" t="s">
        <v>447</v>
      </c>
      <c r="AZ44" s="89" t="s">
        <v>447</v>
      </c>
      <c r="BA44" s="90">
        <v>35000000</v>
      </c>
      <c r="BB44" s="90">
        <v>0</v>
      </c>
      <c r="BC44" s="90">
        <v>0</v>
      </c>
      <c r="BD44" s="90">
        <f t="shared" si="52"/>
        <v>37205</v>
      </c>
      <c r="BE44" s="90">
        <f t="shared" si="53"/>
        <v>0</v>
      </c>
      <c r="BF44" s="90">
        <f t="shared" si="54"/>
        <v>0</v>
      </c>
      <c r="BT44" s="86" t="s">
        <v>672</v>
      </c>
      <c r="BU44" s="86" t="s">
        <v>673</v>
      </c>
      <c r="BV44" s="86" t="s">
        <v>447</v>
      </c>
      <c r="BW44" s="86" t="s">
        <v>447</v>
      </c>
      <c r="BX44" s="296" t="s">
        <v>433</v>
      </c>
      <c r="BY44" s="87">
        <v>35000000</v>
      </c>
      <c r="BZ44" s="87">
        <v>0</v>
      </c>
      <c r="CA44" s="87">
        <v>0</v>
      </c>
      <c r="CB44" s="166">
        <f t="shared" si="12"/>
        <v>37205</v>
      </c>
      <c r="CC44" s="166">
        <f t="shared" si="13"/>
        <v>0</v>
      </c>
      <c r="CD44" s="166">
        <f t="shared" si="14"/>
        <v>0</v>
      </c>
      <c r="DI44" s="307" t="s">
        <v>465</v>
      </c>
      <c r="DJ44" s="307" t="s">
        <v>466</v>
      </c>
      <c r="DK44" s="307" t="s">
        <v>447</v>
      </c>
      <c r="DL44" s="307" t="s">
        <v>447</v>
      </c>
      <c r="DM44" s="79">
        <v>0</v>
      </c>
      <c r="DN44" s="79">
        <v>220042453</v>
      </c>
      <c r="DO44" s="79">
        <v>72689305</v>
      </c>
      <c r="DP44" s="560">
        <f t="shared" si="21"/>
        <v>0</v>
      </c>
      <c r="DQ44" s="560">
        <f t="shared" si="22"/>
        <v>233905.12753900001</v>
      </c>
      <c r="DR44" s="560">
        <f t="shared" si="23"/>
        <v>77268.731214999993</v>
      </c>
      <c r="EI44" s="88" t="s">
        <v>465</v>
      </c>
      <c r="EJ44" s="88" t="s">
        <v>466</v>
      </c>
      <c r="EK44" s="88" t="s">
        <v>447</v>
      </c>
      <c r="EL44" s="88" t="s">
        <v>447</v>
      </c>
      <c r="EM44" s="88" t="s">
        <v>433</v>
      </c>
      <c r="EN44" s="88">
        <v>280000000</v>
      </c>
      <c r="EO44" s="88">
        <v>0</v>
      </c>
      <c r="EP44" s="88">
        <v>0</v>
      </c>
      <c r="EQ44" s="557">
        <f t="shared" si="27"/>
        <v>297640</v>
      </c>
      <c r="ER44" s="557">
        <f t="shared" si="28"/>
        <v>0</v>
      </c>
      <c r="ES44" s="557">
        <f t="shared" si="29"/>
        <v>0</v>
      </c>
      <c r="FK44" s="88" t="s">
        <v>465</v>
      </c>
      <c r="FL44" s="88" t="s">
        <v>466</v>
      </c>
      <c r="FM44" s="88" t="s">
        <v>447</v>
      </c>
      <c r="FN44" s="88" t="s">
        <v>447</v>
      </c>
      <c r="FO44" s="354" t="s">
        <v>433</v>
      </c>
      <c r="FP44" s="79">
        <v>280000000</v>
      </c>
      <c r="FQ44" s="79">
        <v>0</v>
      </c>
      <c r="FR44" s="79">
        <v>0</v>
      </c>
      <c r="FS44" s="535">
        <f t="shared" si="33"/>
        <v>297640</v>
      </c>
      <c r="FT44" s="535">
        <f t="shared" si="34"/>
        <v>0</v>
      </c>
      <c r="FU44" s="535">
        <f t="shared" si="35"/>
        <v>0</v>
      </c>
      <c r="GI44" s="638" t="s">
        <v>465</v>
      </c>
      <c r="GJ44" s="638" t="s">
        <v>466</v>
      </c>
      <c r="GK44" s="350" t="s">
        <v>447</v>
      </c>
      <c r="GL44" s="638" t="s">
        <v>447</v>
      </c>
      <c r="GM44" s="638" t="s">
        <v>433</v>
      </c>
      <c r="GN44" s="669">
        <v>280000000</v>
      </c>
      <c r="GO44" s="669">
        <v>0</v>
      </c>
      <c r="GP44" s="669">
        <v>0</v>
      </c>
      <c r="GQ44" s="670">
        <f t="shared" si="36"/>
        <v>297640</v>
      </c>
      <c r="GR44" s="670">
        <f t="shared" si="37"/>
        <v>0</v>
      </c>
      <c r="GS44" s="670">
        <f t="shared" si="38"/>
        <v>0</v>
      </c>
      <c r="HH44" s="725" t="s">
        <v>463</v>
      </c>
      <c r="HI44" s="725" t="s">
        <v>464</v>
      </c>
      <c r="HJ44" s="725" t="s">
        <v>447</v>
      </c>
      <c r="HK44" s="726" t="s">
        <v>447</v>
      </c>
      <c r="HL44" s="726" t="s">
        <v>433</v>
      </c>
      <c r="HM44" s="355">
        <v>520000000</v>
      </c>
      <c r="HN44" s="355">
        <v>0</v>
      </c>
      <c r="HO44" s="355">
        <v>0</v>
      </c>
      <c r="HP44" s="724">
        <f t="shared" si="40"/>
        <v>520000</v>
      </c>
      <c r="HQ44" s="724">
        <f t="shared" si="41"/>
        <v>0</v>
      </c>
      <c r="HR44" s="724">
        <f t="shared" si="42"/>
        <v>0</v>
      </c>
      <c r="II44" s="350" t="s">
        <v>438</v>
      </c>
      <c r="IJ44" s="350" t="s">
        <v>335</v>
      </c>
      <c r="IK44" s="350" t="s">
        <v>447</v>
      </c>
      <c r="IL44" s="350" t="s">
        <v>447</v>
      </c>
      <c r="IM44" s="638" t="s">
        <v>433</v>
      </c>
      <c r="IN44" s="244">
        <v>0</v>
      </c>
      <c r="IO44" s="244">
        <v>0</v>
      </c>
      <c r="IP44" s="244">
        <v>0</v>
      </c>
      <c r="IQ44" s="756">
        <f t="shared" si="44"/>
        <v>0</v>
      </c>
      <c r="IR44" s="756">
        <f t="shared" si="45"/>
        <v>0</v>
      </c>
      <c r="IS44" s="756">
        <f t="shared" si="46"/>
        <v>0</v>
      </c>
      <c r="JG44" s="536" t="s">
        <v>438</v>
      </c>
      <c r="JH44" s="536" t="s">
        <v>335</v>
      </c>
      <c r="JI44" s="536" t="s">
        <v>447</v>
      </c>
      <c r="JJ44" s="536" t="s">
        <v>447</v>
      </c>
      <c r="JK44" s="536" t="s">
        <v>433</v>
      </c>
      <c r="JL44" s="79">
        <v>0</v>
      </c>
      <c r="JM44" s="79">
        <v>0</v>
      </c>
      <c r="JN44" s="79">
        <v>0</v>
      </c>
      <c r="JO44" s="166">
        <f t="shared" si="48"/>
        <v>0</v>
      </c>
      <c r="JP44" s="166">
        <f t="shared" si="49"/>
        <v>0</v>
      </c>
      <c r="JQ44" s="166">
        <f t="shared" si="50"/>
        <v>0</v>
      </c>
    </row>
    <row r="45" spans="1:277" ht="15" customHeight="1" x14ac:dyDescent="0.25">
      <c r="AD45" s="89" t="s">
        <v>672</v>
      </c>
      <c r="AE45" s="89" t="s">
        <v>673</v>
      </c>
      <c r="AF45" s="89" t="s">
        <v>447</v>
      </c>
      <c r="AG45" s="89" t="s">
        <v>447</v>
      </c>
      <c r="AH45" s="90">
        <v>0</v>
      </c>
      <c r="AI45" s="90">
        <f t="shared" si="10"/>
        <v>0</v>
      </c>
      <c r="AJ45" s="90">
        <v>1716000</v>
      </c>
      <c r="AM45" s="166"/>
      <c r="AW45" s="89" t="s">
        <v>672</v>
      </c>
      <c r="AX45" s="89" t="s">
        <v>673</v>
      </c>
      <c r="AY45" s="89" t="s">
        <v>447</v>
      </c>
      <c r="AZ45" s="89" t="s">
        <v>447</v>
      </c>
      <c r="BA45" s="90">
        <v>0</v>
      </c>
      <c r="BB45" s="90">
        <v>12012000</v>
      </c>
      <c r="BC45" s="90">
        <v>1716000</v>
      </c>
      <c r="BD45" s="90">
        <f t="shared" si="52"/>
        <v>0</v>
      </c>
      <c r="BE45" s="90">
        <f t="shared" si="53"/>
        <v>12768.755999999999</v>
      </c>
      <c r="BF45" s="90">
        <f t="shared" si="54"/>
        <v>1824.1079999999999</v>
      </c>
      <c r="BT45" s="86" t="s">
        <v>672</v>
      </c>
      <c r="BU45" s="86" t="s">
        <v>673</v>
      </c>
      <c r="BV45" s="86" t="s">
        <v>447</v>
      </c>
      <c r="BW45" s="86" t="s">
        <v>447</v>
      </c>
      <c r="BX45" s="296" t="s">
        <v>433</v>
      </c>
      <c r="BY45" s="87">
        <v>0</v>
      </c>
      <c r="BZ45" s="87">
        <v>12012000</v>
      </c>
      <c r="CA45" s="87">
        <v>5148000</v>
      </c>
      <c r="CB45" s="166">
        <f t="shared" si="12"/>
        <v>0</v>
      </c>
      <c r="CC45" s="166">
        <f t="shared" si="13"/>
        <v>12768.755999999999</v>
      </c>
      <c r="CD45" s="166">
        <f t="shared" si="14"/>
        <v>5472.3239999999996</v>
      </c>
      <c r="DI45" s="307" t="s">
        <v>534</v>
      </c>
      <c r="DJ45" s="307" t="s">
        <v>537</v>
      </c>
      <c r="DK45" s="307" t="s">
        <v>447</v>
      </c>
      <c r="DL45" s="307" t="s">
        <v>447</v>
      </c>
      <c r="DM45" s="79">
        <v>278933000</v>
      </c>
      <c r="DN45" s="79">
        <v>0</v>
      </c>
      <c r="DO45" s="79">
        <v>0</v>
      </c>
      <c r="DP45" s="560">
        <f t="shared" si="21"/>
        <v>296505.77899999998</v>
      </c>
      <c r="DQ45" s="560">
        <f t="shared" si="22"/>
        <v>0</v>
      </c>
      <c r="DR45" s="560">
        <f t="shared" si="23"/>
        <v>0</v>
      </c>
      <c r="EI45" s="88" t="s">
        <v>465</v>
      </c>
      <c r="EJ45" s="88" t="s">
        <v>466</v>
      </c>
      <c r="EK45" s="88" t="s">
        <v>447</v>
      </c>
      <c r="EL45" s="88" t="s">
        <v>447</v>
      </c>
      <c r="EM45" s="88" t="s">
        <v>433</v>
      </c>
      <c r="EN45" s="88">
        <v>0</v>
      </c>
      <c r="EO45" s="88">
        <v>220042453</v>
      </c>
      <c r="EP45" s="88">
        <v>95816250</v>
      </c>
      <c r="EQ45" s="557">
        <f t="shared" si="27"/>
        <v>0</v>
      </c>
      <c r="ER45" s="557">
        <f t="shared" si="28"/>
        <v>233905.12753900001</v>
      </c>
      <c r="ES45" s="557">
        <f t="shared" si="29"/>
        <v>101852.67375</v>
      </c>
      <c r="FK45" s="88" t="s">
        <v>465</v>
      </c>
      <c r="FL45" s="88" t="s">
        <v>466</v>
      </c>
      <c r="FM45" s="88" t="s">
        <v>447</v>
      </c>
      <c r="FN45" s="88" t="s">
        <v>447</v>
      </c>
      <c r="FO45" s="354" t="s">
        <v>433</v>
      </c>
      <c r="FP45" s="79">
        <v>0</v>
      </c>
      <c r="FQ45" s="79">
        <v>220042453</v>
      </c>
      <c r="FR45" s="79">
        <v>132292151</v>
      </c>
      <c r="FS45" s="535">
        <f t="shared" si="33"/>
        <v>0</v>
      </c>
      <c r="FT45" s="535">
        <f t="shared" si="34"/>
        <v>233905.12753900001</v>
      </c>
      <c r="FU45" s="535">
        <f t="shared" si="35"/>
        <v>140626.55651300002</v>
      </c>
      <c r="GI45" s="638" t="s">
        <v>465</v>
      </c>
      <c r="GJ45" s="638" t="s">
        <v>466</v>
      </c>
      <c r="GK45" s="350" t="s">
        <v>447</v>
      </c>
      <c r="GL45" s="638" t="s">
        <v>447</v>
      </c>
      <c r="GM45" s="638" t="s">
        <v>433</v>
      </c>
      <c r="GN45" s="669">
        <v>0</v>
      </c>
      <c r="GO45" s="669">
        <v>220339953</v>
      </c>
      <c r="GP45" s="669">
        <v>138815579</v>
      </c>
      <c r="GQ45" s="670">
        <f t="shared" si="36"/>
        <v>0</v>
      </c>
      <c r="GR45" s="670">
        <f t="shared" si="37"/>
        <v>234221.370039</v>
      </c>
      <c r="GS45" s="670">
        <f t="shared" si="38"/>
        <v>147560.96047699999</v>
      </c>
      <c r="HH45" s="725" t="s">
        <v>463</v>
      </c>
      <c r="HI45" s="725" t="s">
        <v>464</v>
      </c>
      <c r="HJ45" s="725" t="s">
        <v>447</v>
      </c>
      <c r="HK45" s="726" t="s">
        <v>447</v>
      </c>
      <c r="HL45" s="726" t="s">
        <v>433</v>
      </c>
      <c r="HM45" s="355">
        <v>0</v>
      </c>
      <c r="HN45" s="355">
        <v>465500000</v>
      </c>
      <c r="HO45" s="355">
        <v>148738521</v>
      </c>
      <c r="HP45" s="724">
        <f t="shared" si="40"/>
        <v>0</v>
      </c>
      <c r="HQ45" s="724">
        <f t="shared" si="41"/>
        <v>465500</v>
      </c>
      <c r="HR45" s="724">
        <f t="shared" si="42"/>
        <v>148738.52100000001</v>
      </c>
      <c r="II45" s="350" t="s">
        <v>544</v>
      </c>
      <c r="IJ45" s="350" t="s">
        <v>545</v>
      </c>
      <c r="IK45" s="350" t="s">
        <v>447</v>
      </c>
      <c r="IL45" s="350" t="s">
        <v>447</v>
      </c>
      <c r="IM45" s="638" t="s">
        <v>433</v>
      </c>
      <c r="IN45" s="244">
        <v>10</v>
      </c>
      <c r="IO45" s="244">
        <v>0</v>
      </c>
      <c r="IP45" s="244">
        <v>0</v>
      </c>
      <c r="IQ45" s="756">
        <f t="shared" si="44"/>
        <v>0.01</v>
      </c>
      <c r="IR45" s="756">
        <f t="shared" si="45"/>
        <v>0</v>
      </c>
      <c r="IS45" s="756">
        <f t="shared" si="46"/>
        <v>0</v>
      </c>
      <c r="JG45" s="536" t="s">
        <v>438</v>
      </c>
      <c r="JH45" s="536" t="s">
        <v>335</v>
      </c>
      <c r="JI45" s="536" t="s">
        <v>439</v>
      </c>
      <c r="JJ45" s="536" t="s">
        <v>492</v>
      </c>
      <c r="JK45" s="536" t="s">
        <v>433</v>
      </c>
      <c r="JL45" s="79">
        <v>0</v>
      </c>
      <c r="JM45" s="79">
        <v>120000000</v>
      </c>
      <c r="JN45" s="79">
        <v>120000000</v>
      </c>
      <c r="JO45" s="166">
        <f t="shared" si="48"/>
        <v>0</v>
      </c>
      <c r="JP45" s="166">
        <f t="shared" si="49"/>
        <v>120000</v>
      </c>
      <c r="JQ45" s="166">
        <f t="shared" si="50"/>
        <v>120000</v>
      </c>
    </row>
    <row r="46" spans="1:277" ht="15" customHeight="1" x14ac:dyDescent="0.25">
      <c r="AD46" s="89" t="s">
        <v>674</v>
      </c>
      <c r="AE46" s="89" t="s">
        <v>675</v>
      </c>
      <c r="AF46" s="89" t="s">
        <v>447</v>
      </c>
      <c r="AG46" s="89" t="s">
        <v>447</v>
      </c>
      <c r="AH46" s="90">
        <v>50000000</v>
      </c>
      <c r="AI46" s="90">
        <f t="shared" si="10"/>
        <v>53150</v>
      </c>
      <c r="AJ46" s="90">
        <v>0</v>
      </c>
      <c r="AM46" s="166"/>
      <c r="AW46" s="89" t="s">
        <v>674</v>
      </c>
      <c r="AX46" s="89" t="s">
        <v>675</v>
      </c>
      <c r="AY46" s="89" t="s">
        <v>447</v>
      </c>
      <c r="AZ46" s="89" t="s">
        <v>447</v>
      </c>
      <c r="BA46" s="90">
        <v>50000000</v>
      </c>
      <c r="BB46" s="90">
        <v>0</v>
      </c>
      <c r="BC46" s="90">
        <v>0</v>
      </c>
      <c r="BD46" s="90">
        <f t="shared" si="52"/>
        <v>53150</v>
      </c>
      <c r="BE46" s="90">
        <f t="shared" si="53"/>
        <v>0</v>
      </c>
      <c r="BF46" s="90">
        <f t="shared" si="54"/>
        <v>0</v>
      </c>
      <c r="BT46" s="86" t="s">
        <v>674</v>
      </c>
      <c r="BU46" s="86" t="s">
        <v>675</v>
      </c>
      <c r="BV46" s="86" t="s">
        <v>447</v>
      </c>
      <c r="BW46" s="86" t="s">
        <v>447</v>
      </c>
      <c r="BX46" s="296" t="s">
        <v>433</v>
      </c>
      <c r="BY46" s="87">
        <v>50000000</v>
      </c>
      <c r="BZ46" s="87">
        <v>0</v>
      </c>
      <c r="CA46" s="87">
        <v>0</v>
      </c>
      <c r="CB46" s="166">
        <f t="shared" si="12"/>
        <v>53150</v>
      </c>
      <c r="CC46" s="166">
        <f t="shared" si="13"/>
        <v>0</v>
      </c>
      <c r="CD46" s="166">
        <f t="shared" si="14"/>
        <v>0</v>
      </c>
      <c r="DI46" s="307" t="s">
        <v>534</v>
      </c>
      <c r="DJ46" s="307" t="s">
        <v>537</v>
      </c>
      <c r="DK46" s="307" t="s">
        <v>447</v>
      </c>
      <c r="DL46" s="307" t="s">
        <v>447</v>
      </c>
      <c r="DM46" s="79">
        <v>0</v>
      </c>
      <c r="DN46" s="79">
        <v>98000000</v>
      </c>
      <c r="DO46" s="79">
        <v>0</v>
      </c>
      <c r="DP46" s="560">
        <f t="shared" si="21"/>
        <v>0</v>
      </c>
      <c r="DQ46" s="560">
        <f t="shared" si="22"/>
        <v>104174</v>
      </c>
      <c r="DR46" s="560">
        <f t="shared" si="23"/>
        <v>0</v>
      </c>
      <c r="EI46" s="88" t="s">
        <v>534</v>
      </c>
      <c r="EJ46" s="88" t="s">
        <v>537</v>
      </c>
      <c r="EK46" s="88" t="s">
        <v>447</v>
      </c>
      <c r="EL46" s="88" t="s">
        <v>447</v>
      </c>
      <c r="EM46" s="88" t="s">
        <v>433</v>
      </c>
      <c r="EN46" s="88">
        <v>278933000</v>
      </c>
      <c r="EO46" s="88">
        <v>0</v>
      </c>
      <c r="EP46" s="88">
        <v>0</v>
      </c>
      <c r="EQ46" s="557">
        <f t="shared" si="27"/>
        <v>296505.77899999998</v>
      </c>
      <c r="ER46" s="557">
        <f t="shared" si="28"/>
        <v>0</v>
      </c>
      <c r="ES46" s="557">
        <f t="shared" si="29"/>
        <v>0</v>
      </c>
      <c r="FK46" s="88" t="s">
        <v>534</v>
      </c>
      <c r="FL46" s="88" t="s">
        <v>537</v>
      </c>
      <c r="FM46" s="88" t="s">
        <v>447</v>
      </c>
      <c r="FN46" s="88" t="s">
        <v>447</v>
      </c>
      <c r="FO46" s="354" t="s">
        <v>433</v>
      </c>
      <c r="FP46" s="79">
        <v>278933000</v>
      </c>
      <c r="FQ46" s="79">
        <v>0</v>
      </c>
      <c r="FR46" s="79">
        <v>0</v>
      </c>
      <c r="FS46" s="535">
        <f t="shared" si="33"/>
        <v>296505.77899999998</v>
      </c>
      <c r="FT46" s="535">
        <f t="shared" si="34"/>
        <v>0</v>
      </c>
      <c r="FU46" s="535">
        <f t="shared" si="35"/>
        <v>0</v>
      </c>
      <c r="GI46" s="638" t="s">
        <v>534</v>
      </c>
      <c r="GJ46" s="638" t="s">
        <v>537</v>
      </c>
      <c r="GK46" s="350" t="s">
        <v>447</v>
      </c>
      <c r="GL46" s="638" t="s">
        <v>447</v>
      </c>
      <c r="GM46" s="638" t="s">
        <v>433</v>
      </c>
      <c r="GN46" s="669">
        <v>278933000</v>
      </c>
      <c r="GO46" s="669">
        <v>0</v>
      </c>
      <c r="GP46" s="669">
        <v>0</v>
      </c>
      <c r="GQ46" s="670">
        <f t="shared" si="36"/>
        <v>296505.77899999998</v>
      </c>
      <c r="GR46" s="670">
        <f t="shared" si="37"/>
        <v>0</v>
      </c>
      <c r="GS46" s="670">
        <f t="shared" si="38"/>
        <v>0</v>
      </c>
      <c r="HH46" s="725" t="s">
        <v>465</v>
      </c>
      <c r="HI46" s="725" t="s">
        <v>466</v>
      </c>
      <c r="HJ46" s="725" t="s">
        <v>447</v>
      </c>
      <c r="HK46" s="726" t="s">
        <v>447</v>
      </c>
      <c r="HL46" s="726" t="s">
        <v>433</v>
      </c>
      <c r="HM46" s="355">
        <v>280000000</v>
      </c>
      <c r="HN46" s="355">
        <v>0</v>
      </c>
      <c r="HO46" s="355">
        <v>0</v>
      </c>
      <c r="HP46" s="724">
        <f t="shared" si="40"/>
        <v>280000</v>
      </c>
      <c r="HQ46" s="724">
        <f t="shared" si="41"/>
        <v>0</v>
      </c>
      <c r="HR46" s="724">
        <f t="shared" si="42"/>
        <v>0</v>
      </c>
      <c r="II46" s="350" t="s">
        <v>463</v>
      </c>
      <c r="IJ46" s="350" t="s">
        <v>464</v>
      </c>
      <c r="IK46" s="350" t="s">
        <v>447</v>
      </c>
      <c r="IL46" s="350" t="s">
        <v>447</v>
      </c>
      <c r="IM46" s="638" t="s">
        <v>433</v>
      </c>
      <c r="IN46" s="244">
        <v>631370686</v>
      </c>
      <c r="IO46" s="244">
        <v>0</v>
      </c>
      <c r="IP46" s="244">
        <v>0</v>
      </c>
      <c r="IQ46" s="756">
        <f t="shared" si="44"/>
        <v>631370.68599999999</v>
      </c>
      <c r="IR46" s="756">
        <f t="shared" si="45"/>
        <v>0</v>
      </c>
      <c r="IS46" s="756">
        <f t="shared" si="46"/>
        <v>0</v>
      </c>
      <c r="JG46" s="536" t="s">
        <v>544</v>
      </c>
      <c r="JH46" s="536" t="s">
        <v>545</v>
      </c>
      <c r="JI46" s="536" t="s">
        <v>447</v>
      </c>
      <c r="JJ46" s="536" t="s">
        <v>447</v>
      </c>
      <c r="JK46" s="536" t="s">
        <v>433</v>
      </c>
      <c r="JL46" s="79">
        <v>10</v>
      </c>
      <c r="JM46" s="79">
        <v>0</v>
      </c>
      <c r="JN46" s="79">
        <v>0</v>
      </c>
      <c r="JO46" s="166">
        <f t="shared" si="48"/>
        <v>0.01</v>
      </c>
      <c r="JP46" s="166">
        <f t="shared" si="49"/>
        <v>0</v>
      </c>
      <c r="JQ46" s="166">
        <f t="shared" si="50"/>
        <v>0</v>
      </c>
    </row>
    <row r="47" spans="1:277" ht="15" customHeight="1" x14ac:dyDescent="0.25">
      <c r="AD47" s="89" t="s">
        <v>452</v>
      </c>
      <c r="AE47" s="89" t="s">
        <v>128</v>
      </c>
      <c r="AF47" s="89" t="s">
        <v>447</v>
      </c>
      <c r="AG47" s="89" t="s">
        <v>447</v>
      </c>
      <c r="AH47" s="90">
        <v>10000</v>
      </c>
      <c r="AI47" s="90">
        <f t="shared" si="10"/>
        <v>10.629999999999999</v>
      </c>
      <c r="AJ47" s="90">
        <v>0</v>
      </c>
      <c r="AM47" s="166"/>
      <c r="AW47" s="89" t="s">
        <v>452</v>
      </c>
      <c r="AX47" s="89" t="s">
        <v>128</v>
      </c>
      <c r="AY47" s="89" t="s">
        <v>447</v>
      </c>
      <c r="AZ47" s="89" t="s">
        <v>447</v>
      </c>
      <c r="BA47" s="90">
        <v>10000</v>
      </c>
      <c r="BB47" s="90">
        <v>0</v>
      </c>
      <c r="BC47" s="90">
        <v>0</v>
      </c>
      <c r="BD47" s="90">
        <f t="shared" si="52"/>
        <v>10.629999999999999</v>
      </c>
      <c r="BE47" s="90">
        <f t="shared" si="53"/>
        <v>0</v>
      </c>
      <c r="BF47" s="90">
        <f t="shared" si="54"/>
        <v>0</v>
      </c>
      <c r="BG47" s="78"/>
      <c r="BT47" s="86" t="s">
        <v>452</v>
      </c>
      <c r="BU47" s="86" t="s">
        <v>128</v>
      </c>
      <c r="BV47" s="86" t="s">
        <v>447</v>
      </c>
      <c r="BW47" s="86" t="s">
        <v>447</v>
      </c>
      <c r="BX47" s="296" t="s">
        <v>433</v>
      </c>
      <c r="BY47" s="87">
        <v>10000</v>
      </c>
      <c r="BZ47" s="87">
        <v>0</v>
      </c>
      <c r="CA47" s="87">
        <v>0</v>
      </c>
      <c r="CB47" s="166">
        <f t="shared" si="12"/>
        <v>10.629999999999999</v>
      </c>
      <c r="CC47" s="166">
        <f t="shared" si="13"/>
        <v>0</v>
      </c>
      <c r="CD47" s="166">
        <f t="shared" si="14"/>
        <v>0</v>
      </c>
      <c r="DI47" s="307" t="s">
        <v>672</v>
      </c>
      <c r="DJ47" s="307" t="s">
        <v>673</v>
      </c>
      <c r="DK47" s="307" t="s">
        <v>447</v>
      </c>
      <c r="DL47" s="307" t="s">
        <v>447</v>
      </c>
      <c r="DM47" s="79">
        <v>35000000</v>
      </c>
      <c r="DN47" s="79">
        <v>0</v>
      </c>
      <c r="DO47" s="79">
        <v>0</v>
      </c>
      <c r="DP47" s="560">
        <f t="shared" si="21"/>
        <v>37205</v>
      </c>
      <c r="DQ47" s="560">
        <f t="shared" si="22"/>
        <v>0</v>
      </c>
      <c r="DR47" s="560">
        <f t="shared" si="23"/>
        <v>0</v>
      </c>
      <c r="EI47" s="88" t="s">
        <v>534</v>
      </c>
      <c r="EJ47" s="88" t="s">
        <v>537</v>
      </c>
      <c r="EK47" s="88" t="s">
        <v>447</v>
      </c>
      <c r="EL47" s="88" t="s">
        <v>447</v>
      </c>
      <c r="EM47" s="88" t="s">
        <v>433</v>
      </c>
      <c r="EN47" s="88">
        <v>0</v>
      </c>
      <c r="EO47" s="88">
        <v>98000000</v>
      </c>
      <c r="EP47" s="88">
        <v>39200000</v>
      </c>
      <c r="EQ47" s="557">
        <f t="shared" si="27"/>
        <v>0</v>
      </c>
      <c r="ER47" s="557">
        <f t="shared" si="28"/>
        <v>104174</v>
      </c>
      <c r="ES47" s="557">
        <f t="shared" si="29"/>
        <v>41669.599999999999</v>
      </c>
      <c r="FK47" s="88" t="s">
        <v>534</v>
      </c>
      <c r="FL47" s="88" t="s">
        <v>537</v>
      </c>
      <c r="FM47" s="88" t="s">
        <v>447</v>
      </c>
      <c r="FN47" s="88" t="s">
        <v>447</v>
      </c>
      <c r="FO47" s="354" t="s">
        <v>433</v>
      </c>
      <c r="FP47" s="79">
        <v>0</v>
      </c>
      <c r="FQ47" s="79">
        <v>98000000</v>
      </c>
      <c r="FR47" s="79">
        <v>78400000</v>
      </c>
      <c r="FS47" s="535">
        <f t="shared" si="33"/>
        <v>0</v>
      </c>
      <c r="FT47" s="535">
        <f t="shared" si="34"/>
        <v>104174</v>
      </c>
      <c r="FU47" s="535">
        <f t="shared" si="35"/>
        <v>83339.199999999997</v>
      </c>
      <c r="GI47" s="638" t="s">
        <v>534</v>
      </c>
      <c r="GJ47" s="638" t="s">
        <v>537</v>
      </c>
      <c r="GK47" s="350" t="s">
        <v>447</v>
      </c>
      <c r="GL47" s="638" t="s">
        <v>447</v>
      </c>
      <c r="GM47" s="638" t="s">
        <v>433</v>
      </c>
      <c r="GN47" s="669">
        <v>0</v>
      </c>
      <c r="GO47" s="669">
        <v>98000000</v>
      </c>
      <c r="GP47" s="669">
        <v>78400000</v>
      </c>
      <c r="GQ47" s="670">
        <f t="shared" si="36"/>
        <v>0</v>
      </c>
      <c r="GR47" s="670">
        <f t="shared" si="37"/>
        <v>104174</v>
      </c>
      <c r="GS47" s="670">
        <f t="shared" si="38"/>
        <v>83339.199999999997</v>
      </c>
      <c r="HH47" s="725" t="s">
        <v>465</v>
      </c>
      <c r="HI47" s="725" t="s">
        <v>466</v>
      </c>
      <c r="HJ47" s="725" t="s">
        <v>447</v>
      </c>
      <c r="HK47" s="726" t="s">
        <v>447</v>
      </c>
      <c r="HL47" s="726" t="s">
        <v>433</v>
      </c>
      <c r="HM47" s="355">
        <v>0</v>
      </c>
      <c r="HN47" s="355">
        <v>227172814</v>
      </c>
      <c r="HO47" s="355">
        <v>143541718</v>
      </c>
      <c r="HP47" s="724">
        <f t="shared" si="40"/>
        <v>0</v>
      </c>
      <c r="HQ47" s="724">
        <f t="shared" si="41"/>
        <v>227172.81400000001</v>
      </c>
      <c r="HR47" s="724">
        <f t="shared" si="42"/>
        <v>143541.71799999999</v>
      </c>
      <c r="II47" s="350" t="s">
        <v>463</v>
      </c>
      <c r="IJ47" s="350" t="s">
        <v>464</v>
      </c>
      <c r="IK47" s="350" t="s">
        <v>447</v>
      </c>
      <c r="IL47" s="350" t="s">
        <v>447</v>
      </c>
      <c r="IM47" s="638" t="s">
        <v>433</v>
      </c>
      <c r="IN47" s="244">
        <v>0</v>
      </c>
      <c r="IO47" s="244">
        <v>510193279</v>
      </c>
      <c r="IP47" s="244">
        <v>391500000</v>
      </c>
      <c r="IQ47" s="756">
        <f t="shared" si="44"/>
        <v>0</v>
      </c>
      <c r="IR47" s="756">
        <f t="shared" si="45"/>
        <v>510193.27899999998</v>
      </c>
      <c r="IS47" s="756">
        <f t="shared" si="46"/>
        <v>391500</v>
      </c>
      <c r="JG47" s="536" t="s">
        <v>463</v>
      </c>
      <c r="JH47" s="536" t="s">
        <v>464</v>
      </c>
      <c r="JI47" s="536" t="s">
        <v>447</v>
      </c>
      <c r="JJ47" s="536" t="s">
        <v>447</v>
      </c>
      <c r="JK47" s="536" t="s">
        <v>433</v>
      </c>
      <c r="JL47" s="79">
        <v>631370686</v>
      </c>
      <c r="JM47" s="79">
        <v>0</v>
      </c>
      <c r="JN47" s="79">
        <v>0</v>
      </c>
      <c r="JO47" s="166">
        <f t="shared" si="48"/>
        <v>631370.68599999999</v>
      </c>
      <c r="JP47" s="166">
        <f t="shared" si="49"/>
        <v>0</v>
      </c>
      <c r="JQ47" s="166">
        <f t="shared" si="50"/>
        <v>0</v>
      </c>
    </row>
    <row r="48" spans="1:277" ht="15" customHeight="1" x14ac:dyDescent="0.25">
      <c r="AD48" s="89" t="s">
        <v>452</v>
      </c>
      <c r="AE48" s="89" t="s">
        <v>128</v>
      </c>
      <c r="AF48" s="89" t="s">
        <v>447</v>
      </c>
      <c r="AG48" s="89" t="s">
        <v>447</v>
      </c>
      <c r="AH48" s="90">
        <v>0</v>
      </c>
      <c r="AI48" s="90">
        <f t="shared" si="10"/>
        <v>0</v>
      </c>
      <c r="AJ48" s="90">
        <v>957817526</v>
      </c>
      <c r="AM48" s="166"/>
      <c r="AW48" s="89" t="s">
        <v>452</v>
      </c>
      <c r="AX48" s="89" t="s">
        <v>128</v>
      </c>
      <c r="AY48" s="89" t="s">
        <v>447</v>
      </c>
      <c r="AZ48" s="89" t="s">
        <v>447</v>
      </c>
      <c r="BA48" s="90">
        <v>0</v>
      </c>
      <c r="BB48" s="90">
        <v>957817526</v>
      </c>
      <c r="BC48" s="90">
        <v>957817526</v>
      </c>
      <c r="BD48" s="90">
        <f t="shared" si="52"/>
        <v>0</v>
      </c>
      <c r="BE48" s="90">
        <f t="shared" si="53"/>
        <v>1018160.0301379999</v>
      </c>
      <c r="BF48" s="90">
        <f t="shared" si="54"/>
        <v>1018160.0301379999</v>
      </c>
      <c r="BT48" s="86" t="s">
        <v>452</v>
      </c>
      <c r="BU48" s="86" t="s">
        <v>128</v>
      </c>
      <c r="BV48" s="86" t="s">
        <v>447</v>
      </c>
      <c r="BW48" s="86" t="s">
        <v>447</v>
      </c>
      <c r="BX48" s="296" t="s">
        <v>433</v>
      </c>
      <c r="BY48" s="87">
        <v>0</v>
      </c>
      <c r="BZ48" s="87">
        <v>957817526</v>
      </c>
      <c r="CA48" s="87">
        <v>957817526</v>
      </c>
      <c r="CB48" s="166">
        <f t="shared" si="12"/>
        <v>0</v>
      </c>
      <c r="CC48" s="166">
        <f t="shared" si="13"/>
        <v>1018160.0301379999</v>
      </c>
      <c r="CD48" s="166">
        <f t="shared" si="14"/>
        <v>1018160.0301379999</v>
      </c>
      <c r="DI48" s="307" t="s">
        <v>672</v>
      </c>
      <c r="DJ48" s="307" t="s">
        <v>673</v>
      </c>
      <c r="DK48" s="307" t="s">
        <v>447</v>
      </c>
      <c r="DL48" s="307" t="s">
        <v>447</v>
      </c>
      <c r="DM48" s="79">
        <v>0</v>
      </c>
      <c r="DN48" s="79">
        <v>12012000</v>
      </c>
      <c r="DO48" s="79">
        <v>5148000</v>
      </c>
      <c r="DP48" s="560">
        <f t="shared" si="21"/>
        <v>0</v>
      </c>
      <c r="DQ48" s="560">
        <f t="shared" si="22"/>
        <v>12768.755999999999</v>
      </c>
      <c r="DR48" s="560">
        <f t="shared" si="23"/>
        <v>5472.3239999999996</v>
      </c>
      <c r="EI48" s="88" t="s">
        <v>672</v>
      </c>
      <c r="EJ48" s="88" t="s">
        <v>673</v>
      </c>
      <c r="EK48" s="88" t="s">
        <v>447</v>
      </c>
      <c r="EL48" s="88" t="s">
        <v>447</v>
      </c>
      <c r="EM48" s="88" t="s">
        <v>433</v>
      </c>
      <c r="EN48" s="88">
        <v>35000000</v>
      </c>
      <c r="EO48" s="88">
        <v>0</v>
      </c>
      <c r="EP48" s="88">
        <v>0</v>
      </c>
      <c r="EQ48" s="557">
        <f t="shared" si="27"/>
        <v>37205</v>
      </c>
      <c r="ER48" s="557">
        <f t="shared" si="28"/>
        <v>0</v>
      </c>
      <c r="ES48" s="557">
        <f t="shared" si="29"/>
        <v>0</v>
      </c>
      <c r="FK48" s="88" t="s">
        <v>672</v>
      </c>
      <c r="FL48" s="88" t="s">
        <v>673</v>
      </c>
      <c r="FM48" s="88" t="s">
        <v>447</v>
      </c>
      <c r="FN48" s="88" t="s">
        <v>447</v>
      </c>
      <c r="FO48" s="354" t="s">
        <v>433</v>
      </c>
      <c r="FP48" s="79">
        <v>35000000</v>
      </c>
      <c r="FQ48" s="79">
        <v>0</v>
      </c>
      <c r="FR48" s="79">
        <v>0</v>
      </c>
      <c r="FS48" s="535">
        <f t="shared" si="33"/>
        <v>37205</v>
      </c>
      <c r="FT48" s="535">
        <f t="shared" si="34"/>
        <v>0</v>
      </c>
      <c r="FU48" s="535">
        <f t="shared" si="35"/>
        <v>0</v>
      </c>
      <c r="GI48" s="638" t="s">
        <v>672</v>
      </c>
      <c r="GJ48" s="638" t="s">
        <v>673</v>
      </c>
      <c r="GK48" s="350" t="s">
        <v>447</v>
      </c>
      <c r="GL48" s="638" t="s">
        <v>447</v>
      </c>
      <c r="GM48" s="638" t="s">
        <v>433</v>
      </c>
      <c r="GN48" s="669">
        <v>35000000</v>
      </c>
      <c r="GO48" s="669">
        <v>0</v>
      </c>
      <c r="GP48" s="669">
        <v>0</v>
      </c>
      <c r="GQ48" s="670">
        <f t="shared" si="36"/>
        <v>37205</v>
      </c>
      <c r="GR48" s="670">
        <f t="shared" si="37"/>
        <v>0</v>
      </c>
      <c r="GS48" s="670">
        <f t="shared" si="38"/>
        <v>0</v>
      </c>
      <c r="HH48" s="725" t="s">
        <v>534</v>
      </c>
      <c r="HI48" s="725" t="s">
        <v>537</v>
      </c>
      <c r="HJ48" s="725" t="s">
        <v>447</v>
      </c>
      <c r="HK48" s="726" t="s">
        <v>447</v>
      </c>
      <c r="HL48" s="726" t="s">
        <v>433</v>
      </c>
      <c r="HM48" s="355">
        <v>278933000</v>
      </c>
      <c r="HN48" s="355">
        <v>0</v>
      </c>
      <c r="HO48" s="355">
        <v>0</v>
      </c>
      <c r="HP48" s="724">
        <f t="shared" si="40"/>
        <v>278933</v>
      </c>
      <c r="HQ48" s="724">
        <f t="shared" si="41"/>
        <v>0</v>
      </c>
      <c r="HR48" s="724">
        <f t="shared" si="42"/>
        <v>0</v>
      </c>
      <c r="II48" s="350" t="s">
        <v>465</v>
      </c>
      <c r="IJ48" s="350" t="s">
        <v>466</v>
      </c>
      <c r="IK48" s="350" t="s">
        <v>447</v>
      </c>
      <c r="IL48" s="350" t="s">
        <v>447</v>
      </c>
      <c r="IM48" s="638" t="s">
        <v>433</v>
      </c>
      <c r="IN48" s="244">
        <v>249577814</v>
      </c>
      <c r="IO48" s="244">
        <v>0</v>
      </c>
      <c r="IP48" s="244">
        <v>0</v>
      </c>
      <c r="IQ48" s="756">
        <f t="shared" si="44"/>
        <v>249577.81400000001</v>
      </c>
      <c r="IR48" s="756">
        <f t="shared" si="45"/>
        <v>0</v>
      </c>
      <c r="IS48" s="756">
        <f t="shared" si="46"/>
        <v>0</v>
      </c>
      <c r="JG48" s="536" t="s">
        <v>463</v>
      </c>
      <c r="JH48" s="536" t="s">
        <v>464</v>
      </c>
      <c r="JI48" s="536" t="s">
        <v>447</v>
      </c>
      <c r="JJ48" s="536" t="s">
        <v>447</v>
      </c>
      <c r="JK48" s="536" t="s">
        <v>433</v>
      </c>
      <c r="JL48" s="79">
        <v>0</v>
      </c>
      <c r="JM48" s="79">
        <v>631370686</v>
      </c>
      <c r="JN48" s="79">
        <v>631370686</v>
      </c>
      <c r="JO48" s="166">
        <f t="shared" si="48"/>
        <v>0</v>
      </c>
      <c r="JP48" s="166">
        <f t="shared" si="49"/>
        <v>631370.68599999999</v>
      </c>
      <c r="JQ48" s="166">
        <f t="shared" si="50"/>
        <v>631370.68599999999</v>
      </c>
    </row>
    <row r="49" spans="35:277" ht="15" customHeight="1" x14ac:dyDescent="0.25">
      <c r="AI49" s="78">
        <f>SUM(AI3:AI48)</f>
        <v>8219493.3649999993</v>
      </c>
      <c r="AM49" s="283"/>
      <c r="AW49" s="89"/>
      <c r="AX49" s="89"/>
      <c r="AY49" s="89"/>
      <c r="AZ49" s="89"/>
      <c r="BA49" s="90"/>
      <c r="BB49" s="90"/>
      <c r="BC49" s="90"/>
      <c r="BD49" s="90">
        <f t="shared" si="52"/>
        <v>0</v>
      </c>
      <c r="BE49" s="90">
        <f t="shared" si="53"/>
        <v>0</v>
      </c>
      <c r="BF49" s="90">
        <f t="shared" si="54"/>
        <v>0</v>
      </c>
      <c r="DI49" s="307" t="s">
        <v>674</v>
      </c>
      <c r="DJ49" s="307" t="s">
        <v>675</v>
      </c>
      <c r="DK49" s="307" t="s">
        <v>447</v>
      </c>
      <c r="DL49" s="307" t="s">
        <v>447</v>
      </c>
      <c r="DM49" s="79">
        <v>50000000</v>
      </c>
      <c r="DN49" s="79">
        <v>0</v>
      </c>
      <c r="DO49" s="79">
        <v>0</v>
      </c>
      <c r="DP49" s="560">
        <f t="shared" si="21"/>
        <v>53150</v>
      </c>
      <c r="DQ49" s="560">
        <f t="shared" si="22"/>
        <v>0</v>
      </c>
      <c r="DR49" s="560">
        <f t="shared" si="23"/>
        <v>0</v>
      </c>
      <c r="EI49" s="88" t="s">
        <v>672</v>
      </c>
      <c r="EJ49" s="88" t="s">
        <v>673</v>
      </c>
      <c r="EK49" s="88" t="s">
        <v>447</v>
      </c>
      <c r="EL49" s="88" t="s">
        <v>447</v>
      </c>
      <c r="EM49" s="88" t="s">
        <v>433</v>
      </c>
      <c r="EN49" s="88">
        <v>0</v>
      </c>
      <c r="EO49" s="88">
        <v>12012000</v>
      </c>
      <c r="EP49" s="88">
        <v>8580000</v>
      </c>
      <c r="EQ49" s="557">
        <f t="shared" si="27"/>
        <v>0</v>
      </c>
      <c r="ER49" s="557">
        <f t="shared" si="28"/>
        <v>12768.755999999999</v>
      </c>
      <c r="ES49" s="557">
        <f t="shared" si="29"/>
        <v>9120.5399999999991</v>
      </c>
      <c r="FK49" s="88" t="s">
        <v>672</v>
      </c>
      <c r="FL49" s="88" t="s">
        <v>673</v>
      </c>
      <c r="FM49" s="88" t="s">
        <v>447</v>
      </c>
      <c r="FN49" s="88" t="s">
        <v>447</v>
      </c>
      <c r="FO49" s="354" t="s">
        <v>433</v>
      </c>
      <c r="FP49" s="79">
        <v>0</v>
      </c>
      <c r="FQ49" s="79">
        <v>12012000</v>
      </c>
      <c r="FR49" s="79">
        <v>10296000</v>
      </c>
      <c r="FS49" s="535">
        <f t="shared" si="33"/>
        <v>0</v>
      </c>
      <c r="FT49" s="535">
        <f t="shared" si="34"/>
        <v>12768.755999999999</v>
      </c>
      <c r="FU49" s="535">
        <f t="shared" si="35"/>
        <v>10944.647999999999</v>
      </c>
      <c r="GI49" s="638" t="s">
        <v>672</v>
      </c>
      <c r="GJ49" s="638" t="s">
        <v>673</v>
      </c>
      <c r="GK49" s="350" t="s">
        <v>447</v>
      </c>
      <c r="GL49" s="638" t="s">
        <v>447</v>
      </c>
      <c r="GM49" s="638" t="s">
        <v>433</v>
      </c>
      <c r="GN49" s="669">
        <v>0</v>
      </c>
      <c r="GO49" s="669">
        <v>12012000</v>
      </c>
      <c r="GP49" s="669">
        <v>10296000</v>
      </c>
      <c r="GQ49" s="670">
        <f t="shared" si="36"/>
        <v>0</v>
      </c>
      <c r="GR49" s="670">
        <f t="shared" si="37"/>
        <v>12768.755999999999</v>
      </c>
      <c r="GS49" s="670">
        <f t="shared" si="38"/>
        <v>10944.647999999999</v>
      </c>
      <c r="HH49" s="725" t="s">
        <v>534</v>
      </c>
      <c r="HI49" s="725" t="s">
        <v>537</v>
      </c>
      <c r="HJ49" s="725" t="s">
        <v>447</v>
      </c>
      <c r="HK49" s="726" t="s">
        <v>447</v>
      </c>
      <c r="HL49" s="726" t="s">
        <v>433</v>
      </c>
      <c r="HM49" s="355">
        <v>0</v>
      </c>
      <c r="HN49" s="355">
        <v>98000000</v>
      </c>
      <c r="HO49" s="355">
        <v>98000000</v>
      </c>
      <c r="HP49" s="724">
        <f t="shared" si="40"/>
        <v>0</v>
      </c>
      <c r="HQ49" s="724">
        <f t="shared" si="41"/>
        <v>98000</v>
      </c>
      <c r="HR49" s="724">
        <f t="shared" si="42"/>
        <v>98000</v>
      </c>
      <c r="II49" s="350" t="s">
        <v>465</v>
      </c>
      <c r="IJ49" s="350" t="s">
        <v>466</v>
      </c>
      <c r="IK49" s="350" t="s">
        <v>447</v>
      </c>
      <c r="IL49" s="350" t="s">
        <v>447</v>
      </c>
      <c r="IM49" s="638" t="s">
        <v>433</v>
      </c>
      <c r="IN49" s="244">
        <v>0</v>
      </c>
      <c r="IO49" s="244">
        <v>242172814</v>
      </c>
      <c r="IP49" s="244">
        <v>178743095</v>
      </c>
      <c r="IQ49" s="756">
        <f t="shared" si="44"/>
        <v>0</v>
      </c>
      <c r="IR49" s="756">
        <f t="shared" si="45"/>
        <v>242172.81400000001</v>
      </c>
      <c r="IS49" s="756">
        <f t="shared" si="46"/>
        <v>178743.095</v>
      </c>
      <c r="JG49" s="536" t="s">
        <v>465</v>
      </c>
      <c r="JH49" s="536" t="s">
        <v>466</v>
      </c>
      <c r="JI49" s="536" t="s">
        <v>447</v>
      </c>
      <c r="JJ49" s="536" t="s">
        <v>447</v>
      </c>
      <c r="JK49" s="536" t="s">
        <v>433</v>
      </c>
      <c r="JL49" s="79">
        <v>249577814</v>
      </c>
      <c r="JM49" s="79">
        <v>0</v>
      </c>
      <c r="JN49" s="79">
        <v>0</v>
      </c>
      <c r="JO49" s="166">
        <f t="shared" si="48"/>
        <v>249577.81400000001</v>
      </c>
      <c r="JP49" s="166">
        <f t="shared" si="49"/>
        <v>0</v>
      </c>
      <c r="JQ49" s="166">
        <f t="shared" si="50"/>
        <v>0</v>
      </c>
    </row>
    <row r="50" spans="35:277" ht="15" customHeight="1" x14ac:dyDescent="0.25">
      <c r="AW50" s="89"/>
      <c r="AX50" s="89"/>
      <c r="AY50" s="89"/>
      <c r="AZ50" s="89"/>
      <c r="BA50" s="90"/>
      <c r="BB50" s="90"/>
      <c r="BC50" s="90"/>
      <c r="BD50" s="90">
        <f t="shared" si="52"/>
        <v>0</v>
      </c>
      <c r="BE50" s="90">
        <f t="shared" si="53"/>
        <v>0</v>
      </c>
      <c r="BF50" s="90">
        <f t="shared" si="54"/>
        <v>0</v>
      </c>
      <c r="DI50" s="307" t="s">
        <v>452</v>
      </c>
      <c r="DJ50" s="307" t="s">
        <v>128</v>
      </c>
      <c r="DK50" s="307" t="s">
        <v>447</v>
      </c>
      <c r="DL50" s="307" t="s">
        <v>447</v>
      </c>
      <c r="DM50" s="79">
        <v>958943000</v>
      </c>
      <c r="DN50" s="79">
        <v>0</v>
      </c>
      <c r="DO50" s="79">
        <v>0</v>
      </c>
      <c r="DP50" s="560">
        <f t="shared" si="21"/>
        <v>1019356.409</v>
      </c>
      <c r="DQ50" s="560">
        <f t="shared" si="22"/>
        <v>0</v>
      </c>
      <c r="DR50" s="560">
        <f t="shared" si="23"/>
        <v>0</v>
      </c>
      <c r="EI50" s="88" t="s">
        <v>674</v>
      </c>
      <c r="EJ50" s="88" t="s">
        <v>675</v>
      </c>
      <c r="EK50" s="88" t="s">
        <v>447</v>
      </c>
      <c r="EL50" s="88" t="s">
        <v>447</v>
      </c>
      <c r="EM50" s="88" t="s">
        <v>433</v>
      </c>
      <c r="EN50" s="88">
        <v>50000000</v>
      </c>
      <c r="EO50" s="88">
        <v>0</v>
      </c>
      <c r="EP50" s="88">
        <v>0</v>
      </c>
      <c r="EQ50" s="557">
        <f t="shared" si="27"/>
        <v>53150</v>
      </c>
      <c r="ER50" s="557">
        <f t="shared" si="28"/>
        <v>0</v>
      </c>
      <c r="ES50" s="557">
        <f t="shared" si="29"/>
        <v>0</v>
      </c>
      <c r="FK50" s="88" t="s">
        <v>674</v>
      </c>
      <c r="FL50" s="88" t="s">
        <v>675</v>
      </c>
      <c r="FM50" s="88" t="s">
        <v>447</v>
      </c>
      <c r="FN50" s="88" t="s">
        <v>447</v>
      </c>
      <c r="FO50" s="354" t="s">
        <v>433</v>
      </c>
      <c r="FP50" s="79">
        <v>50000000</v>
      </c>
      <c r="FQ50" s="79">
        <v>0</v>
      </c>
      <c r="FR50" s="79">
        <v>0</v>
      </c>
      <c r="FS50" s="535">
        <f t="shared" si="33"/>
        <v>53150</v>
      </c>
      <c r="FT50" s="535">
        <f t="shared" si="34"/>
        <v>0</v>
      </c>
      <c r="FU50" s="535">
        <f t="shared" si="35"/>
        <v>0</v>
      </c>
      <c r="GI50" s="638" t="s">
        <v>674</v>
      </c>
      <c r="GJ50" s="638" t="s">
        <v>675</v>
      </c>
      <c r="GK50" s="350" t="s">
        <v>447</v>
      </c>
      <c r="GL50" s="638" t="s">
        <v>447</v>
      </c>
      <c r="GM50" s="638" t="s">
        <v>433</v>
      </c>
      <c r="GN50" s="669">
        <v>50000000</v>
      </c>
      <c r="GO50" s="669">
        <v>0</v>
      </c>
      <c r="GP50" s="669">
        <v>0</v>
      </c>
      <c r="GQ50" s="670">
        <f t="shared" si="36"/>
        <v>53150</v>
      </c>
      <c r="GR50" s="670">
        <f t="shared" si="37"/>
        <v>0</v>
      </c>
      <c r="GS50" s="670">
        <f t="shared" si="38"/>
        <v>0</v>
      </c>
      <c r="HH50" s="725" t="s">
        <v>672</v>
      </c>
      <c r="HI50" s="725" t="s">
        <v>673</v>
      </c>
      <c r="HJ50" s="725" t="s">
        <v>447</v>
      </c>
      <c r="HK50" s="726" t="s">
        <v>447</v>
      </c>
      <c r="HL50" s="726" t="s">
        <v>433</v>
      </c>
      <c r="HM50" s="355">
        <v>35000000</v>
      </c>
      <c r="HN50" s="355">
        <v>0</v>
      </c>
      <c r="HO50" s="355">
        <v>0</v>
      </c>
      <c r="HP50" s="724">
        <f t="shared" si="40"/>
        <v>35000</v>
      </c>
      <c r="HQ50" s="724">
        <f t="shared" si="41"/>
        <v>0</v>
      </c>
      <c r="HR50" s="724">
        <f t="shared" si="42"/>
        <v>0</v>
      </c>
      <c r="II50" s="350" t="s">
        <v>534</v>
      </c>
      <c r="IJ50" s="350" t="s">
        <v>537</v>
      </c>
      <c r="IK50" s="350" t="s">
        <v>447</v>
      </c>
      <c r="IL50" s="350" t="s">
        <v>447</v>
      </c>
      <c r="IM50" s="638" t="s">
        <v>433</v>
      </c>
      <c r="IN50" s="244">
        <v>248933000</v>
      </c>
      <c r="IO50" s="244">
        <v>0</v>
      </c>
      <c r="IP50" s="244">
        <v>0</v>
      </c>
      <c r="IQ50" s="756">
        <f t="shared" si="44"/>
        <v>248933</v>
      </c>
      <c r="IR50" s="756">
        <f t="shared" si="45"/>
        <v>0</v>
      </c>
      <c r="IS50" s="756">
        <f t="shared" si="46"/>
        <v>0</v>
      </c>
      <c r="JG50" s="536" t="s">
        <v>465</v>
      </c>
      <c r="JH50" s="536" t="s">
        <v>466</v>
      </c>
      <c r="JI50" s="536" t="s">
        <v>447</v>
      </c>
      <c r="JJ50" s="536" t="s">
        <v>447</v>
      </c>
      <c r="JK50" s="536" t="s">
        <v>433</v>
      </c>
      <c r="JL50" s="79">
        <v>0</v>
      </c>
      <c r="JM50" s="79">
        <v>242172803</v>
      </c>
      <c r="JN50" s="79">
        <v>188680411</v>
      </c>
      <c r="JO50" s="166">
        <f t="shared" si="48"/>
        <v>0</v>
      </c>
      <c r="JP50" s="166">
        <f t="shared" si="49"/>
        <v>242172.80300000001</v>
      </c>
      <c r="JQ50" s="166">
        <f t="shared" si="50"/>
        <v>188680.41099999999</v>
      </c>
    </row>
    <row r="51" spans="35:277" ht="15" customHeight="1" x14ac:dyDescent="0.25">
      <c r="BA51" s="90"/>
      <c r="BB51" s="90"/>
      <c r="BC51" s="90"/>
      <c r="BD51" s="90">
        <f t="shared" si="52"/>
        <v>0</v>
      </c>
      <c r="BE51" s="90">
        <f t="shared" si="53"/>
        <v>0</v>
      </c>
      <c r="BF51" s="90">
        <f t="shared" si="54"/>
        <v>0</v>
      </c>
      <c r="DI51" s="307" t="s">
        <v>452</v>
      </c>
      <c r="DJ51" s="307" t="s">
        <v>128</v>
      </c>
      <c r="DK51" s="307" t="s">
        <v>447</v>
      </c>
      <c r="DL51" s="307" t="s">
        <v>447</v>
      </c>
      <c r="DM51" s="79">
        <v>0</v>
      </c>
      <c r="DN51" s="79">
        <v>957817526</v>
      </c>
      <c r="DO51" s="79">
        <v>957817526</v>
      </c>
      <c r="DP51" s="560">
        <f t="shared" si="21"/>
        <v>0</v>
      </c>
      <c r="DQ51" s="560">
        <f t="shared" si="22"/>
        <v>1018160.0301379999</v>
      </c>
      <c r="DR51" s="560">
        <f t="shared" si="23"/>
        <v>1018160.0301379999</v>
      </c>
      <c r="EI51" s="88" t="s">
        <v>452</v>
      </c>
      <c r="EJ51" s="88" t="s">
        <v>128</v>
      </c>
      <c r="EK51" s="88" t="s">
        <v>447</v>
      </c>
      <c r="EL51" s="88" t="s">
        <v>447</v>
      </c>
      <c r="EM51" s="88" t="s">
        <v>433</v>
      </c>
      <c r="EN51" s="88">
        <v>958943000</v>
      </c>
      <c r="EO51" s="88">
        <v>0</v>
      </c>
      <c r="EP51" s="88">
        <v>0</v>
      </c>
      <c r="EQ51" s="557">
        <f t="shared" si="27"/>
        <v>1019356.409</v>
      </c>
      <c r="ER51" s="557">
        <f t="shared" si="28"/>
        <v>0</v>
      </c>
      <c r="ES51" s="557">
        <f t="shared" si="29"/>
        <v>0</v>
      </c>
      <c r="FK51" s="88" t="s">
        <v>452</v>
      </c>
      <c r="FL51" s="88" t="s">
        <v>128</v>
      </c>
      <c r="FM51" s="88" t="s">
        <v>447</v>
      </c>
      <c r="FN51" s="88" t="s">
        <v>447</v>
      </c>
      <c r="FO51" s="354" t="s">
        <v>433</v>
      </c>
      <c r="FP51" s="79">
        <v>958943000</v>
      </c>
      <c r="FQ51" s="79">
        <v>0</v>
      </c>
      <c r="FR51" s="79">
        <v>0</v>
      </c>
      <c r="FS51" s="535">
        <f t="shared" si="33"/>
        <v>1019356.409</v>
      </c>
      <c r="FT51" s="535">
        <f t="shared" si="34"/>
        <v>0</v>
      </c>
      <c r="FU51" s="535">
        <f t="shared" si="35"/>
        <v>0</v>
      </c>
      <c r="GI51" s="638" t="s">
        <v>674</v>
      </c>
      <c r="GJ51" s="638" t="s">
        <v>675</v>
      </c>
      <c r="GK51" s="350" t="s">
        <v>447</v>
      </c>
      <c r="GL51" s="638" t="s">
        <v>447</v>
      </c>
      <c r="GM51" s="638" t="s">
        <v>433</v>
      </c>
      <c r="GN51" s="669">
        <v>0</v>
      </c>
      <c r="GO51" s="669">
        <v>22039500</v>
      </c>
      <c r="GP51" s="669">
        <v>0</v>
      </c>
      <c r="GQ51" s="670">
        <f t="shared" si="36"/>
        <v>0</v>
      </c>
      <c r="GR51" s="670">
        <f t="shared" si="37"/>
        <v>23427.988499999999</v>
      </c>
      <c r="GS51" s="670">
        <f t="shared" si="38"/>
        <v>0</v>
      </c>
      <c r="HH51" s="725" t="s">
        <v>672</v>
      </c>
      <c r="HI51" s="725" t="s">
        <v>673</v>
      </c>
      <c r="HJ51" s="725" t="s">
        <v>447</v>
      </c>
      <c r="HK51" s="726" t="s">
        <v>447</v>
      </c>
      <c r="HL51" s="726" t="s">
        <v>433</v>
      </c>
      <c r="HM51" s="355">
        <v>0</v>
      </c>
      <c r="HN51" s="355">
        <v>12012000</v>
      </c>
      <c r="HO51" s="355">
        <v>10296000</v>
      </c>
      <c r="HP51" s="724">
        <f t="shared" si="40"/>
        <v>0</v>
      </c>
      <c r="HQ51" s="724">
        <f t="shared" si="41"/>
        <v>12012</v>
      </c>
      <c r="HR51" s="724">
        <f t="shared" si="42"/>
        <v>10296</v>
      </c>
      <c r="II51" s="350" t="s">
        <v>534</v>
      </c>
      <c r="IJ51" s="350" t="s">
        <v>537</v>
      </c>
      <c r="IK51" s="350" t="s">
        <v>447</v>
      </c>
      <c r="IL51" s="350" t="s">
        <v>447</v>
      </c>
      <c r="IM51" s="638" t="s">
        <v>433</v>
      </c>
      <c r="IN51" s="244">
        <v>0</v>
      </c>
      <c r="IO51" s="244">
        <v>98000000</v>
      </c>
      <c r="IP51" s="244">
        <v>98000000</v>
      </c>
      <c r="IQ51" s="756">
        <f t="shared" si="44"/>
        <v>0</v>
      </c>
      <c r="IR51" s="756">
        <f t="shared" si="45"/>
        <v>98000</v>
      </c>
      <c r="IS51" s="756">
        <f t="shared" si="46"/>
        <v>98000</v>
      </c>
      <c r="JG51" s="536" t="s">
        <v>534</v>
      </c>
      <c r="JH51" s="536" t="s">
        <v>537</v>
      </c>
      <c r="JI51" s="536" t="s">
        <v>447</v>
      </c>
      <c r="JJ51" s="536" t="s">
        <v>447</v>
      </c>
      <c r="JK51" s="536" t="s">
        <v>433</v>
      </c>
      <c r="JL51" s="79">
        <v>248933000</v>
      </c>
      <c r="JM51" s="79">
        <v>0</v>
      </c>
      <c r="JN51" s="79">
        <v>0</v>
      </c>
      <c r="JO51" s="166">
        <f t="shared" si="48"/>
        <v>248933</v>
      </c>
      <c r="JP51" s="166">
        <f t="shared" si="49"/>
        <v>0</v>
      </c>
      <c r="JQ51" s="166">
        <f t="shared" si="50"/>
        <v>0</v>
      </c>
    </row>
    <row r="52" spans="35:277" ht="15" customHeight="1" x14ac:dyDescent="0.25">
      <c r="BD52" s="78"/>
      <c r="BF52" s="78"/>
      <c r="EI52" s="88" t="s">
        <v>452</v>
      </c>
      <c r="EJ52" s="88" t="s">
        <v>128</v>
      </c>
      <c r="EK52" s="88" t="s">
        <v>447</v>
      </c>
      <c r="EL52" s="88" t="s">
        <v>447</v>
      </c>
      <c r="EM52" s="88" t="s">
        <v>433</v>
      </c>
      <c r="EN52" s="88">
        <v>0</v>
      </c>
      <c r="EO52" s="88">
        <v>957817526</v>
      </c>
      <c r="EP52" s="88">
        <v>957817526</v>
      </c>
      <c r="EQ52" s="557">
        <f t="shared" si="27"/>
        <v>0</v>
      </c>
      <c r="ER52" s="557">
        <f t="shared" si="28"/>
        <v>1018160.0301379999</v>
      </c>
      <c r="ES52" s="557">
        <f t="shared" si="29"/>
        <v>1018160.0301379999</v>
      </c>
      <c r="FK52" s="88" t="s">
        <v>452</v>
      </c>
      <c r="FL52" s="88" t="s">
        <v>128</v>
      </c>
      <c r="FM52" s="88" t="s">
        <v>447</v>
      </c>
      <c r="FN52" s="88" t="s">
        <v>447</v>
      </c>
      <c r="FO52" s="354" t="s">
        <v>433</v>
      </c>
      <c r="FP52" s="79">
        <v>0</v>
      </c>
      <c r="FQ52" s="79">
        <v>957817526</v>
      </c>
      <c r="FR52" s="79">
        <v>957817526</v>
      </c>
      <c r="FS52" s="535">
        <f t="shared" si="33"/>
        <v>0</v>
      </c>
      <c r="FT52" s="535">
        <f t="shared" si="34"/>
        <v>1018160.0301379999</v>
      </c>
      <c r="FU52" s="535">
        <f t="shared" si="35"/>
        <v>1018160.0301379999</v>
      </c>
      <c r="GI52" s="638" t="s">
        <v>452</v>
      </c>
      <c r="GJ52" s="638" t="s">
        <v>128</v>
      </c>
      <c r="GK52" s="350" t="s">
        <v>447</v>
      </c>
      <c r="GL52" s="638" t="s">
        <v>447</v>
      </c>
      <c r="GM52" s="638" t="s">
        <v>433</v>
      </c>
      <c r="GN52" s="669">
        <v>958943000</v>
      </c>
      <c r="GO52" s="669">
        <v>0</v>
      </c>
      <c r="GP52" s="669">
        <v>0</v>
      </c>
      <c r="GQ52" s="670">
        <f t="shared" si="36"/>
        <v>1019356.409</v>
      </c>
      <c r="GR52" s="670">
        <f t="shared" si="37"/>
        <v>0</v>
      </c>
      <c r="GS52" s="670">
        <f t="shared" si="38"/>
        <v>0</v>
      </c>
      <c r="HH52" s="725" t="s">
        <v>674</v>
      </c>
      <c r="HI52" s="725" t="s">
        <v>675</v>
      </c>
      <c r="HJ52" s="725" t="s">
        <v>447</v>
      </c>
      <c r="HK52" s="726" t="s">
        <v>447</v>
      </c>
      <c r="HL52" s="726" t="s">
        <v>433</v>
      </c>
      <c r="HM52" s="355">
        <v>50000000</v>
      </c>
      <c r="HN52" s="355">
        <v>0</v>
      </c>
      <c r="HO52" s="355">
        <v>0</v>
      </c>
      <c r="HP52" s="724">
        <f t="shared" si="40"/>
        <v>50000</v>
      </c>
      <c r="HQ52" s="724">
        <f t="shared" si="41"/>
        <v>0</v>
      </c>
      <c r="HR52" s="724">
        <f t="shared" si="42"/>
        <v>0</v>
      </c>
      <c r="II52" s="350" t="s">
        <v>672</v>
      </c>
      <c r="IJ52" s="350" t="s">
        <v>673</v>
      </c>
      <c r="IK52" s="350" t="s">
        <v>447</v>
      </c>
      <c r="IL52" s="350" t="s">
        <v>447</v>
      </c>
      <c r="IM52" s="638" t="s">
        <v>433</v>
      </c>
      <c r="IN52" s="244">
        <v>12012000</v>
      </c>
      <c r="IO52" s="244">
        <v>0</v>
      </c>
      <c r="IP52" s="244">
        <v>0</v>
      </c>
      <c r="IQ52" s="756">
        <f t="shared" si="44"/>
        <v>12012</v>
      </c>
      <c r="IR52" s="756">
        <f t="shared" si="45"/>
        <v>0</v>
      </c>
      <c r="IS52" s="756">
        <f t="shared" si="46"/>
        <v>0</v>
      </c>
      <c r="JG52" s="536" t="s">
        <v>534</v>
      </c>
      <c r="JH52" s="536" t="s">
        <v>537</v>
      </c>
      <c r="JI52" s="536" t="s">
        <v>447</v>
      </c>
      <c r="JJ52" s="536" t="s">
        <v>447</v>
      </c>
      <c r="JK52" s="536" t="s">
        <v>433</v>
      </c>
      <c r="JL52" s="79">
        <v>0</v>
      </c>
      <c r="JM52" s="79">
        <v>248089633</v>
      </c>
      <c r="JN52" s="79">
        <v>248089633</v>
      </c>
      <c r="JO52" s="166">
        <f t="shared" si="48"/>
        <v>0</v>
      </c>
      <c r="JP52" s="166">
        <f t="shared" si="49"/>
        <v>248089.633</v>
      </c>
      <c r="JQ52" s="166">
        <f t="shared" si="50"/>
        <v>248089.633</v>
      </c>
    </row>
    <row r="53" spans="35:277" x14ac:dyDescent="0.25">
      <c r="GI53" s="638" t="s">
        <v>452</v>
      </c>
      <c r="GJ53" s="638" t="s">
        <v>128</v>
      </c>
      <c r="GK53" s="350" t="s">
        <v>447</v>
      </c>
      <c r="GL53" s="638" t="s">
        <v>447</v>
      </c>
      <c r="GM53" s="638" t="s">
        <v>433</v>
      </c>
      <c r="GN53" s="669">
        <v>0</v>
      </c>
      <c r="GO53" s="669">
        <v>957817526</v>
      </c>
      <c r="GP53" s="669">
        <v>957817526</v>
      </c>
      <c r="GQ53" s="670">
        <f t="shared" si="36"/>
        <v>0</v>
      </c>
      <c r="GR53" s="670">
        <f t="shared" si="37"/>
        <v>1018160.0301379999</v>
      </c>
      <c r="GS53" s="670">
        <f t="shared" si="38"/>
        <v>1018160.0301379999</v>
      </c>
      <c r="HH53" s="725" t="s">
        <v>674</v>
      </c>
      <c r="HI53" s="725" t="s">
        <v>675</v>
      </c>
      <c r="HJ53" s="725" t="s">
        <v>447</v>
      </c>
      <c r="HK53" s="726" t="s">
        <v>447</v>
      </c>
      <c r="HL53" s="726" t="s">
        <v>433</v>
      </c>
      <c r="HM53" s="355">
        <v>0</v>
      </c>
      <c r="HN53" s="355">
        <v>22039500</v>
      </c>
      <c r="HO53" s="355">
        <v>0</v>
      </c>
      <c r="HP53" s="724">
        <f t="shared" si="40"/>
        <v>0</v>
      </c>
      <c r="HQ53" s="724">
        <f t="shared" si="41"/>
        <v>22039.5</v>
      </c>
      <c r="HR53" s="724">
        <f t="shared" si="42"/>
        <v>0</v>
      </c>
      <c r="II53" s="350" t="s">
        <v>672</v>
      </c>
      <c r="IJ53" s="350" t="s">
        <v>673</v>
      </c>
      <c r="IK53" s="350" t="s">
        <v>447</v>
      </c>
      <c r="IL53" s="350" t="s">
        <v>447</v>
      </c>
      <c r="IM53" s="638" t="s">
        <v>433</v>
      </c>
      <c r="IN53" s="244">
        <v>0</v>
      </c>
      <c r="IO53" s="244">
        <v>12012000</v>
      </c>
      <c r="IP53" s="244">
        <v>12012000</v>
      </c>
      <c r="IQ53" s="756">
        <f t="shared" si="44"/>
        <v>0</v>
      </c>
      <c r="IR53" s="756">
        <f t="shared" si="45"/>
        <v>12012</v>
      </c>
      <c r="IS53" s="756">
        <f t="shared" si="46"/>
        <v>12012</v>
      </c>
      <c r="JG53" s="536" t="s">
        <v>672</v>
      </c>
      <c r="JH53" s="536" t="s">
        <v>673</v>
      </c>
      <c r="JI53" s="536" t="s">
        <v>447</v>
      </c>
      <c r="JJ53" s="536" t="s">
        <v>447</v>
      </c>
      <c r="JK53" s="536" t="s">
        <v>433</v>
      </c>
      <c r="JL53" s="244">
        <v>12012000</v>
      </c>
      <c r="JM53" s="244">
        <v>0</v>
      </c>
      <c r="JN53" s="244">
        <v>0</v>
      </c>
      <c r="JO53" s="166">
        <f t="shared" si="48"/>
        <v>12012</v>
      </c>
      <c r="JP53" s="166">
        <f t="shared" si="49"/>
        <v>0</v>
      </c>
      <c r="JQ53" s="166">
        <f t="shared" si="50"/>
        <v>0</v>
      </c>
    </row>
    <row r="54" spans="35:277" x14ac:dyDescent="0.25">
      <c r="GQ54" s="671">
        <f>SUM(GQ3:GQ53)</f>
        <v>9893319.7506299969</v>
      </c>
      <c r="GR54" s="671">
        <f>SUM(GR3:GR53)</f>
        <v>5722484.9296050007</v>
      </c>
      <c r="GS54" s="671">
        <f>SUM(GS3:GS53)</f>
        <v>3809358.3682840005</v>
      </c>
      <c r="HH54" s="725" t="s">
        <v>452</v>
      </c>
      <c r="HI54" s="725" t="s">
        <v>128</v>
      </c>
      <c r="HJ54" s="725" t="s">
        <v>447</v>
      </c>
      <c r="HK54" s="726" t="s">
        <v>447</v>
      </c>
      <c r="HL54" s="726" t="s">
        <v>433</v>
      </c>
      <c r="HM54" s="355">
        <v>958943000</v>
      </c>
      <c r="HN54" s="355">
        <v>0</v>
      </c>
      <c r="HO54" s="355">
        <v>0</v>
      </c>
      <c r="HP54" s="724">
        <f t="shared" si="40"/>
        <v>958943</v>
      </c>
      <c r="HQ54" s="724">
        <f t="shared" si="41"/>
        <v>0</v>
      </c>
      <c r="HR54" s="724">
        <f t="shared" si="42"/>
        <v>0</v>
      </c>
      <c r="II54" s="350" t="s">
        <v>674</v>
      </c>
      <c r="IJ54" s="350" t="s">
        <v>675</v>
      </c>
      <c r="IK54" s="350" t="s">
        <v>447</v>
      </c>
      <c r="IL54" s="350" t="s">
        <v>447</v>
      </c>
      <c r="IM54" s="638" t="s">
        <v>433</v>
      </c>
      <c r="IN54" s="244">
        <v>22039500</v>
      </c>
      <c r="IO54" s="244">
        <v>0</v>
      </c>
      <c r="IP54" s="244">
        <v>0</v>
      </c>
      <c r="IQ54" s="756">
        <f>+IN54/$IT$2*$IU$2</f>
        <v>22039.5</v>
      </c>
      <c r="IR54" s="756">
        <f t="shared" si="45"/>
        <v>0</v>
      </c>
      <c r="IS54" s="756">
        <f t="shared" si="46"/>
        <v>0</v>
      </c>
      <c r="JG54" s="536" t="s">
        <v>672</v>
      </c>
      <c r="JH54" s="536" t="s">
        <v>673</v>
      </c>
      <c r="JI54" s="536" t="s">
        <v>447</v>
      </c>
      <c r="JJ54" s="536" t="s">
        <v>447</v>
      </c>
      <c r="JK54" s="536" t="s">
        <v>433</v>
      </c>
      <c r="JL54" s="244">
        <v>0</v>
      </c>
      <c r="JM54" s="244">
        <v>12012000</v>
      </c>
      <c r="JN54" s="244">
        <v>12012000</v>
      </c>
      <c r="JO54" s="166">
        <f t="shared" si="48"/>
        <v>0</v>
      </c>
      <c r="JP54" s="166">
        <f t="shared" si="49"/>
        <v>12012</v>
      </c>
      <c r="JQ54" s="166">
        <f t="shared" si="50"/>
        <v>12012</v>
      </c>
    </row>
    <row r="55" spans="35:277" x14ac:dyDescent="0.25">
      <c r="HH55" s="725" t="s">
        <v>452</v>
      </c>
      <c r="HI55" s="725" t="s">
        <v>128</v>
      </c>
      <c r="HJ55" s="725" t="s">
        <v>447</v>
      </c>
      <c r="HK55" s="726" t="s">
        <v>447</v>
      </c>
      <c r="HL55" s="726" t="s">
        <v>433</v>
      </c>
      <c r="HM55" s="355">
        <v>0</v>
      </c>
      <c r="HN55" s="355">
        <v>957817526</v>
      </c>
      <c r="HO55" s="355">
        <v>957817526</v>
      </c>
      <c r="HP55" s="724">
        <f t="shared" si="40"/>
        <v>0</v>
      </c>
      <c r="HQ55" s="724">
        <f t="shared" si="41"/>
        <v>957817.52599999995</v>
      </c>
      <c r="HR55" s="724">
        <f t="shared" si="42"/>
        <v>957817.52599999995</v>
      </c>
      <c r="II55" s="350" t="s">
        <v>674</v>
      </c>
      <c r="IJ55" s="350" t="s">
        <v>675</v>
      </c>
      <c r="IK55" s="350" t="s">
        <v>447</v>
      </c>
      <c r="IL55" s="350" t="s">
        <v>447</v>
      </c>
      <c r="IM55" s="638" t="s">
        <v>433</v>
      </c>
      <c r="IN55" s="244">
        <v>0</v>
      </c>
      <c r="IO55" s="244">
        <v>22039500</v>
      </c>
      <c r="IP55" s="244">
        <v>0</v>
      </c>
      <c r="IQ55" s="756">
        <f t="shared" ref="IQ55:IQ57" si="55">+IN55/$IT$2*$IU$2</f>
        <v>0</v>
      </c>
      <c r="IR55" s="756">
        <f t="shared" ref="IR55:IR57" si="56">+IO55/$IT$2*$IU$2</f>
        <v>22039.5</v>
      </c>
      <c r="IS55" s="756">
        <f t="shared" ref="IS55:IS57" si="57">+IP55/$IT$2*$IU$2</f>
        <v>0</v>
      </c>
      <c r="JG55" s="536" t="s">
        <v>674</v>
      </c>
      <c r="JH55" s="536" t="s">
        <v>675</v>
      </c>
      <c r="JI55" s="536" t="s">
        <v>447</v>
      </c>
      <c r="JJ55" s="536" t="s">
        <v>447</v>
      </c>
      <c r="JK55" s="536" t="s">
        <v>433</v>
      </c>
      <c r="JL55" s="244">
        <v>22039500</v>
      </c>
      <c r="JM55" s="244">
        <v>0</v>
      </c>
      <c r="JN55" s="244">
        <v>0</v>
      </c>
      <c r="JO55" s="166">
        <f t="shared" si="48"/>
        <v>22039.5</v>
      </c>
      <c r="JP55" s="166">
        <f t="shared" si="49"/>
        <v>0</v>
      </c>
      <c r="JQ55" s="166">
        <f t="shared" si="50"/>
        <v>0</v>
      </c>
    </row>
    <row r="56" spans="35:277" x14ac:dyDescent="0.25">
      <c r="II56" s="350" t="s">
        <v>452</v>
      </c>
      <c r="IJ56" s="350" t="s">
        <v>128</v>
      </c>
      <c r="IK56" s="350" t="s">
        <v>447</v>
      </c>
      <c r="IL56" s="350" t="s">
        <v>447</v>
      </c>
      <c r="IM56" s="638" t="s">
        <v>433</v>
      </c>
      <c r="IN56" s="244">
        <v>958943000</v>
      </c>
      <c r="IO56" s="244">
        <v>0</v>
      </c>
      <c r="IP56" s="244">
        <v>0</v>
      </c>
      <c r="IQ56" s="756">
        <f t="shared" si="55"/>
        <v>958943</v>
      </c>
      <c r="IR56" s="756">
        <f t="shared" si="56"/>
        <v>0</v>
      </c>
      <c r="IS56" s="756">
        <f t="shared" si="57"/>
        <v>0</v>
      </c>
      <c r="JG56" s="536" t="s">
        <v>674</v>
      </c>
      <c r="JH56" s="536" t="s">
        <v>675</v>
      </c>
      <c r="JI56" s="536" t="s">
        <v>447</v>
      </c>
      <c r="JJ56" s="536" t="s">
        <v>447</v>
      </c>
      <c r="JK56" s="536" t="s">
        <v>433</v>
      </c>
      <c r="JL56" s="244">
        <v>0</v>
      </c>
      <c r="JM56" s="244">
        <v>22039500</v>
      </c>
      <c r="JN56" s="244">
        <v>22039500</v>
      </c>
      <c r="JO56" s="166">
        <f t="shared" si="48"/>
        <v>0</v>
      </c>
      <c r="JP56" s="166">
        <f t="shared" si="49"/>
        <v>22039.5</v>
      </c>
      <c r="JQ56" s="166">
        <f t="shared" si="50"/>
        <v>22039.5</v>
      </c>
    </row>
    <row r="57" spans="35:277" x14ac:dyDescent="0.25">
      <c r="II57" s="350" t="s">
        <v>452</v>
      </c>
      <c r="IJ57" s="350" t="s">
        <v>128</v>
      </c>
      <c r="IK57" s="350" t="s">
        <v>447</v>
      </c>
      <c r="IL57" s="350" t="s">
        <v>447</v>
      </c>
      <c r="IM57" s="638" t="s">
        <v>433</v>
      </c>
      <c r="IN57" s="244">
        <v>0</v>
      </c>
      <c r="IO57" s="244">
        <v>957817526</v>
      </c>
      <c r="IP57" s="244">
        <v>957817526</v>
      </c>
      <c r="IQ57" s="756">
        <f t="shared" si="55"/>
        <v>0</v>
      </c>
      <c r="IR57" s="756">
        <f t="shared" si="56"/>
        <v>957817.52599999995</v>
      </c>
      <c r="IS57" s="756">
        <f t="shared" si="57"/>
        <v>957817.52599999995</v>
      </c>
      <c r="JG57" s="536" t="s">
        <v>452</v>
      </c>
      <c r="JH57" s="536" t="s">
        <v>128</v>
      </c>
      <c r="JI57" s="536" t="s">
        <v>447</v>
      </c>
      <c r="JJ57" s="536" t="s">
        <v>447</v>
      </c>
      <c r="JK57" s="536" t="s">
        <v>433</v>
      </c>
      <c r="JL57" s="244">
        <v>958943000</v>
      </c>
      <c r="JM57" s="244">
        <v>0</v>
      </c>
      <c r="JN57" s="244">
        <v>0</v>
      </c>
      <c r="JO57" s="166">
        <f t="shared" si="48"/>
        <v>958943</v>
      </c>
      <c r="JP57" s="166">
        <f t="shared" si="49"/>
        <v>0</v>
      </c>
      <c r="JQ57" s="166">
        <f t="shared" si="50"/>
        <v>0</v>
      </c>
    </row>
    <row r="58" spans="35:277" x14ac:dyDescent="0.25">
      <c r="JG58" s="536" t="s">
        <v>452</v>
      </c>
      <c r="JH58" s="536" t="s">
        <v>128</v>
      </c>
      <c r="JI58" s="536" t="s">
        <v>447</v>
      </c>
      <c r="JJ58" s="536" t="s">
        <v>447</v>
      </c>
      <c r="JK58" s="536" t="s">
        <v>433</v>
      </c>
      <c r="JL58" s="244">
        <v>0</v>
      </c>
      <c r="JM58" s="244">
        <v>957817526</v>
      </c>
      <c r="JN58" s="244">
        <v>957817526</v>
      </c>
      <c r="JO58" s="166">
        <f>+JL58/$JR$2*$JS$2</f>
        <v>0</v>
      </c>
      <c r="JP58" s="166">
        <f t="shared" si="49"/>
        <v>957817.52599999995</v>
      </c>
      <c r="JQ58" s="166">
        <f t="shared" si="50"/>
        <v>957817.52599999995</v>
      </c>
    </row>
    <row r="59" spans="35:277" x14ac:dyDescent="0.25">
      <c r="JO59" s="283">
        <f>SUM(JO3:JO58)</f>
        <v>8729127.0099999998</v>
      </c>
      <c r="JP59" s="283">
        <f t="shared" ref="JP59:JQ59" si="58">SUM(JP3:JP58)</f>
        <v>8121737.9349999996</v>
      </c>
      <c r="JQ59" s="283">
        <f t="shared" si="58"/>
        <v>8045530.5429999996</v>
      </c>
    </row>
    <row r="61" spans="35:277" x14ac:dyDescent="0.25">
      <c r="JO61" s="48"/>
      <c r="JP61" s="283"/>
      <c r="JQ61" s="283"/>
    </row>
  </sheetData>
  <autoFilter ref="GI2:GT53"/>
  <mergeCells count="23">
    <mergeCell ref="IW1:JC1"/>
    <mergeCell ref="JG1:JQ1"/>
    <mergeCell ref="A1:G1"/>
    <mergeCell ref="L1:Q1"/>
    <mergeCell ref="U1:Z1"/>
    <mergeCell ref="AD1:AJ1"/>
    <mergeCell ref="AN1:AR1"/>
    <mergeCell ref="HW1:IG1"/>
    <mergeCell ref="II1:IS1"/>
    <mergeCell ref="AW1:BF1"/>
    <mergeCell ref="BK1:BO1"/>
    <mergeCell ref="DV1:EF1"/>
    <mergeCell ref="EI1:EU1"/>
    <mergeCell ref="CV1:DE1"/>
    <mergeCell ref="DI1:DR1"/>
    <mergeCell ref="BT1:CF1"/>
    <mergeCell ref="CH1:CT1"/>
    <mergeCell ref="GX1:HF1"/>
    <mergeCell ref="HH1:HR1"/>
    <mergeCell ref="FY1:GE1"/>
    <mergeCell ref="GI1:GT1"/>
    <mergeCell ref="EW1:FG1"/>
    <mergeCell ref="FK1:FU1"/>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9A46"/>
    <pageSetUpPr fitToPage="1"/>
  </sheetPr>
  <dimension ref="A1:AW94"/>
  <sheetViews>
    <sheetView topLeftCell="A3" zoomScale="80" zoomScaleNormal="80" workbookViewId="0">
      <pane xSplit="1" ySplit="8" topLeftCell="B11" activePane="bottomRight" state="frozen"/>
      <selection activeCell="H72" sqref="H72"/>
      <selection pane="topRight" activeCell="H72" sqref="H72"/>
      <selection pane="bottomLeft" activeCell="H72" sqref="H72"/>
      <selection pane="bottomRight" activeCell="K11" sqref="K11"/>
    </sheetView>
  </sheetViews>
  <sheetFormatPr baseColWidth="10" defaultColWidth="11.42578125" defaultRowHeight="12.75" x14ac:dyDescent="0.2"/>
  <cols>
    <col min="1" max="1" width="4.28515625" style="76" customWidth="1"/>
    <col min="2" max="2" width="5.7109375" style="43" customWidth="1"/>
    <col min="3" max="3" width="6.28515625" style="44" bestFit="1" customWidth="1"/>
    <col min="4" max="4" width="5.7109375" style="45" customWidth="1"/>
    <col min="5" max="5" width="7.7109375" style="46" hidden="1" customWidth="1"/>
    <col min="6" max="6" width="14.7109375" style="614" hidden="1" customWidth="1"/>
    <col min="7" max="7" width="82.7109375" style="47" customWidth="1"/>
    <col min="8" max="10" width="19.7109375" style="35" customWidth="1"/>
    <col min="11" max="11" width="19.7109375" style="232" customWidth="1"/>
    <col min="12" max="12" width="19.7109375" style="65" hidden="1" customWidth="1"/>
    <col min="13" max="13" width="19.7109375" style="35" hidden="1" customWidth="1"/>
    <col min="14" max="14" width="19.7109375" style="225" hidden="1" customWidth="1"/>
    <col min="15" max="15" width="19.7109375" style="650" hidden="1" customWidth="1"/>
    <col min="16" max="18" width="19.7109375" style="35" customWidth="1"/>
    <col min="19" max="19" width="17.28515625" style="897" hidden="1" customWidth="1"/>
    <col min="20" max="32" width="17.28515625" style="35" hidden="1" customWidth="1"/>
    <col min="33" max="34" width="19.7109375" style="35" hidden="1" customWidth="1"/>
    <col min="35" max="39" width="22.140625" style="35" hidden="1" customWidth="1"/>
    <col min="40" max="40" width="5.7109375" style="233" customWidth="1"/>
    <col min="41" max="41" width="13.28515625" style="76" customWidth="1"/>
    <col min="42" max="42" width="28.85546875" style="76" customWidth="1"/>
    <col min="43" max="43" width="12.7109375" style="76" hidden="1" customWidth="1"/>
    <col min="44" max="44" width="38.5703125" style="76" hidden="1" customWidth="1"/>
    <col min="45" max="45" width="11.85546875" style="76" customWidth="1"/>
    <col min="46" max="47" width="11.42578125" style="76"/>
    <col min="48" max="16384" width="11.42578125" style="36"/>
  </cols>
  <sheetData>
    <row r="1" spans="2:49" s="76" customFormat="1" ht="20.100000000000001" customHeight="1" x14ac:dyDescent="0.2">
      <c r="B1" s="43"/>
      <c r="C1" s="44"/>
      <c r="D1" s="45"/>
      <c r="E1" s="46"/>
      <c r="F1" s="614"/>
      <c r="G1" s="47"/>
      <c r="H1" s="35"/>
      <c r="I1" s="35"/>
      <c r="J1" s="35"/>
      <c r="K1" s="232"/>
      <c r="L1" s="65"/>
      <c r="M1" s="35"/>
      <c r="N1" s="225"/>
      <c r="O1" s="650"/>
      <c r="P1" s="35"/>
      <c r="Q1" s="35"/>
      <c r="R1" s="35"/>
      <c r="S1" s="897"/>
      <c r="T1" s="35"/>
      <c r="U1" s="35"/>
      <c r="V1" s="35"/>
      <c r="W1" s="35"/>
      <c r="X1" s="35"/>
      <c r="Y1" s="35"/>
      <c r="Z1" s="35"/>
      <c r="AA1" s="35"/>
      <c r="AB1" s="35"/>
      <c r="AC1" s="35"/>
      <c r="AD1" s="35"/>
      <c r="AE1" s="35"/>
      <c r="AF1" s="35"/>
      <c r="AG1" s="35"/>
      <c r="AH1" s="35"/>
      <c r="AI1" s="35"/>
      <c r="AJ1" s="35"/>
      <c r="AK1" s="35"/>
      <c r="AL1" s="35"/>
      <c r="AM1" s="35"/>
      <c r="AN1" s="233"/>
    </row>
    <row r="2" spans="2:49" s="76" customFormat="1" ht="120" customHeight="1" x14ac:dyDescent="0.25">
      <c r="B2" s="318"/>
      <c r="C2" s="319"/>
      <c r="D2" s="320"/>
      <c r="E2" s="321"/>
      <c r="F2" s="608"/>
      <c r="I2" s="55"/>
      <c r="J2" s="55"/>
      <c r="K2" s="322"/>
      <c r="L2" s="337"/>
      <c r="M2" s="55"/>
      <c r="N2" s="338"/>
      <c r="O2" s="651"/>
      <c r="P2" s="538"/>
      <c r="Q2" s="538"/>
      <c r="R2" s="538"/>
      <c r="S2" s="898"/>
      <c r="T2" s="55"/>
      <c r="U2" s="55"/>
      <c r="V2" s="55"/>
      <c r="W2" s="55"/>
      <c r="X2" s="55"/>
      <c r="Y2" s="55"/>
      <c r="Z2" s="55"/>
      <c r="AA2" s="55"/>
      <c r="AB2" s="55"/>
      <c r="AC2" s="55"/>
      <c r="AD2" s="55"/>
      <c r="AE2" s="55"/>
      <c r="AF2" s="55"/>
      <c r="AG2" s="55"/>
      <c r="AH2" s="538"/>
      <c r="AI2" s="538"/>
      <c r="AJ2" s="607"/>
      <c r="AK2" s="55"/>
      <c r="AL2" s="55"/>
      <c r="AM2" s="55"/>
      <c r="AN2" s="233"/>
    </row>
    <row r="3" spans="2:49" s="1771" customFormat="1" ht="19.5" customHeight="1" thickBot="1" x14ac:dyDescent="0.25"/>
    <row r="4" spans="2:49" s="303" customFormat="1" ht="25.5" customHeight="1" thickBot="1" x14ac:dyDescent="0.35">
      <c r="B4" s="1794" t="s">
        <v>850</v>
      </c>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c r="AD4" s="1795"/>
      <c r="AE4" s="1795"/>
      <c r="AF4" s="1795"/>
      <c r="AG4" s="1795"/>
      <c r="AH4" s="1795"/>
      <c r="AI4" s="1795"/>
      <c r="AJ4" s="1795"/>
      <c r="AK4" s="1795"/>
      <c r="AL4" s="749"/>
      <c r="AM4" s="754"/>
      <c r="AN4" s="555"/>
      <c r="AR4" s="1784"/>
    </row>
    <row r="5" spans="2:49" s="304" customFormat="1" ht="18" hidden="1" customHeight="1" x14ac:dyDescent="0.2">
      <c r="B5" s="621"/>
      <c r="C5" s="622"/>
      <c r="D5" s="622"/>
      <c r="E5" s="622"/>
      <c r="F5" s="622"/>
      <c r="G5" s="622"/>
      <c r="H5" s="622"/>
      <c r="I5" s="622"/>
      <c r="J5" s="622"/>
      <c r="K5" s="622"/>
      <c r="L5" s="622"/>
      <c r="M5" s="622"/>
      <c r="N5" s="622"/>
      <c r="O5" s="652"/>
      <c r="P5" s="622"/>
      <c r="Q5" s="622"/>
      <c r="R5" s="623"/>
      <c r="S5" s="899"/>
      <c r="T5" s="305"/>
      <c r="U5" s="305"/>
      <c r="V5" s="306"/>
      <c r="W5" s="306"/>
      <c r="X5" s="306"/>
      <c r="Y5" s="306"/>
      <c r="Z5" s="845"/>
      <c r="AA5" s="845"/>
      <c r="AB5" s="306"/>
      <c r="AC5" s="306"/>
      <c r="AD5" s="306"/>
      <c r="AE5" s="306"/>
      <c r="AF5" s="306"/>
      <c r="AG5" s="306"/>
      <c r="AH5" s="306"/>
      <c r="AI5" s="306"/>
      <c r="AJ5" s="306"/>
      <c r="AK5" s="306"/>
      <c r="AL5" s="306"/>
      <c r="AM5" s="306"/>
      <c r="AN5" s="556"/>
    </row>
    <row r="6" spans="2:49" s="304" customFormat="1" ht="21.75" hidden="1" customHeight="1" x14ac:dyDescent="0.25">
      <c r="B6" s="621"/>
      <c r="C6" s="622"/>
      <c r="D6" s="622"/>
      <c r="E6" s="622"/>
      <c r="F6" s="622"/>
      <c r="G6" s="622"/>
      <c r="H6" s="622"/>
      <c r="I6" s="622"/>
      <c r="J6" s="622"/>
      <c r="K6" s="622"/>
      <c r="L6" s="622"/>
      <c r="M6" s="622"/>
      <c r="N6" s="622"/>
      <c r="O6" s="652"/>
      <c r="P6" s="622"/>
      <c r="Q6" s="622"/>
      <c r="R6" s="623"/>
      <c r="S6" s="906" t="s">
        <v>273</v>
      </c>
      <c r="T6" s="306" t="s">
        <v>127</v>
      </c>
      <c r="U6" s="906" t="s">
        <v>273</v>
      </c>
      <c r="V6" s="306" t="s">
        <v>127</v>
      </c>
      <c r="W6" s="906" t="s">
        <v>273</v>
      </c>
      <c r="X6" s="306" t="s">
        <v>127</v>
      </c>
      <c r="Y6" s="906" t="s">
        <v>273</v>
      </c>
      <c r="Z6" s="306" t="s">
        <v>127</v>
      </c>
      <c r="AA6" s="906" t="s">
        <v>273</v>
      </c>
      <c r="AB6" s="306" t="s">
        <v>127</v>
      </c>
      <c r="AC6" s="906" t="s">
        <v>273</v>
      </c>
      <c r="AD6" s="306" t="s">
        <v>127</v>
      </c>
      <c r="AE6" s="306" t="s">
        <v>273</v>
      </c>
      <c r="AF6" s="306" t="s">
        <v>127</v>
      </c>
      <c r="AG6" s="306" t="s">
        <v>273</v>
      </c>
      <c r="AH6" s="306" t="s">
        <v>127</v>
      </c>
      <c r="AI6" s="306" t="s">
        <v>273</v>
      </c>
      <c r="AJ6" s="306" t="s">
        <v>127</v>
      </c>
      <c r="AK6" s="306"/>
      <c r="AL6" s="306"/>
      <c r="AM6" s="306"/>
      <c r="AN6" s="556"/>
    </row>
    <row r="7" spans="2:49" s="303" customFormat="1" ht="21" thickBot="1" x14ac:dyDescent="0.35">
      <c r="B7" s="1916" t="s">
        <v>143</v>
      </c>
      <c r="C7" s="1917"/>
      <c r="D7" s="1917"/>
      <c r="E7" s="1917"/>
      <c r="F7" s="1917"/>
      <c r="G7" s="1917"/>
      <c r="H7" s="1917"/>
      <c r="I7" s="1917"/>
      <c r="J7" s="1917"/>
      <c r="K7" s="1917"/>
      <c r="L7" s="1917"/>
      <c r="M7" s="1917"/>
      <c r="N7" s="1917"/>
      <c r="O7" s="1917"/>
      <c r="P7" s="1917"/>
      <c r="Q7" s="1917"/>
      <c r="R7" s="1917"/>
      <c r="S7" s="1917"/>
      <c r="T7" s="1917"/>
      <c r="U7" s="1917"/>
      <c r="V7" s="1917"/>
      <c r="W7" s="1917"/>
      <c r="X7" s="1917"/>
      <c r="Y7" s="1917"/>
      <c r="Z7" s="1917"/>
      <c r="AA7" s="1917"/>
      <c r="AB7" s="1917"/>
      <c r="AC7" s="1917"/>
      <c r="AD7" s="1917"/>
      <c r="AE7" s="1917"/>
      <c r="AF7" s="1917"/>
      <c r="AG7" s="1917"/>
      <c r="AH7" s="1917"/>
      <c r="AI7" s="1917"/>
      <c r="AJ7" s="1917"/>
      <c r="AK7" s="1917"/>
      <c r="AL7" s="351"/>
      <c r="AM7" s="755"/>
      <c r="AN7" s="558"/>
    </row>
    <row r="8" spans="2:49" ht="18.75" thickBot="1" x14ac:dyDescent="0.3">
      <c r="B8" s="1892" t="s">
        <v>283</v>
      </c>
      <c r="C8" s="1893"/>
      <c r="D8" s="1893"/>
      <c r="E8" s="1893"/>
      <c r="F8" s="1893"/>
      <c r="G8" s="1893"/>
      <c r="H8" s="1920" t="s">
        <v>942</v>
      </c>
      <c r="I8" s="1901"/>
      <c r="J8" s="1901"/>
      <c r="K8" s="1901"/>
      <c r="L8" s="1901"/>
      <c r="M8" s="1901"/>
      <c r="N8" s="1901"/>
      <c r="O8" s="1902"/>
      <c r="P8" s="1896" t="s">
        <v>707</v>
      </c>
      <c r="Q8" s="1897"/>
      <c r="R8" s="1898"/>
      <c r="S8" s="1878"/>
      <c r="T8" s="1879"/>
      <c r="U8" s="1879"/>
      <c r="V8" s="1879"/>
      <c r="W8" s="1879"/>
      <c r="X8" s="1879"/>
      <c r="Y8" s="1879"/>
      <c r="Z8" s="1879"/>
      <c r="AA8" s="1921"/>
      <c r="AB8" s="1921"/>
      <c r="AC8" s="1921"/>
      <c r="AD8" s="1879"/>
      <c r="AE8" s="1879"/>
      <c r="AF8" s="1879"/>
      <c r="AG8" s="1921"/>
      <c r="AH8" s="1921"/>
      <c r="AI8" s="1921"/>
      <c r="AJ8" s="1879"/>
      <c r="AK8" s="1879"/>
      <c r="AL8" s="1879"/>
      <c r="AM8" s="1882"/>
      <c r="AN8" s="558"/>
    </row>
    <row r="9" spans="2:49" ht="16.5" thickBot="1" x14ac:dyDescent="0.3">
      <c r="B9" s="1894"/>
      <c r="C9" s="1895"/>
      <c r="D9" s="1895"/>
      <c r="E9" s="1895"/>
      <c r="F9" s="1895"/>
      <c r="G9" s="1895"/>
      <c r="H9" s="63" t="s">
        <v>130</v>
      </c>
      <c r="I9" s="50" t="s">
        <v>131</v>
      </c>
      <c r="J9" s="51" t="s">
        <v>132</v>
      </c>
      <c r="K9" s="50" t="s">
        <v>133</v>
      </c>
      <c r="L9" s="50" t="s">
        <v>789</v>
      </c>
      <c r="M9" s="198" t="s">
        <v>791</v>
      </c>
      <c r="N9" s="226" t="s">
        <v>790</v>
      </c>
      <c r="O9" s="653" t="s">
        <v>792</v>
      </c>
      <c r="P9" s="52" t="s">
        <v>130</v>
      </c>
      <c r="Q9" s="68" t="s">
        <v>131</v>
      </c>
      <c r="R9" s="52" t="s">
        <v>134</v>
      </c>
      <c r="S9" s="1922" t="s">
        <v>0</v>
      </c>
      <c r="T9" s="1923"/>
      <c r="U9" s="1924" t="s">
        <v>137</v>
      </c>
      <c r="V9" s="1925"/>
      <c r="W9" s="1924" t="s">
        <v>6</v>
      </c>
      <c r="X9" s="1926"/>
      <c r="Y9" s="1924" t="s">
        <v>7</v>
      </c>
      <c r="Z9" s="1926"/>
      <c r="AA9" s="1927" t="s">
        <v>8</v>
      </c>
      <c r="AB9" s="1928"/>
      <c r="AC9" s="1924" t="s">
        <v>9</v>
      </c>
      <c r="AD9" s="1925"/>
      <c r="AE9" s="1924" t="s">
        <v>79</v>
      </c>
      <c r="AF9" s="1926"/>
      <c r="AG9" s="1927" t="s">
        <v>10</v>
      </c>
      <c r="AH9" s="1928"/>
      <c r="AI9" s="1924" t="s">
        <v>11</v>
      </c>
      <c r="AJ9" s="1925"/>
      <c r="AK9" s="1465" t="s">
        <v>12</v>
      </c>
      <c r="AL9" s="1464" t="s">
        <v>13</v>
      </c>
      <c r="AM9" s="846" t="s">
        <v>14</v>
      </c>
    </row>
    <row r="10" spans="2:49" ht="57" customHeight="1" thickBot="1" x14ac:dyDescent="0.25">
      <c r="B10" s="1918"/>
      <c r="C10" s="1919"/>
      <c r="D10" s="1919"/>
      <c r="E10" s="1919"/>
      <c r="F10" s="1919"/>
      <c r="G10" s="1919"/>
      <c r="H10" s="345" t="s">
        <v>944</v>
      </c>
      <c r="I10" s="365" t="s">
        <v>943</v>
      </c>
      <c r="J10" s="346" t="s">
        <v>1059</v>
      </c>
      <c r="K10" s="496" t="s">
        <v>1060</v>
      </c>
      <c r="L10" s="265" t="s">
        <v>814</v>
      </c>
      <c r="M10" s="265" t="s">
        <v>813</v>
      </c>
      <c r="N10" s="265" t="s">
        <v>811</v>
      </c>
      <c r="O10" s="654" t="s">
        <v>812</v>
      </c>
      <c r="P10" s="576" t="s">
        <v>1061</v>
      </c>
      <c r="Q10" s="577" t="s">
        <v>1065</v>
      </c>
      <c r="R10" s="1321" t="s">
        <v>1063</v>
      </c>
      <c r="S10" s="978" t="s">
        <v>941</v>
      </c>
      <c r="T10" s="126" t="s">
        <v>709</v>
      </c>
      <c r="U10" s="978" t="s">
        <v>941</v>
      </c>
      <c r="V10" s="126" t="s">
        <v>709</v>
      </c>
      <c r="W10" s="1192" t="s">
        <v>941</v>
      </c>
      <c r="X10" s="1124" t="s">
        <v>709</v>
      </c>
      <c r="Y10" s="1198" t="s">
        <v>941</v>
      </c>
      <c r="Z10" s="1124" t="s">
        <v>709</v>
      </c>
      <c r="AA10" s="978" t="s">
        <v>941</v>
      </c>
      <c r="AB10" s="126" t="s">
        <v>709</v>
      </c>
      <c r="AC10" s="978" t="s">
        <v>941</v>
      </c>
      <c r="AD10" s="1307" t="s">
        <v>709</v>
      </c>
      <c r="AE10" s="373" t="s">
        <v>941</v>
      </c>
      <c r="AF10" s="1124" t="s">
        <v>709</v>
      </c>
      <c r="AG10" s="102" t="s">
        <v>941</v>
      </c>
      <c r="AH10" s="126" t="s">
        <v>709</v>
      </c>
      <c r="AI10" s="375" t="s">
        <v>941</v>
      </c>
      <c r="AJ10" s="126" t="s">
        <v>709</v>
      </c>
      <c r="AK10" s="375" t="s">
        <v>709</v>
      </c>
      <c r="AL10" s="300" t="s">
        <v>709</v>
      </c>
      <c r="AM10" s="220" t="s">
        <v>709</v>
      </c>
      <c r="AN10" s="619"/>
    </row>
    <row r="11" spans="2:49" s="374" customFormat="1" ht="30" customHeight="1" x14ac:dyDescent="0.25">
      <c r="B11" s="928" t="s">
        <v>91</v>
      </c>
      <c r="C11" s="929" t="s">
        <v>92</v>
      </c>
      <c r="D11" s="930" t="s">
        <v>93</v>
      </c>
      <c r="E11" s="930" t="s">
        <v>94</v>
      </c>
      <c r="F11" s="931"/>
      <c r="G11" s="932" t="s">
        <v>144</v>
      </c>
      <c r="H11" s="933">
        <f>+H12+H23+H26+H28+H30+H33+H54</f>
        <v>271469048</v>
      </c>
      <c r="I11" s="934">
        <f>+I12+I30+I33+I54+I56+I26+I23</f>
        <v>371478226</v>
      </c>
      <c r="J11" s="934">
        <f ca="1">+J12+J30+J33+J54+J56+J26+J23</f>
        <v>225251512.493</v>
      </c>
      <c r="K11" s="935">
        <f ca="1">IFERROR(J11/I11,"0.00%")</f>
        <v>0.60636531760814427</v>
      </c>
      <c r="L11" s="936">
        <f ca="1">+L12+L30+L33+L54+L56+L26+L23</f>
        <v>253919674.15099999</v>
      </c>
      <c r="M11" s="935">
        <f ca="1">+IFERROR(L11/I11,0)</f>
        <v>0.68353851283601208</v>
      </c>
      <c r="N11" s="937">
        <f ca="1">+I11-L11</f>
        <v>117558551.84900001</v>
      </c>
      <c r="O11" s="938">
        <f ca="1">+IFERROR(N11/I11,0)</f>
        <v>0.31646148716398792</v>
      </c>
      <c r="P11" s="933">
        <f>+P12+P23+P30+P33+P54+P56+P28+P26</f>
        <v>311956056.67399997</v>
      </c>
      <c r="Q11" s="934">
        <f ca="1">+Q12+Q23+Q28+Q30+Q33+Q54+Q26</f>
        <v>202008714.49826798</v>
      </c>
      <c r="R11" s="1322">
        <f ca="1">IFERROR(Q11/P11,"0.00%")</f>
        <v>0.64755503275697235</v>
      </c>
      <c r="S11" s="939">
        <f>+S12+S23+S26+S28+S30+S33+S54+S56</f>
        <v>5334671.1740000006</v>
      </c>
      <c r="T11" s="940">
        <f>+T12+T33+T54</f>
        <v>45245804.607412994</v>
      </c>
      <c r="U11" s="941">
        <f>+U12+U23+U26+U28+U30+U33+U54+U56</f>
        <v>66296129.201000005</v>
      </c>
      <c r="V11" s="941">
        <f>+V12+V33+V54</f>
        <v>12986226.269500999</v>
      </c>
      <c r="W11" s="1274">
        <f>+W14+W23+W26+W30+W33+W54</f>
        <v>7465288.9120000005</v>
      </c>
      <c r="X11" s="945">
        <f>+X14+X23+X26+X30+X33+X54</f>
        <v>36031620.538718998</v>
      </c>
      <c r="Y11" s="942">
        <f>+Y12+Y30+Y33+Y54+Y56</f>
        <v>28478710.311999999</v>
      </c>
      <c r="Z11" s="945">
        <f>+Z12+Z30+Z33+Z54+Z56</f>
        <v>6949511.290236</v>
      </c>
      <c r="AA11" s="1390">
        <f>+AA12+AA23+AA28+AA30+AA33+AA54</f>
        <v>12586873.036999999</v>
      </c>
      <c r="AB11" s="1391">
        <f>+AB12+AB23+AB28+AB30+AB33+AB54</f>
        <v>3238616.8548129997</v>
      </c>
      <c r="AC11" s="942">
        <f>+AC56+AC54+AC33+AC30+AC26+AC12</f>
        <v>14578758.630999997</v>
      </c>
      <c r="AD11" s="1444">
        <f>+AD56+AD54+AD33+AD30+AD26+AD12</f>
        <v>3441598.2397849998</v>
      </c>
      <c r="AE11" s="942">
        <f>+AE12+AE26+AE30+AE33+AE54</f>
        <v>45609995.25</v>
      </c>
      <c r="AF11" s="945">
        <f>+AF12+AF26+AF30+AF33+AF54</f>
        <v>15303721.047615997</v>
      </c>
      <c r="AG11" s="1390">
        <f>+AG12+AG23+AG28+AG30+AG33+AG54+AG56</f>
        <v>28635516.115999997</v>
      </c>
      <c r="AH11" s="1391">
        <f>+AH12+AH23+AH28+AH30+AH33+AH54+AH56</f>
        <v>71250308.604421988</v>
      </c>
      <c r="AI11" s="942">
        <f>+AI12+AI30+AI33+AI54+AI56</f>
        <v>16265569.860000001</v>
      </c>
      <c r="AJ11" s="1444">
        <f>+AJ12+AJ30+AJ33+AJ54+AJ56</f>
        <v>7561307.0457629999</v>
      </c>
      <c r="AK11" s="944">
        <f>+AK12+AK23+AK26+AK28+AK30+AK33+AK54+AK56</f>
        <v>14920395.665000001</v>
      </c>
      <c r="AL11" s="945">
        <f>+AL12+AL30+AL33+AL54+AL56+AL23</f>
        <v>55170938.167999998</v>
      </c>
      <c r="AM11" s="943">
        <f>+AM12+AM30+AM33+AM26+AM54+AM56+AM23+AM28</f>
        <v>57729162.658999994</v>
      </c>
      <c r="AN11" s="495"/>
      <c r="AO11" s="1233"/>
      <c r="AP11" s="1233"/>
      <c r="AQ11" s="1233"/>
      <c r="AR11" s="1233"/>
      <c r="AS11" s="1233"/>
      <c r="AT11" s="1233"/>
      <c r="AU11" s="1233"/>
      <c r="AV11" s="1233"/>
      <c r="AW11" s="1233"/>
    </row>
    <row r="12" spans="2:49" s="374" customFormat="1" ht="15" customHeight="1" x14ac:dyDescent="0.25">
      <c r="B12" s="407" t="s">
        <v>1</v>
      </c>
      <c r="C12" s="134" t="s">
        <v>2</v>
      </c>
      <c r="D12" s="129"/>
      <c r="E12" s="433"/>
      <c r="F12" s="907"/>
      <c r="G12" s="468" t="s">
        <v>148</v>
      </c>
      <c r="H12" s="403">
        <f>+H13+H14</f>
        <v>78685773</v>
      </c>
      <c r="I12" s="399">
        <f>+I13+I14</f>
        <v>78716756</v>
      </c>
      <c r="J12" s="399">
        <f ca="1">+J13+J14</f>
        <v>76509654.973000005</v>
      </c>
      <c r="K12" s="131">
        <f ca="1">IFERROR(J12/I12,"0.00%")</f>
        <v>0.97196148394377435</v>
      </c>
      <c r="L12" s="228">
        <f>+L13+L14</f>
        <v>76719736.240999997</v>
      </c>
      <c r="M12" s="231">
        <f>+IFERROR(L12/I12,0)</f>
        <v>0.97463030921904348</v>
      </c>
      <c r="N12" s="228">
        <f t="shared" ref="N12:N24" si="0">+I12-L12</f>
        <v>1997019.7590000033</v>
      </c>
      <c r="O12" s="655">
        <f t="shared" ref="O12:O56" si="1">+IFERROR(N12/I12,0)</f>
        <v>2.5369690780956515E-2</v>
      </c>
      <c r="P12" s="403">
        <f>+P13+P14</f>
        <v>80252361.740999997</v>
      </c>
      <c r="Q12" s="399">
        <f>+Q13+Q14</f>
        <v>77114432.624614984</v>
      </c>
      <c r="R12" s="1323">
        <f>IFERROR(Q12/P12,"0.00%")</f>
        <v>0.96089923027421786</v>
      </c>
      <c r="S12" s="900">
        <f>+S13+S14</f>
        <v>17155.245999999999</v>
      </c>
      <c r="T12" s="404">
        <f>+T14</f>
        <v>39103154.351951994</v>
      </c>
      <c r="U12" s="447">
        <f>+U14+U13</f>
        <v>55424035.535999998</v>
      </c>
      <c r="V12" s="447">
        <f>+V14</f>
        <v>7883841.8084349995</v>
      </c>
      <c r="W12" s="435">
        <f>+W13+W14</f>
        <v>144005.80899999998</v>
      </c>
      <c r="X12" s="402">
        <f>+X13+X14</f>
        <v>27821098.644977</v>
      </c>
      <c r="Y12" s="412">
        <f t="shared" ref="Y12:AD12" si="2">+Y14</f>
        <v>20071270.217</v>
      </c>
      <c r="Z12" s="411">
        <f t="shared" si="2"/>
        <v>107927.324377</v>
      </c>
      <c r="AA12" s="372">
        <f>+AA14+AA13</f>
        <v>203813.71300000005</v>
      </c>
      <c r="AB12" s="1245">
        <f>+AB14+AB13</f>
        <v>491318.14822500001</v>
      </c>
      <c r="AC12" s="412">
        <f t="shared" si="2"/>
        <v>78150.006999999998</v>
      </c>
      <c r="AD12" s="1245">
        <f t="shared" si="2"/>
        <v>204060.12693899998</v>
      </c>
      <c r="AE12" s="412">
        <f>+AE14</f>
        <v>283464.39600000001</v>
      </c>
      <c r="AF12" s="411">
        <f>+AF14</f>
        <v>138303.90151299999</v>
      </c>
      <c r="AG12" s="372">
        <f t="shared" ref="AG12:AL12" si="3">+AG13+AG14</f>
        <v>265261.00700000004</v>
      </c>
      <c r="AH12" s="1245">
        <f t="shared" si="3"/>
        <v>1231586.5381500002</v>
      </c>
      <c r="AI12" s="412">
        <f t="shared" si="3"/>
        <v>22499.042000000001</v>
      </c>
      <c r="AJ12" s="1245">
        <f t="shared" si="3"/>
        <v>133141.78004700001</v>
      </c>
      <c r="AK12" s="371">
        <f>+AK13+AK14</f>
        <v>670280.33799999999</v>
      </c>
      <c r="AL12" s="411">
        <f t="shared" si="3"/>
        <v>1880503.827</v>
      </c>
      <c r="AM12" s="471">
        <f>+AM14</f>
        <v>398964.17700000003</v>
      </c>
      <c r="AO12" s="1233"/>
      <c r="AP12" s="1233"/>
      <c r="AQ12" s="1233"/>
      <c r="AR12" s="1233"/>
      <c r="AS12" s="1233"/>
      <c r="AT12" s="1233"/>
      <c r="AU12" s="1233"/>
    </row>
    <row r="13" spans="2:49" s="374" customFormat="1" ht="15" hidden="1" customHeight="1" x14ac:dyDescent="0.25">
      <c r="B13" s="407" t="s">
        <v>2</v>
      </c>
      <c r="C13" s="134">
        <v>2</v>
      </c>
      <c r="D13" s="129"/>
      <c r="E13" s="130"/>
      <c r="F13" s="907"/>
      <c r="G13" s="468" t="s">
        <v>86</v>
      </c>
      <c r="H13" s="403">
        <v>0</v>
      </c>
      <c r="I13" s="399">
        <v>0</v>
      </c>
      <c r="J13" s="399">
        <v>0</v>
      </c>
      <c r="K13" s="131" t="str">
        <f>IFERROR(J13/I13,"0,00%")</f>
        <v>0,00%</v>
      </c>
      <c r="L13" s="228">
        <v>0</v>
      </c>
      <c r="M13" s="909">
        <f t="shared" ref="M13:M56" si="4">+IFERROR(L13/I13,0)</f>
        <v>0</v>
      </c>
      <c r="N13" s="228">
        <f t="shared" si="0"/>
        <v>0</v>
      </c>
      <c r="O13" s="655">
        <f t="shared" si="1"/>
        <v>0</v>
      </c>
      <c r="P13" s="403">
        <v>0</v>
      </c>
      <c r="Q13" s="399">
        <v>0</v>
      </c>
      <c r="R13" s="1323" t="str">
        <f t="shared" ref="R13:R56" si="5">IFERROR(Q13/P13,"0.00%")</f>
        <v>0.00%</v>
      </c>
      <c r="S13" s="900">
        <v>0</v>
      </c>
      <c r="T13" s="404">
        <v>0</v>
      </c>
      <c r="U13" s="447">
        <v>0</v>
      </c>
      <c r="V13" s="447">
        <v>0</v>
      </c>
      <c r="W13" s="435">
        <v>0</v>
      </c>
      <c r="X13" s="402">
        <v>0</v>
      </c>
      <c r="Y13" s="412">
        <v>0</v>
      </c>
      <c r="Z13" s="411">
        <v>0</v>
      </c>
      <c r="AA13" s="372">
        <v>0</v>
      </c>
      <c r="AB13" s="1245">
        <v>0</v>
      </c>
      <c r="AC13" s="412">
        <v>0</v>
      </c>
      <c r="AD13" s="1245">
        <v>0</v>
      </c>
      <c r="AE13" s="412">
        <v>0</v>
      </c>
      <c r="AF13" s="411">
        <v>0</v>
      </c>
      <c r="AG13" s="372">
        <v>0</v>
      </c>
      <c r="AH13" s="1245">
        <v>0</v>
      </c>
      <c r="AI13" s="412">
        <v>0</v>
      </c>
      <c r="AJ13" s="1245">
        <v>0</v>
      </c>
      <c r="AK13" s="371">
        <v>0</v>
      </c>
      <c r="AL13" s="412">
        <v>0</v>
      </c>
      <c r="AM13" s="471">
        <v>0</v>
      </c>
      <c r="AO13" s="1233"/>
      <c r="AP13" s="1233"/>
      <c r="AQ13" s="1233"/>
      <c r="AR13" s="1233"/>
      <c r="AS13" s="1233"/>
      <c r="AT13" s="1233"/>
      <c r="AU13" s="1233"/>
    </row>
    <row r="14" spans="2:49" s="374" customFormat="1" ht="15" customHeight="1" x14ac:dyDescent="0.25">
      <c r="B14" s="407" t="s">
        <v>2</v>
      </c>
      <c r="C14" s="134">
        <v>3</v>
      </c>
      <c r="D14" s="129"/>
      <c r="E14" s="130"/>
      <c r="F14" s="907"/>
      <c r="G14" s="468" t="s">
        <v>314</v>
      </c>
      <c r="H14" s="403">
        <f>+H16+H15</f>
        <v>78685773</v>
      </c>
      <c r="I14" s="399">
        <f>+I16+I15</f>
        <v>78716756</v>
      </c>
      <c r="J14" s="399">
        <f ca="1">+J16+J15</f>
        <v>76509654.973000005</v>
      </c>
      <c r="K14" s="131">
        <f t="shared" ref="K14:K56" ca="1" si="6">IFERROR(J14/I14,"0.00%")</f>
        <v>0.97196148394377435</v>
      </c>
      <c r="L14" s="399">
        <f>+L16+L15</f>
        <v>76719736.240999997</v>
      </c>
      <c r="M14" s="909">
        <f t="shared" si="4"/>
        <v>0.97463030921904348</v>
      </c>
      <c r="N14" s="228">
        <f t="shared" si="0"/>
        <v>1997019.7590000033</v>
      </c>
      <c r="O14" s="655">
        <f t="shared" si="1"/>
        <v>2.5369690780956515E-2</v>
      </c>
      <c r="P14" s="403">
        <f>+P16+P15</f>
        <v>80252361.740999997</v>
      </c>
      <c r="Q14" s="399">
        <f>+Q15+Q16</f>
        <v>77114432.624614984</v>
      </c>
      <c r="R14" s="1323">
        <f t="shared" si="5"/>
        <v>0.96089923027421786</v>
      </c>
      <c r="S14" s="901">
        <f>+S15+S16</f>
        <v>17155.245999999999</v>
      </c>
      <c r="T14" s="404">
        <f>+SUM(T15+T16)</f>
        <v>39103154.351951994</v>
      </c>
      <c r="U14" s="447">
        <f>+SUM(U15+U16)</f>
        <v>55424035.535999998</v>
      </c>
      <c r="V14" s="447">
        <f>+SUM(V15+V16)</f>
        <v>7883841.8084349995</v>
      </c>
      <c r="W14" s="435">
        <f>+W15+W16</f>
        <v>144005.80899999998</v>
      </c>
      <c r="X14" s="402">
        <f>+X15+X16</f>
        <v>27821098.644977</v>
      </c>
      <c r="Y14" s="412">
        <f>+Y16+Y15</f>
        <v>20071270.217</v>
      </c>
      <c r="Z14" s="411">
        <f>+Z16+Z15</f>
        <v>107927.324377</v>
      </c>
      <c r="AA14" s="372">
        <f>+AA16+AA15</f>
        <v>203813.71300000005</v>
      </c>
      <c r="AB14" s="1245">
        <f>+AB16+AB15</f>
        <v>491318.14822500001</v>
      </c>
      <c r="AC14" s="412">
        <f t="shared" ref="AC14:AM14" si="7">+AC15+AC16</f>
        <v>78150.006999999998</v>
      </c>
      <c r="AD14" s="1245">
        <f t="shared" si="7"/>
        <v>204060.12693899998</v>
      </c>
      <c r="AE14" s="412">
        <f t="shared" si="7"/>
        <v>283464.39600000001</v>
      </c>
      <c r="AF14" s="411">
        <f t="shared" si="7"/>
        <v>138303.90151299999</v>
      </c>
      <c r="AG14" s="372">
        <f t="shared" si="7"/>
        <v>265261.00700000004</v>
      </c>
      <c r="AH14" s="1245">
        <f t="shared" si="7"/>
        <v>1231586.5381500002</v>
      </c>
      <c r="AI14" s="412">
        <f>+AI15+AI16</f>
        <v>22499.042000000001</v>
      </c>
      <c r="AJ14" s="1245">
        <f t="shared" si="7"/>
        <v>133141.78004700001</v>
      </c>
      <c r="AK14" s="371">
        <f t="shared" si="7"/>
        <v>670280.33799999999</v>
      </c>
      <c r="AL14" s="412">
        <f>+AL15+AL16</f>
        <v>1880503.827</v>
      </c>
      <c r="AM14" s="471">
        <f t="shared" si="7"/>
        <v>398964.17700000003</v>
      </c>
      <c r="AO14" s="1233"/>
      <c r="AP14" s="1233"/>
      <c r="AQ14" s="1233"/>
      <c r="AR14" s="1233"/>
      <c r="AS14" s="1233"/>
      <c r="AT14" s="1233"/>
      <c r="AU14" s="1233"/>
    </row>
    <row r="15" spans="2:49" s="460" customFormat="1" ht="15" customHeight="1" x14ac:dyDescent="0.25">
      <c r="B15" s="757" t="s">
        <v>2</v>
      </c>
      <c r="C15" s="357"/>
      <c r="D15" s="1695">
        <v>403</v>
      </c>
      <c r="E15" s="1695"/>
      <c r="F15" s="1517" t="s">
        <v>219</v>
      </c>
      <c r="G15" s="1498" t="s">
        <v>220</v>
      </c>
      <c r="H15" s="1499">
        <f>+'P03 2023'!I3+'P03 2023'!I4</f>
        <v>74875016</v>
      </c>
      <c r="I15" s="1500">
        <f>+'P03 2023'!FK3+'P03 2023'!FK4</f>
        <v>74905999</v>
      </c>
      <c r="J15" s="442">
        <f ca="1">SUMIF(S$6:$AM6,"ok",S15:AL15)</f>
        <v>74905998.225000009</v>
      </c>
      <c r="K15" s="1501">
        <f t="shared" ca="1" si="6"/>
        <v>0.99999998965369929</v>
      </c>
      <c r="L15" s="1500">
        <f>+'P03 2023'!FL6+'P03 2023'!FL7</f>
        <v>74905998.224999994</v>
      </c>
      <c r="M15" s="910">
        <f t="shared" si="4"/>
        <v>0.99999998965369907</v>
      </c>
      <c r="N15" s="1502">
        <f t="shared" si="0"/>
        <v>0.77500000596046448</v>
      </c>
      <c r="O15" s="656">
        <f t="shared" si="1"/>
        <v>1.0346300914569799E-8</v>
      </c>
      <c r="P15" s="1503">
        <f>+'P03 2022'!GU3+'P03 2022'!GU4</f>
        <v>75042659.332000002</v>
      </c>
      <c r="Q15" s="1518">
        <f>SUMIF($S$6:$AM$6,"si",S15:AM15)</f>
        <v>74875001.303089991</v>
      </c>
      <c r="R15" s="1324">
        <f t="shared" si="5"/>
        <v>0.99776583039030819</v>
      </c>
      <c r="S15" s="1527">
        <f>+'P03 2023'!K3++'P03 2023'!K4</f>
        <v>0</v>
      </c>
      <c r="T15" s="1528">
        <f>+'P03 2022'!H6+'P03 2022'!H7</f>
        <v>39075410.723767996</v>
      </c>
      <c r="U15" s="1511">
        <f>+'P03 2023'!W4</f>
        <v>54954324</v>
      </c>
      <c r="V15" s="1511">
        <f>+'P03 2022'!R3</f>
        <v>7850172.8534859996</v>
      </c>
      <c r="W15" s="1512">
        <v>0</v>
      </c>
      <c r="X15" s="1513">
        <f>+'P03 2022'!AJ3</f>
        <v>27453674.995308999</v>
      </c>
      <c r="Y15" s="1512">
        <f>+'P03 2023'!BI3</f>
        <v>19920681.333000001</v>
      </c>
      <c r="Z15" s="1529">
        <v>0</v>
      </c>
      <c r="AA15" s="1530">
        <v>0</v>
      </c>
      <c r="AB15" s="1388">
        <f>+'P03 2022'!CD5</f>
        <v>453905.76330300001</v>
      </c>
      <c r="AC15" s="1531">
        <f>+'P03 2022'!DC4</f>
        <v>0</v>
      </c>
      <c r="AD15" s="1532">
        <f>+'P03 2022'!DD4</f>
        <v>41836.967223999993</v>
      </c>
      <c r="AE15" s="1526">
        <f>+'P03 2023'!DQ3</f>
        <v>30992.892</v>
      </c>
      <c r="AF15" s="1696">
        <v>0</v>
      </c>
      <c r="AG15" s="1700">
        <v>0</v>
      </c>
      <c r="AH15" s="1532">
        <v>0</v>
      </c>
      <c r="AI15" s="1531">
        <v>0</v>
      </c>
      <c r="AJ15" s="1532">
        <v>0</v>
      </c>
      <c r="AK15" s="1533">
        <v>0</v>
      </c>
      <c r="AL15" s="759">
        <f>+'P03 2022'!IM3</f>
        <v>157707.94500000001</v>
      </c>
      <c r="AM15" s="1534">
        <v>0</v>
      </c>
      <c r="AN15" s="495"/>
      <c r="AO15" s="1233"/>
      <c r="AP15" s="1233"/>
      <c r="AQ15" s="1233"/>
      <c r="AR15" s="1233"/>
      <c r="AS15" s="1233"/>
      <c r="AT15" s="1233"/>
      <c r="AU15" s="1233"/>
    </row>
    <row r="16" spans="2:49" s="392" customFormat="1" ht="15" customHeight="1" x14ac:dyDescent="0.25">
      <c r="B16" s="757" t="s">
        <v>2</v>
      </c>
      <c r="C16" s="357"/>
      <c r="D16" s="1695">
        <v>406</v>
      </c>
      <c r="E16" s="1695"/>
      <c r="F16" s="1517" t="s">
        <v>256</v>
      </c>
      <c r="G16" s="1498" t="s">
        <v>264</v>
      </c>
      <c r="H16" s="1503">
        <f>SUM(H17:H22)</f>
        <v>3810757</v>
      </c>
      <c r="I16" s="1500">
        <f>SUM(I17:I22)</f>
        <v>3810757</v>
      </c>
      <c r="J16" s="1500">
        <f ca="1">SUMIF(S$6:$AM7,"ok",S16:AL16)</f>
        <v>1603656.7479999997</v>
      </c>
      <c r="K16" s="912">
        <f t="shared" ca="1" si="6"/>
        <v>0.42082367046757369</v>
      </c>
      <c r="L16" s="1500">
        <f>SUM(L17:L22)</f>
        <v>1813738.0160000001</v>
      </c>
      <c r="M16" s="910">
        <f t="shared" si="4"/>
        <v>0.47595215753720327</v>
      </c>
      <c r="N16" s="1502">
        <f t="shared" si="0"/>
        <v>1997018.9839999999</v>
      </c>
      <c r="O16" s="656">
        <f t="shared" si="1"/>
        <v>0.52404784246279679</v>
      </c>
      <c r="P16" s="1504">
        <f>SUM(P17:P22)</f>
        <v>5209702.409</v>
      </c>
      <c r="Q16" s="1660">
        <f>+SUM(Q17:Q22)</f>
        <v>2239431.321525</v>
      </c>
      <c r="R16" s="1324">
        <f t="shared" si="5"/>
        <v>0.42985782021949653</v>
      </c>
      <c r="S16" s="1508">
        <f>SUM(S17:S22)</f>
        <v>17155.245999999999</v>
      </c>
      <c r="T16" s="1535">
        <f>+SUM(T17:T22)</f>
        <v>27743.628184000001</v>
      </c>
      <c r="U16" s="1536">
        <f>SUM(U17:U22)</f>
        <v>469711.53599999996</v>
      </c>
      <c r="V16" s="1536">
        <f t="shared" ref="V16:X16" si="8">+SUM(V17:V22)</f>
        <v>33668.954948999999</v>
      </c>
      <c r="W16" s="1537">
        <f>SUM(W17:W22)</f>
        <v>144005.80899999998</v>
      </c>
      <c r="X16" s="1529">
        <f t="shared" si="8"/>
        <v>367423.649668</v>
      </c>
      <c r="Y16" s="1537">
        <f>+SUM(Y17:Y22)</f>
        <v>150588.88400000002</v>
      </c>
      <c r="Z16" s="1529">
        <f>+SUM(Z17:Z22)</f>
        <v>107927.324377</v>
      </c>
      <c r="AA16" s="1530">
        <f>SUM(AA17:AA22)</f>
        <v>203813.71300000005</v>
      </c>
      <c r="AB16" s="1388">
        <f t="shared" ref="AB16:AF16" si="9">+SUM(AB17:AB22)</f>
        <v>37412.384921999997</v>
      </c>
      <c r="AC16" s="759">
        <f>SUM(AC17:AC22)</f>
        <v>78150.006999999998</v>
      </c>
      <c r="AD16" s="1388">
        <f>SUM(AD17:AD22)</f>
        <v>162223.15971499999</v>
      </c>
      <c r="AE16" s="1526">
        <f>+SUM(AE17:AE22)</f>
        <v>252471.50400000002</v>
      </c>
      <c r="AF16" s="1696">
        <f t="shared" si="9"/>
        <v>138303.90151299999</v>
      </c>
      <c r="AG16" s="1515">
        <f>+SUM(AG17:AG22)</f>
        <v>265261.00700000004</v>
      </c>
      <c r="AH16" s="1388">
        <f>+SUM(AH17:AH22)</f>
        <v>1231586.5381500002</v>
      </c>
      <c r="AI16" s="1537">
        <f>+SUM(AI17:AI22)</f>
        <v>22499.042000000001</v>
      </c>
      <c r="AJ16" s="1535">
        <f>+SUM(AJ17:AJ22)</f>
        <v>133141.78004700001</v>
      </c>
      <c r="AK16" s="1505">
        <f>SUM(AK17:AK22)</f>
        <v>670280.33799999999</v>
      </c>
      <c r="AL16" s="759">
        <f>SUM(AL17:AL22)</f>
        <v>1722795.882</v>
      </c>
      <c r="AM16" s="1534">
        <f>SUM(AM17:AM22)</f>
        <v>398964.17700000003</v>
      </c>
      <c r="AN16" s="495"/>
      <c r="AO16" s="1233"/>
      <c r="AP16" s="1233"/>
      <c r="AQ16" s="1233"/>
      <c r="AR16" s="1233"/>
      <c r="AS16" s="1233"/>
      <c r="AT16" s="1233"/>
      <c r="AU16" s="1233"/>
    </row>
    <row r="17" spans="2:47" s="374" customFormat="1" ht="15" hidden="1" customHeight="1" x14ac:dyDescent="0.25">
      <c r="B17" s="463"/>
      <c r="C17" s="142"/>
      <c r="D17" s="143"/>
      <c r="E17" s="143">
        <v>1</v>
      </c>
      <c r="F17" s="609" t="s">
        <v>722</v>
      </c>
      <c r="G17" s="550" t="s">
        <v>276</v>
      </c>
      <c r="H17" s="464">
        <f>+'P03 2023'!I5</f>
        <v>2653409</v>
      </c>
      <c r="I17" s="1445">
        <f>+'P03 2023'!FK8</f>
        <v>2653409</v>
      </c>
      <c r="J17" s="442">
        <f ca="1">SUMIF(S$6:$AM$6,"ok",S17:AL17)</f>
        <v>1440082.4759999998</v>
      </c>
      <c r="K17" s="1337">
        <f t="shared" ca="1" si="6"/>
        <v>0.54272917443183455</v>
      </c>
      <c r="L17" s="442">
        <f>+'P03 2023'!FL18</f>
        <v>1475807.6680000001</v>
      </c>
      <c r="M17" s="1338">
        <f t="shared" si="4"/>
        <v>0.55619305881603631</v>
      </c>
      <c r="N17" s="227">
        <f>+I17-L17</f>
        <v>1177601.3319999999</v>
      </c>
      <c r="O17" s="1339">
        <f t="shared" si="1"/>
        <v>0.44380694118396369</v>
      </c>
      <c r="P17" s="451">
        <f>+'P03 2022'!GU8</f>
        <v>4091319.2851749999</v>
      </c>
      <c r="Q17" s="774">
        <f>SUMIF($S$6:$AM$6,"SI",S17:AM17)</f>
        <v>1925155.0590029999</v>
      </c>
      <c r="R17" s="1336">
        <f t="shared" si="5"/>
        <v>0.47054627732889204</v>
      </c>
      <c r="S17" s="902">
        <f>+'P03 2023'!K5</f>
        <v>0</v>
      </c>
      <c r="T17" s="913">
        <v>0</v>
      </c>
      <c r="U17" s="1119">
        <f>+'P03 2023'!W5</f>
        <v>452855.08299999998</v>
      </c>
      <c r="V17" s="856">
        <v>0</v>
      </c>
      <c r="W17" s="854">
        <f>+'P03 2023'!AO8</f>
        <v>128681.308</v>
      </c>
      <c r="X17" s="1326">
        <f>+'P03 2022'!AI7</f>
        <v>322544.88136900001</v>
      </c>
      <c r="Y17" s="1330">
        <f>+'P03 2023'!BI6</f>
        <v>131599.99900000001</v>
      </c>
      <c r="Z17" s="1381">
        <f>+'P03 2022'!BC4</f>
        <v>93914.561799999996</v>
      </c>
      <c r="AA17" s="1385">
        <f>+'P03 2023'!CB8</f>
        <v>172441.073</v>
      </c>
      <c r="AB17" s="440">
        <f>+'P03 2022'!CD7</f>
        <v>24449</v>
      </c>
      <c r="AC17" s="441">
        <f>+'P03 2023'!CV5</f>
        <v>62100</v>
      </c>
      <c r="AD17" s="440">
        <f>+'P03 2022'!DD9</f>
        <v>63888.818246999996</v>
      </c>
      <c r="AE17" s="441">
        <f>+'P03 2023'!DQ6</f>
        <v>236557.755</v>
      </c>
      <c r="AF17" s="438">
        <f>+'P03 2022'!EE6</f>
        <v>115898.255389</v>
      </c>
      <c r="AG17" s="439">
        <f>+'P03 2023'!EI3</f>
        <v>249347.258</v>
      </c>
      <c r="AH17" s="440">
        <f>+'P03 2022'!FG6</f>
        <v>1214149.102095</v>
      </c>
      <c r="AI17" s="649">
        <f>+'P03 2023'!FB3</f>
        <v>6500</v>
      </c>
      <c r="AJ17" s="440">
        <f>+'P03 2022'!GI7</f>
        <v>90310.440103000001</v>
      </c>
      <c r="AK17" s="437">
        <f>+'P03 2022'!HK3</f>
        <v>652018.63500000001</v>
      </c>
      <c r="AL17" s="441">
        <f>+'P03 2022'!IM7</f>
        <v>1347412.858</v>
      </c>
      <c r="AM17" s="847">
        <f>+'P03 2022'!JK4</f>
        <v>190231.663</v>
      </c>
      <c r="AN17" s="620"/>
      <c r="AO17" s="1233"/>
      <c r="AP17" s="1233"/>
      <c r="AQ17" s="1233"/>
      <c r="AR17" s="1233"/>
      <c r="AS17" s="1233"/>
      <c r="AT17" s="1233"/>
      <c r="AU17" s="1233"/>
    </row>
    <row r="18" spans="2:47" s="374" customFormat="1" ht="15" hidden="1" customHeight="1" x14ac:dyDescent="0.25">
      <c r="B18" s="463"/>
      <c r="C18" s="142"/>
      <c r="D18" s="143"/>
      <c r="E18" s="143">
        <v>2</v>
      </c>
      <c r="F18" s="609" t="s">
        <v>723</v>
      </c>
      <c r="G18" s="550" t="s">
        <v>277</v>
      </c>
      <c r="H18" s="464">
        <f>+'P03 2023'!I8</f>
        <v>285477</v>
      </c>
      <c r="I18" s="442">
        <f>+'P03 2023'!FK11</f>
        <v>282477</v>
      </c>
      <c r="J18" s="442">
        <f ca="1">SUMIF(S$6:$AM$6,"ok",S18:AL18)</f>
        <v>146287.30599999998</v>
      </c>
      <c r="K18" s="1337">
        <f t="shared" ca="1" si="6"/>
        <v>0.51787333482017994</v>
      </c>
      <c r="L18" s="442">
        <f>+'P03 2023'!FL17</f>
        <v>226962.821</v>
      </c>
      <c r="M18" s="1338">
        <f t="shared" si="4"/>
        <v>0.80347363148150108</v>
      </c>
      <c r="N18" s="227">
        <f t="shared" si="0"/>
        <v>55514.179000000004</v>
      </c>
      <c r="O18" s="1339">
        <f t="shared" si="1"/>
        <v>0.19652636851849886</v>
      </c>
      <c r="P18" s="451">
        <f>+'P03 2022'!GU10</f>
        <v>335701.77799999999</v>
      </c>
      <c r="Q18" s="774">
        <f t="shared" ref="Q18:Q22" si="10">SUMIF($S$6:$AM$6,"SI",S18:AM18)</f>
        <v>192509.07145499997</v>
      </c>
      <c r="R18" s="1336">
        <f t="shared" si="5"/>
        <v>0.57345264181174516</v>
      </c>
      <c r="S18" s="902">
        <f>+'P03 2023'!K14</f>
        <v>17123.797999999999</v>
      </c>
      <c r="T18" s="913">
        <f>+'P03 2022'!H17</f>
        <v>27565.740449000001</v>
      </c>
      <c r="U18" s="1119">
        <f>+'P03 2023'!W6</f>
        <v>15923.798000000001</v>
      </c>
      <c r="V18" s="856">
        <f>+'P03 2022'!Q6</f>
        <v>27565.740449000001</v>
      </c>
      <c r="W18" s="854">
        <f>+'P03 2023'!AO5</f>
        <v>15162.027</v>
      </c>
      <c r="X18" s="1326">
        <f>+'P03 2022'!AI6</f>
        <v>27312.285107</v>
      </c>
      <c r="Y18" s="1330">
        <f>+'P03 2023'!BI4</f>
        <v>18326.22</v>
      </c>
      <c r="Z18" s="1381">
        <f>+'P03 2022'!BC3</f>
        <v>14012.762577</v>
      </c>
      <c r="AA18" s="1385">
        <f>+'P03 2023'!CB4</f>
        <v>16155.814</v>
      </c>
      <c r="AB18" s="440">
        <f>+'P03 2022'!CD8</f>
        <v>12963.384921999999</v>
      </c>
      <c r="AC18" s="441">
        <f>+'P03 2023'!CV3</f>
        <v>15884.821</v>
      </c>
      <c r="AD18" s="440">
        <f>+'P03 2022'!DD6</f>
        <v>22250.116468</v>
      </c>
      <c r="AE18" s="441">
        <f>+'P03 2023'!DQ4</f>
        <v>15884.821</v>
      </c>
      <c r="AF18" s="438">
        <f>+'P03 2022'!EE5</f>
        <v>22350.735796000001</v>
      </c>
      <c r="AG18" s="439">
        <f>+'P03 2023'!EI5</f>
        <v>15884.821</v>
      </c>
      <c r="AH18" s="440">
        <f>+'P03 2022'!FG7</f>
        <v>17382.525727</v>
      </c>
      <c r="AI18" s="649">
        <f>+'P03 2023'!FB5</f>
        <v>15941.186</v>
      </c>
      <c r="AJ18" s="440">
        <f>+'P03 2022'!GI5</f>
        <v>21105.779959999996</v>
      </c>
      <c r="AK18" s="437">
        <f>+'P03 2022'!HK4</f>
        <v>18145.475999999999</v>
      </c>
      <c r="AL18" s="441">
        <f>+'P03 2022'!IM6</f>
        <v>18145.475999999999</v>
      </c>
      <c r="AM18" s="847">
        <f>+'P03 2022'!JK3</f>
        <v>21453.079000000002</v>
      </c>
      <c r="AN18" s="620"/>
      <c r="AO18" s="1233"/>
      <c r="AP18" s="1233"/>
      <c r="AQ18" s="1233"/>
      <c r="AR18" s="1233"/>
      <c r="AS18" s="1233"/>
      <c r="AT18" s="1233"/>
      <c r="AU18" s="1233"/>
    </row>
    <row r="19" spans="2:47" s="374" customFormat="1" ht="15" hidden="1" customHeight="1" x14ac:dyDescent="0.25">
      <c r="B19" s="463"/>
      <c r="C19" s="142"/>
      <c r="D19" s="143"/>
      <c r="E19" s="143">
        <v>3</v>
      </c>
      <c r="F19" s="609" t="s">
        <v>724</v>
      </c>
      <c r="G19" s="550" t="s">
        <v>278</v>
      </c>
      <c r="H19" s="464">
        <f>+'P03 2023'!I9</f>
        <v>3000</v>
      </c>
      <c r="I19" s="442">
        <f>+'P03 2023'!FK13</f>
        <v>3000</v>
      </c>
      <c r="J19" s="442">
        <f ca="1">SUMIF(S$6:$AM$6,"ok",S19:AL19)</f>
        <v>1093.614</v>
      </c>
      <c r="K19" s="1337">
        <f t="shared" ca="1" si="6"/>
        <v>0.36453800000000003</v>
      </c>
      <c r="L19" s="442">
        <f>+'P03 2023'!FL15</f>
        <v>2500</v>
      </c>
      <c r="M19" s="1338">
        <f t="shared" si="4"/>
        <v>0.83333333333333337</v>
      </c>
      <c r="N19" s="227">
        <f t="shared" si="0"/>
        <v>500</v>
      </c>
      <c r="O19" s="1339">
        <f t="shared" si="1"/>
        <v>0.16666666666666666</v>
      </c>
      <c r="P19" s="451">
        <f>+'P03 2022'!GU13</f>
        <v>1594.5</v>
      </c>
      <c r="Q19" s="774">
        <f t="shared" si="10"/>
        <v>630.32710999999995</v>
      </c>
      <c r="R19" s="1336">
        <f t="shared" si="5"/>
        <v>0.39531333333333329</v>
      </c>
      <c r="S19" s="902">
        <f>+'P03 2023'!K12</f>
        <v>31.448</v>
      </c>
      <c r="T19" s="913">
        <f>+'P03 2022'!H15</f>
        <v>177.88773499999999</v>
      </c>
      <c r="U19" s="1119">
        <f>+'P03 2023'!W9</f>
        <v>93.908000000000001</v>
      </c>
      <c r="V19" s="856">
        <f>+'P03 2022'!Q5</f>
        <v>150.432571</v>
      </c>
      <c r="W19" s="854">
        <f>+'P03 2023'!AO7</f>
        <v>162.47399999999999</v>
      </c>
      <c r="X19" s="1326">
        <f>+'P03 2022'!AI9</f>
        <v>109.82065599999999</v>
      </c>
      <c r="Y19" s="1330">
        <f>+'P03 2023'!BI7</f>
        <v>162.666</v>
      </c>
      <c r="Z19" s="438">
        <v>0</v>
      </c>
      <c r="AA19" s="439">
        <f>+'P03 2023'!CB9</f>
        <v>362.22</v>
      </c>
      <c r="AB19" s="440">
        <v>0</v>
      </c>
      <c r="AC19" s="441">
        <f>+'P03 2023'!CV4</f>
        <v>165.18600000000001</v>
      </c>
      <c r="AD19" s="440">
        <v>0</v>
      </c>
      <c r="AE19" s="441">
        <f>+'P03 2023'!DQ5</f>
        <v>28.928000000000001</v>
      </c>
      <c r="AF19" s="438">
        <f>+'P03 2022'!EE3</f>
        <v>54.910327999999993</v>
      </c>
      <c r="AG19" s="439">
        <f>+'P03 2023'!EI4</f>
        <v>28.928000000000001</v>
      </c>
      <c r="AH19" s="440">
        <f>+'P03 2022'!FG4</f>
        <v>54.910327999999993</v>
      </c>
      <c r="AI19" s="649">
        <f>+'P03 2023'!FB4</f>
        <v>57.856000000000002</v>
      </c>
      <c r="AJ19" s="440">
        <f>+'P03 2022'!GI9</f>
        <v>82.365491999999989</v>
      </c>
      <c r="AK19" s="437">
        <f>+'P03 2022'!HK6</f>
        <v>116.227</v>
      </c>
      <c r="AL19" s="441">
        <f>+'P03 2022'!IM9</f>
        <v>25.827999999999999</v>
      </c>
      <c r="AM19" s="847">
        <f>+'P03 2022'!JK5</f>
        <v>144.63999999999999</v>
      </c>
      <c r="AN19" s="620"/>
      <c r="AO19" s="1233"/>
      <c r="AP19" s="1233"/>
      <c r="AQ19" s="1233"/>
      <c r="AR19" s="1233"/>
      <c r="AS19" s="1233"/>
      <c r="AT19" s="1233"/>
      <c r="AU19" s="1233"/>
    </row>
    <row r="20" spans="2:47" s="374" customFormat="1" ht="15" hidden="1" customHeight="1" x14ac:dyDescent="0.25">
      <c r="B20" s="463"/>
      <c r="C20" s="142"/>
      <c r="D20" s="143"/>
      <c r="E20" s="143">
        <v>4</v>
      </c>
      <c r="F20" s="609" t="s">
        <v>725</v>
      </c>
      <c r="G20" s="550" t="s">
        <v>279</v>
      </c>
      <c r="H20" s="464">
        <f>+'P03 2023'!I10</f>
        <v>1500</v>
      </c>
      <c r="I20" s="442">
        <f>+'P03 2023'!FK12</f>
        <v>4500</v>
      </c>
      <c r="J20" s="442">
        <f ca="1">SUMIF(S$6:$AM$6,"ok",S20:AL20)</f>
        <v>1950.0140000000001</v>
      </c>
      <c r="K20" s="1337">
        <f t="shared" ca="1" si="6"/>
        <v>0.43333644444444447</v>
      </c>
      <c r="L20" s="442">
        <f>+'P03 2023'!FL19</f>
        <v>1950.0139999999999</v>
      </c>
      <c r="M20" s="1338">
        <f t="shared" si="4"/>
        <v>0.43333644444444441</v>
      </c>
      <c r="N20" s="227">
        <f t="shared" si="0"/>
        <v>2549.9859999999999</v>
      </c>
      <c r="O20" s="1339">
        <f t="shared" si="1"/>
        <v>0.56666355555555548</v>
      </c>
      <c r="P20" s="451">
        <f>+'P03 2022'!GU12</f>
        <v>2551.1999999999998</v>
      </c>
      <c r="Q20" s="774">
        <f t="shared" si="10"/>
        <v>1538.749902</v>
      </c>
      <c r="R20" s="1336">
        <f t="shared" si="5"/>
        <v>0.60314750000000006</v>
      </c>
      <c r="S20" s="902">
        <f>+'P03 2023'!K10</f>
        <v>0</v>
      </c>
      <c r="T20" s="913">
        <v>0</v>
      </c>
      <c r="U20" s="1119">
        <v>0</v>
      </c>
      <c r="V20" s="856">
        <v>0</v>
      </c>
      <c r="W20" s="854">
        <v>0</v>
      </c>
      <c r="X20" s="1326">
        <f>+'P03 2022'!AI5</f>
        <v>1538.749902</v>
      </c>
      <c r="Y20" s="1330">
        <f>+'P03 2023'!BI5</f>
        <v>499.99900000000002</v>
      </c>
      <c r="Z20" s="438">
        <v>0</v>
      </c>
      <c r="AA20" s="439">
        <f>+'P03 2023'!CB7</f>
        <v>1450.0150000000001</v>
      </c>
      <c r="AB20" s="440">
        <v>0</v>
      </c>
      <c r="AC20" s="441">
        <v>0</v>
      </c>
      <c r="AD20" s="440">
        <v>0</v>
      </c>
      <c r="AE20" s="441">
        <v>0</v>
      </c>
      <c r="AF20" s="438">
        <v>0</v>
      </c>
      <c r="AG20" s="439">
        <v>0</v>
      </c>
      <c r="AH20" s="440">
        <v>0</v>
      </c>
      <c r="AI20" s="649">
        <v>0</v>
      </c>
      <c r="AJ20" s="440">
        <v>0</v>
      </c>
      <c r="AK20" s="437">
        <f>+'P03 2022'!HK5</f>
        <v>0</v>
      </c>
      <c r="AL20" s="441">
        <v>0</v>
      </c>
      <c r="AM20" s="847">
        <v>0</v>
      </c>
      <c r="AN20" s="620"/>
      <c r="AO20" s="1233"/>
      <c r="AP20" s="1233"/>
      <c r="AQ20" s="1233"/>
      <c r="AR20" s="1233"/>
      <c r="AS20" s="1233"/>
      <c r="AT20" s="1233"/>
      <c r="AU20" s="1233"/>
    </row>
    <row r="21" spans="2:47" s="374" customFormat="1" ht="15" hidden="1" customHeight="1" x14ac:dyDescent="0.25">
      <c r="B21" s="463"/>
      <c r="C21" s="142"/>
      <c r="D21" s="143"/>
      <c r="E21" s="143">
        <v>5</v>
      </c>
      <c r="F21" s="609" t="s">
        <v>726</v>
      </c>
      <c r="G21" s="550" t="s">
        <v>340</v>
      </c>
      <c r="H21" s="464">
        <f>+'P03 2023'!I7</f>
        <v>300000</v>
      </c>
      <c r="I21" s="442">
        <f>+'P03 2023'!FK10</f>
        <v>300000</v>
      </c>
      <c r="J21" s="442">
        <f ca="1">SUMIF(S$6:$AM$6,"ok",S21:AL21)</f>
        <v>14243.338</v>
      </c>
      <c r="K21" s="1337">
        <f t="shared" ca="1" si="6"/>
        <v>4.747779333333333E-2</v>
      </c>
      <c r="L21" s="442">
        <f>+'P03 2023'!FL14</f>
        <v>106517.51300000001</v>
      </c>
      <c r="M21" s="1338">
        <f t="shared" si="4"/>
        <v>0.35505837666666668</v>
      </c>
      <c r="N21" s="227">
        <f t="shared" si="0"/>
        <v>193482.48699999999</v>
      </c>
      <c r="O21" s="1339">
        <f t="shared" si="1"/>
        <v>0.64494162333333327</v>
      </c>
      <c r="P21" s="451">
        <f>+'P03 2022'!GU11</f>
        <v>211164.71082499999</v>
      </c>
      <c r="Q21" s="774">
        <f t="shared" si="10"/>
        <v>119598.11405499998</v>
      </c>
      <c r="R21" s="1336">
        <f t="shared" si="5"/>
        <v>0.56637358386134584</v>
      </c>
      <c r="S21" s="902">
        <f>+'P03 2023'!K7</f>
        <v>0</v>
      </c>
      <c r="T21" s="913">
        <v>0</v>
      </c>
      <c r="U21" s="1119">
        <f>+'P03 2023'!W7</f>
        <v>838.74699999999996</v>
      </c>
      <c r="V21" s="856">
        <f>+'P03 2022'!Q7</f>
        <v>5952.7819289999998</v>
      </c>
      <c r="W21" s="854">
        <v>0</v>
      </c>
      <c r="X21" s="1326">
        <f>+'P03 2022'!AI8</f>
        <v>15917.912633999998</v>
      </c>
      <c r="Y21" s="1330">
        <v>0</v>
      </c>
      <c r="Z21" s="438">
        <v>0</v>
      </c>
      <c r="AA21" s="439">
        <f>+'P03 2023'!CB6</f>
        <v>13404.591</v>
      </c>
      <c r="AB21" s="440">
        <v>0</v>
      </c>
      <c r="AC21" s="441">
        <v>0</v>
      </c>
      <c r="AD21" s="440">
        <f>+'P03 2022'!DD5</f>
        <v>76084.224999999991</v>
      </c>
      <c r="AE21" s="441">
        <v>0</v>
      </c>
      <c r="AF21" s="438">
        <v>0</v>
      </c>
      <c r="AG21" s="439">
        <v>0</v>
      </c>
      <c r="AH21" s="440">
        <v>0</v>
      </c>
      <c r="AI21" s="649">
        <v>0</v>
      </c>
      <c r="AJ21" s="440">
        <f>+'P03 2022'!GI6</f>
        <v>21643.194491999999</v>
      </c>
      <c r="AK21" s="437">
        <v>0</v>
      </c>
      <c r="AL21" s="441">
        <v>0</v>
      </c>
      <c r="AM21" s="847">
        <f>+'P03 2022'!JK7</f>
        <v>11758.439</v>
      </c>
      <c r="AN21" s="620"/>
      <c r="AO21" s="1233"/>
      <c r="AP21" s="1233"/>
      <c r="AQ21" s="1233"/>
      <c r="AR21" s="1233"/>
      <c r="AS21" s="1233"/>
      <c r="AT21" s="1233"/>
      <c r="AU21" s="1233"/>
    </row>
    <row r="22" spans="2:47" s="374" customFormat="1" ht="15" hidden="1" customHeight="1" x14ac:dyDescent="0.25">
      <c r="B22" s="463"/>
      <c r="C22" s="142"/>
      <c r="D22" s="143"/>
      <c r="E22" s="143">
        <v>6</v>
      </c>
      <c r="F22" s="609" t="s">
        <v>727</v>
      </c>
      <c r="G22" s="550" t="s">
        <v>341</v>
      </c>
      <c r="H22" s="464">
        <f>+'P03 2023'!I6</f>
        <v>567371</v>
      </c>
      <c r="I22" s="442">
        <f>+'P03 2023'!FK9</f>
        <v>567371</v>
      </c>
      <c r="J22" s="442">
        <f ca="1">SUMIF(S$6:$AM$6,"ok",S22:AL22)</f>
        <v>0</v>
      </c>
      <c r="K22" s="1785">
        <f ca="1">IFERROR(J22/I22,"0,00%")</f>
        <v>0</v>
      </c>
      <c r="L22" s="442">
        <v>0</v>
      </c>
      <c r="M22" s="1338">
        <f t="shared" si="4"/>
        <v>0</v>
      </c>
      <c r="N22" s="227">
        <f t="shared" si="0"/>
        <v>567371</v>
      </c>
      <c r="O22" s="1339">
        <f t="shared" si="1"/>
        <v>1</v>
      </c>
      <c r="P22" s="451">
        <f>+'P03 2022'!GU9</f>
        <v>567370.93499999994</v>
      </c>
      <c r="Q22" s="774">
        <f t="shared" si="10"/>
        <v>0</v>
      </c>
      <c r="R22" s="1336">
        <f t="shared" si="5"/>
        <v>0</v>
      </c>
      <c r="S22" s="902">
        <f>+'P03 2023'!K6</f>
        <v>0</v>
      </c>
      <c r="T22" s="913">
        <v>0</v>
      </c>
      <c r="U22" s="1119">
        <v>0</v>
      </c>
      <c r="V22" s="856">
        <v>0</v>
      </c>
      <c r="W22" s="854">
        <v>0</v>
      </c>
      <c r="X22" s="1326">
        <v>0</v>
      </c>
      <c r="Y22" s="1330">
        <v>0</v>
      </c>
      <c r="Z22" s="438">
        <v>0</v>
      </c>
      <c r="AA22" s="439">
        <v>0</v>
      </c>
      <c r="AB22" s="440">
        <v>0</v>
      </c>
      <c r="AC22" s="441">
        <v>0</v>
      </c>
      <c r="AD22" s="440">
        <v>0</v>
      </c>
      <c r="AE22" s="441">
        <v>0</v>
      </c>
      <c r="AF22" s="438">
        <v>0</v>
      </c>
      <c r="AG22" s="439">
        <v>0</v>
      </c>
      <c r="AH22" s="440">
        <v>0</v>
      </c>
      <c r="AI22" s="649">
        <v>0</v>
      </c>
      <c r="AJ22" s="440">
        <v>0</v>
      </c>
      <c r="AK22" s="437">
        <v>0</v>
      </c>
      <c r="AL22" s="441">
        <f>+'P03 2022'!IM10</f>
        <v>357211.72</v>
      </c>
      <c r="AM22" s="847">
        <f>+'P03 2022'!JK6</f>
        <v>175376.356</v>
      </c>
      <c r="AN22" s="620"/>
      <c r="AO22" s="1233"/>
      <c r="AP22" s="1233"/>
      <c r="AQ22" s="1233"/>
      <c r="AR22" s="1233"/>
      <c r="AS22" s="1233"/>
      <c r="AT22" s="1233"/>
      <c r="AU22" s="1233"/>
    </row>
    <row r="23" spans="2:47" s="374" customFormat="1" ht="15" customHeight="1" x14ac:dyDescent="0.25">
      <c r="B23" s="407">
        <v>25</v>
      </c>
      <c r="C23" s="134" t="s">
        <v>2</v>
      </c>
      <c r="D23" s="129"/>
      <c r="E23" s="465"/>
      <c r="F23" s="467"/>
      <c r="G23" s="468" t="s">
        <v>542</v>
      </c>
      <c r="H23" s="403">
        <f>+H24</f>
        <v>10</v>
      </c>
      <c r="I23" s="399">
        <f>+I24</f>
        <v>10</v>
      </c>
      <c r="J23" s="409">
        <f ca="1">SUMIF(S$6:$AM13,"ok",S23:AL23)</f>
        <v>2977919.8250000002</v>
      </c>
      <c r="K23" s="911">
        <f t="shared" ca="1" si="6"/>
        <v>297791.98250000004</v>
      </c>
      <c r="L23" s="409">
        <f ca="1">SUMIF(V$6:$AN13,"ok",V23:AN23)</f>
        <v>2977919.8250000002</v>
      </c>
      <c r="M23" s="909">
        <f t="shared" ca="1" si="4"/>
        <v>297791.98250000004</v>
      </c>
      <c r="N23" s="409">
        <f t="shared" ca="1" si="0"/>
        <v>-2977909.8250000002</v>
      </c>
      <c r="O23" s="655">
        <f t="shared" ca="1" si="1"/>
        <v>-297790.98250000004</v>
      </c>
      <c r="P23" s="408">
        <f>+P24</f>
        <v>10.629999999999999</v>
      </c>
      <c r="Q23" s="409">
        <f>+Q24</f>
        <v>0</v>
      </c>
      <c r="R23" s="1323">
        <f t="shared" si="5"/>
        <v>0</v>
      </c>
      <c r="S23" s="900">
        <f>+S24</f>
        <v>0</v>
      </c>
      <c r="T23" s="914">
        <v>0</v>
      </c>
      <c r="U23" s="1120">
        <v>0</v>
      </c>
      <c r="V23" s="447">
        <v>0</v>
      </c>
      <c r="W23" s="435">
        <v>0</v>
      </c>
      <c r="X23" s="411">
        <v>0</v>
      </c>
      <c r="Y23" s="412">
        <v>0</v>
      </c>
      <c r="Z23" s="411">
        <v>0</v>
      </c>
      <c r="AA23" s="372">
        <f t="shared" ref="AA23:AF23" si="11">+AA24</f>
        <v>2977919.8250000002</v>
      </c>
      <c r="AB23" s="1306">
        <f t="shared" si="11"/>
        <v>0</v>
      </c>
      <c r="AC23" s="462">
        <f t="shared" si="11"/>
        <v>0</v>
      </c>
      <c r="AD23" s="1306">
        <f t="shared" si="11"/>
        <v>0</v>
      </c>
      <c r="AE23" s="462">
        <f t="shared" si="11"/>
        <v>0</v>
      </c>
      <c r="AF23" s="443">
        <f t="shared" si="11"/>
        <v>0</v>
      </c>
      <c r="AG23" s="444">
        <v>0</v>
      </c>
      <c r="AH23" s="1306">
        <v>0</v>
      </c>
      <c r="AI23" s="462">
        <v>0</v>
      </c>
      <c r="AJ23" s="1306">
        <v>0</v>
      </c>
      <c r="AK23" s="445">
        <v>0</v>
      </c>
      <c r="AL23" s="462">
        <f>+AL24</f>
        <v>5862708.5899999999</v>
      </c>
      <c r="AM23" s="470">
        <f>+AM24</f>
        <v>2839081.41</v>
      </c>
      <c r="AO23" s="1233"/>
      <c r="AP23" s="1233"/>
      <c r="AQ23" s="1233"/>
      <c r="AR23" s="1233"/>
      <c r="AS23" s="1233"/>
      <c r="AT23" s="1233"/>
      <c r="AU23" s="1233"/>
    </row>
    <row r="24" spans="2:47" s="374" customFormat="1" ht="15" hidden="1" customHeight="1" x14ac:dyDescent="0.25">
      <c r="B24" s="463"/>
      <c r="C24" s="142">
        <v>99</v>
      </c>
      <c r="D24" s="143"/>
      <c r="E24" s="143"/>
      <c r="F24" s="609" t="s">
        <v>728</v>
      </c>
      <c r="G24" s="551" t="s">
        <v>543</v>
      </c>
      <c r="H24" s="464">
        <f>+'P03 2023'!I15</f>
        <v>10</v>
      </c>
      <c r="I24" s="227">
        <f>+'P03 2023'!FK20</f>
        <v>10</v>
      </c>
      <c r="J24" s="442">
        <f ca="1">SUMIF(S$6:$AM$6,"ok",S24:AL24)</f>
        <v>2977919.8250000002</v>
      </c>
      <c r="K24" s="912">
        <f t="shared" ca="1" si="6"/>
        <v>297791.98250000004</v>
      </c>
      <c r="L24" s="1446">
        <f>+'P03 2023'!FL21</f>
        <v>2977919.8250000002</v>
      </c>
      <c r="M24" s="910">
        <f t="shared" si="4"/>
        <v>297791.98250000004</v>
      </c>
      <c r="N24" s="227">
        <f t="shared" si="0"/>
        <v>-2977909.8250000002</v>
      </c>
      <c r="O24" s="656">
        <f t="shared" si="1"/>
        <v>-297790.98250000004</v>
      </c>
      <c r="P24" s="451">
        <f>+'P03 2022'!GU20</f>
        <v>10.629999999999999</v>
      </c>
      <c r="Q24" s="774">
        <f>SUMIF($S$6:$AM$6,"SI",S24:AM24)</f>
        <v>0</v>
      </c>
      <c r="R24" s="1324">
        <f t="shared" si="5"/>
        <v>0</v>
      </c>
      <c r="S24" s="902">
        <v>0</v>
      </c>
      <c r="T24" s="913">
        <v>0</v>
      </c>
      <c r="U24" s="1119">
        <v>0</v>
      </c>
      <c r="V24" s="856">
        <v>0</v>
      </c>
      <c r="W24" s="854">
        <v>0</v>
      </c>
      <c r="X24" s="438">
        <v>0</v>
      </c>
      <c r="Y24" s="441">
        <v>0</v>
      </c>
      <c r="Z24" s="438">
        <v>0</v>
      </c>
      <c r="AA24" s="439">
        <f>+'P03 2023'!CB10</f>
        <v>2977919.8250000002</v>
      </c>
      <c r="AB24" s="440">
        <v>0</v>
      </c>
      <c r="AC24" s="441">
        <v>0</v>
      </c>
      <c r="AD24" s="440">
        <v>0</v>
      </c>
      <c r="AE24" s="441">
        <v>0</v>
      </c>
      <c r="AF24" s="438">
        <v>0</v>
      </c>
      <c r="AG24" s="439">
        <v>0</v>
      </c>
      <c r="AH24" s="440">
        <v>0</v>
      </c>
      <c r="AI24" s="649">
        <v>0</v>
      </c>
      <c r="AJ24" s="440">
        <v>0</v>
      </c>
      <c r="AK24" s="437">
        <v>0</v>
      </c>
      <c r="AL24" s="441">
        <f>+'P03 2022'!IM17</f>
        <v>5862708.5899999999</v>
      </c>
      <c r="AM24" s="848">
        <f>+'P03 2022'!JK8</f>
        <v>2839081.41</v>
      </c>
      <c r="AN24" s="495"/>
      <c r="AO24" s="1233"/>
      <c r="AP24" s="1233"/>
      <c r="AQ24" s="1233"/>
      <c r="AR24" s="1233"/>
      <c r="AS24" s="1233"/>
      <c r="AT24" s="1233"/>
      <c r="AU24" s="1233"/>
    </row>
    <row r="25" spans="2:47" s="374" customFormat="1" ht="16.5" hidden="1" customHeight="1" x14ac:dyDescent="0.25">
      <c r="B25" s="463"/>
      <c r="C25" s="142"/>
      <c r="D25" s="143"/>
      <c r="E25" s="143"/>
      <c r="F25" s="609" t="s">
        <v>1053</v>
      </c>
      <c r="G25" s="551" t="s">
        <v>51</v>
      </c>
      <c r="H25" s="464">
        <v>0</v>
      </c>
      <c r="I25" s="227">
        <f>+I24</f>
        <v>10</v>
      </c>
      <c r="J25" s="442">
        <v>2977919.8250000002</v>
      </c>
      <c r="K25" s="912">
        <v>297791.98250000004</v>
      </c>
      <c r="L25" s="1446">
        <f>+L24</f>
        <v>2977919.8250000002</v>
      </c>
      <c r="M25" s="910">
        <f t="shared" si="4"/>
        <v>297791.98250000004</v>
      </c>
      <c r="N25" s="227">
        <f>+N24</f>
        <v>-2977909.8250000002</v>
      </c>
      <c r="O25" s="656">
        <f t="shared" si="1"/>
        <v>-297790.98250000004</v>
      </c>
      <c r="P25" s="451">
        <v>0</v>
      </c>
      <c r="Q25" s="774">
        <v>0</v>
      </c>
      <c r="R25" s="1324">
        <v>0</v>
      </c>
      <c r="S25" s="902"/>
      <c r="T25" s="913"/>
      <c r="U25" s="1119"/>
      <c r="V25" s="856"/>
      <c r="W25" s="854"/>
      <c r="X25" s="438"/>
      <c r="Y25" s="441"/>
      <c r="Z25" s="438"/>
      <c r="AA25" s="439"/>
      <c r="AB25" s="440"/>
      <c r="AC25" s="441"/>
      <c r="AD25" s="440"/>
      <c r="AE25" s="441">
        <v>0</v>
      </c>
      <c r="AF25" s="438">
        <v>0</v>
      </c>
      <c r="AG25" s="439">
        <v>0</v>
      </c>
      <c r="AH25" s="440">
        <v>0</v>
      </c>
      <c r="AI25" s="649">
        <v>0</v>
      </c>
      <c r="AJ25" s="440">
        <v>0</v>
      </c>
      <c r="AK25" s="437"/>
      <c r="AL25" s="441"/>
      <c r="AM25" s="848"/>
      <c r="AN25" s="495"/>
      <c r="AO25" s="1233"/>
      <c r="AP25" s="1233"/>
      <c r="AQ25" s="1233"/>
      <c r="AR25" s="1233"/>
      <c r="AS25" s="1233"/>
      <c r="AT25" s="1233"/>
      <c r="AU25" s="1233"/>
    </row>
    <row r="26" spans="2:47" s="374" customFormat="1" ht="15" hidden="1" customHeight="1" x14ac:dyDescent="0.25">
      <c r="B26" s="407">
        <v>26</v>
      </c>
      <c r="C26" s="134" t="s">
        <v>2</v>
      </c>
      <c r="D26" s="129"/>
      <c r="E26" s="465"/>
      <c r="F26" s="467"/>
      <c r="G26" s="468" t="s">
        <v>289</v>
      </c>
      <c r="H26" s="403">
        <f>+H27</f>
        <v>0</v>
      </c>
      <c r="I26" s="399">
        <f>+I27</f>
        <v>0</v>
      </c>
      <c r="J26" s="409">
        <f ca="1">SUMIF(S$6:$AM14,"ok",S26:AL26)</f>
        <v>0</v>
      </c>
      <c r="K26" s="911" t="str">
        <f t="shared" ca="1" si="6"/>
        <v>0.00%</v>
      </c>
      <c r="L26" s="399">
        <f>+L27</f>
        <v>0</v>
      </c>
      <c r="M26" s="909">
        <f t="shared" si="4"/>
        <v>0</v>
      </c>
      <c r="N26" s="228">
        <f t="shared" ref="N26:N56" si="12">+I26-L26</f>
        <v>0</v>
      </c>
      <c r="O26" s="655">
        <f t="shared" si="1"/>
        <v>0</v>
      </c>
      <c r="P26" s="408">
        <f>+P27</f>
        <v>0</v>
      </c>
      <c r="Q26" s="409">
        <f ca="1">+Q27</f>
        <v>0</v>
      </c>
      <c r="R26" s="1323" t="str">
        <f t="shared" ca="1" si="5"/>
        <v>0.00%</v>
      </c>
      <c r="S26" s="900">
        <f>+S27</f>
        <v>0</v>
      </c>
      <c r="T26" s="914">
        <v>0</v>
      </c>
      <c r="U26" s="1120">
        <v>0</v>
      </c>
      <c r="V26" s="447">
        <v>0</v>
      </c>
      <c r="W26" s="435">
        <v>0</v>
      </c>
      <c r="X26" s="411">
        <v>0</v>
      </c>
      <c r="Y26" s="412">
        <v>0</v>
      </c>
      <c r="Z26" s="411">
        <v>0</v>
      </c>
      <c r="AA26" s="372">
        <v>0</v>
      </c>
      <c r="AB26" s="1306">
        <v>0</v>
      </c>
      <c r="AC26" s="462">
        <f>+AC27</f>
        <v>0</v>
      </c>
      <c r="AD26" s="1306">
        <f>+AD27</f>
        <v>0</v>
      </c>
      <c r="AE26" s="462">
        <f>+AE27</f>
        <v>0</v>
      </c>
      <c r="AF26" s="443">
        <f>+AF27</f>
        <v>0</v>
      </c>
      <c r="AG26" s="444">
        <v>0</v>
      </c>
      <c r="AH26" s="1306">
        <v>0</v>
      </c>
      <c r="AI26" s="462">
        <v>0</v>
      </c>
      <c r="AJ26" s="1306">
        <v>0</v>
      </c>
      <c r="AK26" s="445">
        <v>0</v>
      </c>
      <c r="AL26" s="462">
        <v>0</v>
      </c>
      <c r="AM26" s="470">
        <v>0</v>
      </c>
      <c r="AO26" s="1233"/>
      <c r="AP26" s="1233"/>
      <c r="AQ26" s="1233"/>
      <c r="AR26" s="1233"/>
      <c r="AS26" s="1233"/>
      <c r="AT26" s="1233"/>
      <c r="AU26" s="1233"/>
    </row>
    <row r="27" spans="2:47" s="374" customFormat="1" ht="15" hidden="1" customHeight="1" x14ac:dyDescent="0.25">
      <c r="B27" s="463" t="s">
        <v>2</v>
      </c>
      <c r="C27" s="142">
        <v>1</v>
      </c>
      <c r="D27" s="140"/>
      <c r="E27" s="459"/>
      <c r="F27" s="609" t="s">
        <v>320</v>
      </c>
      <c r="G27" s="550" t="s">
        <v>290</v>
      </c>
      <c r="H27" s="464">
        <v>0</v>
      </c>
      <c r="I27" s="442">
        <v>0</v>
      </c>
      <c r="J27" s="442">
        <f ca="1">SUMIF(S$6:$AM$6,"ok",S27:AL27)</f>
        <v>0</v>
      </c>
      <c r="K27" s="912" t="str">
        <f t="shared" ca="1" si="6"/>
        <v>0.00%</v>
      </c>
      <c r="L27" s="227">
        <v>0</v>
      </c>
      <c r="M27" s="910">
        <f t="shared" si="4"/>
        <v>0</v>
      </c>
      <c r="N27" s="227">
        <f>+I27-L27</f>
        <v>0</v>
      </c>
      <c r="O27" s="656">
        <f t="shared" si="1"/>
        <v>0</v>
      </c>
      <c r="P27" s="451">
        <v>0</v>
      </c>
      <c r="Q27" s="442">
        <f ca="1">SUMIF(X$6:$AM13,"SI",X27:AM27)</f>
        <v>0</v>
      </c>
      <c r="R27" s="1324" t="str">
        <f t="shared" ca="1" si="5"/>
        <v>0.00%</v>
      </c>
      <c r="S27" s="902">
        <v>0</v>
      </c>
      <c r="T27" s="913">
        <v>0</v>
      </c>
      <c r="U27" s="1119">
        <v>0</v>
      </c>
      <c r="V27" s="856">
        <v>0</v>
      </c>
      <c r="W27" s="854">
        <v>0</v>
      </c>
      <c r="X27" s="438">
        <v>0</v>
      </c>
      <c r="Y27" s="441">
        <v>0</v>
      </c>
      <c r="Z27" s="438">
        <v>0</v>
      </c>
      <c r="AA27" s="439">
        <v>0</v>
      </c>
      <c r="AB27" s="440">
        <v>0</v>
      </c>
      <c r="AC27" s="441">
        <v>0</v>
      </c>
      <c r="AD27" s="440">
        <v>0</v>
      </c>
      <c r="AE27" s="441">
        <v>0</v>
      </c>
      <c r="AF27" s="438">
        <v>0</v>
      </c>
      <c r="AG27" s="439">
        <v>0</v>
      </c>
      <c r="AH27" s="440">
        <v>0</v>
      </c>
      <c r="AI27" s="649">
        <v>0</v>
      </c>
      <c r="AJ27" s="440">
        <v>0</v>
      </c>
      <c r="AK27" s="437">
        <v>0</v>
      </c>
      <c r="AL27" s="441">
        <v>0</v>
      </c>
      <c r="AM27" s="847">
        <v>0</v>
      </c>
      <c r="AO27" s="1233"/>
      <c r="AP27" s="1233"/>
      <c r="AQ27" s="1233"/>
      <c r="AR27" s="1233"/>
      <c r="AS27" s="1233"/>
      <c r="AT27" s="1233"/>
      <c r="AU27" s="1233"/>
    </row>
    <row r="28" spans="2:47" s="374" customFormat="1" ht="15" hidden="1" customHeight="1" x14ac:dyDescent="0.25">
      <c r="B28" s="466">
        <v>30</v>
      </c>
      <c r="C28" s="222"/>
      <c r="D28" s="223"/>
      <c r="E28" s="467"/>
      <c r="F28" s="467"/>
      <c r="G28" s="468" t="s">
        <v>670</v>
      </c>
      <c r="H28" s="400">
        <f>+H29</f>
        <v>0</v>
      </c>
      <c r="I28" s="401">
        <f>+I29</f>
        <v>0</v>
      </c>
      <c r="J28" s="409">
        <f ca="1">SUMIF(S$6:$AM15,"ok",S28:AL28)</f>
        <v>0</v>
      </c>
      <c r="K28" s="911" t="str">
        <f t="shared" ca="1" si="6"/>
        <v>0.00%</v>
      </c>
      <c r="L28" s="229">
        <f>+L29</f>
        <v>0</v>
      </c>
      <c r="M28" s="909">
        <f t="shared" si="4"/>
        <v>0</v>
      </c>
      <c r="N28" s="228">
        <f t="shared" si="12"/>
        <v>0</v>
      </c>
      <c r="O28" s="655">
        <f t="shared" si="1"/>
        <v>0</v>
      </c>
      <c r="P28" s="408">
        <f>+P29</f>
        <v>0</v>
      </c>
      <c r="Q28" s="409">
        <f>+Q29</f>
        <v>0</v>
      </c>
      <c r="R28" s="1323" t="str">
        <f t="shared" si="5"/>
        <v>0.00%</v>
      </c>
      <c r="S28" s="900">
        <f>+S29</f>
        <v>0</v>
      </c>
      <c r="T28" s="914">
        <v>0</v>
      </c>
      <c r="U28" s="1120">
        <v>0</v>
      </c>
      <c r="V28" s="855">
        <v>0</v>
      </c>
      <c r="W28" s="405">
        <v>0</v>
      </c>
      <c r="X28" s="1327">
        <v>0</v>
      </c>
      <c r="Y28" s="1331">
        <v>0</v>
      </c>
      <c r="Z28" s="1327">
        <v>0</v>
      </c>
      <c r="AA28" s="1386">
        <v>0</v>
      </c>
      <c r="AB28" s="1306">
        <v>0</v>
      </c>
      <c r="AC28" s="462">
        <f>+AC29</f>
        <v>0</v>
      </c>
      <c r="AD28" s="1306">
        <f>+AD29</f>
        <v>0</v>
      </c>
      <c r="AE28" s="462">
        <f>+AE29</f>
        <v>0</v>
      </c>
      <c r="AF28" s="443">
        <f>+AF29</f>
        <v>0</v>
      </c>
      <c r="AG28" s="444">
        <v>0</v>
      </c>
      <c r="AH28" s="1306">
        <v>0</v>
      </c>
      <c r="AI28" s="1778">
        <v>0</v>
      </c>
      <c r="AJ28" s="1306">
        <v>0</v>
      </c>
      <c r="AK28" s="445">
        <v>0</v>
      </c>
      <c r="AL28" s="462">
        <v>0</v>
      </c>
      <c r="AM28" s="470">
        <v>0</v>
      </c>
      <c r="AO28" s="1233"/>
      <c r="AP28" s="1233"/>
      <c r="AQ28" s="1233"/>
      <c r="AR28" s="1233"/>
      <c r="AS28" s="1233"/>
      <c r="AT28" s="1233"/>
      <c r="AU28" s="1233"/>
    </row>
    <row r="29" spans="2:47" s="374" customFormat="1" ht="15" hidden="1" customHeight="1" x14ac:dyDescent="0.25">
      <c r="B29" s="463"/>
      <c r="C29" s="142">
        <v>10</v>
      </c>
      <c r="D29" s="140"/>
      <c r="E29" s="459"/>
      <c r="F29" s="1375"/>
      <c r="G29" s="550" t="s">
        <v>671</v>
      </c>
      <c r="H29" s="464">
        <v>0</v>
      </c>
      <c r="I29" s="442">
        <v>0</v>
      </c>
      <c r="J29" s="442">
        <f ca="1">SUMIF(S$6:$AM16,"ok",S29:AL29)</f>
        <v>0</v>
      </c>
      <c r="K29" s="912" t="str">
        <f t="shared" ca="1" si="6"/>
        <v>0.00%</v>
      </c>
      <c r="L29" s="227">
        <v>0</v>
      </c>
      <c r="M29" s="910">
        <f t="shared" si="4"/>
        <v>0</v>
      </c>
      <c r="N29" s="227">
        <f>+I29-L29</f>
        <v>0</v>
      </c>
      <c r="O29" s="656">
        <f t="shared" si="1"/>
        <v>0</v>
      </c>
      <c r="P29" s="451">
        <v>0</v>
      </c>
      <c r="Q29" s="442">
        <v>0</v>
      </c>
      <c r="R29" s="1324" t="str">
        <f t="shared" si="5"/>
        <v>0.00%</v>
      </c>
      <c r="S29" s="902">
        <v>0</v>
      </c>
      <c r="T29" s="913">
        <v>0</v>
      </c>
      <c r="U29" s="1119">
        <v>0</v>
      </c>
      <c r="V29" s="856">
        <v>0</v>
      </c>
      <c r="W29" s="854">
        <v>0</v>
      </c>
      <c r="X29" s="438">
        <v>0</v>
      </c>
      <c r="Y29" s="441">
        <v>0</v>
      </c>
      <c r="Z29" s="438">
        <v>0</v>
      </c>
      <c r="AA29" s="439">
        <v>0</v>
      </c>
      <c r="AB29" s="440">
        <v>0</v>
      </c>
      <c r="AC29" s="441">
        <v>0</v>
      </c>
      <c r="AD29" s="440">
        <v>0</v>
      </c>
      <c r="AE29" s="441">
        <v>0</v>
      </c>
      <c r="AF29" s="438">
        <v>0</v>
      </c>
      <c r="AG29" s="439">
        <v>0</v>
      </c>
      <c r="AH29" s="440">
        <v>0</v>
      </c>
      <c r="AI29" s="649">
        <v>0</v>
      </c>
      <c r="AJ29" s="440">
        <v>0</v>
      </c>
      <c r="AK29" s="437">
        <v>0</v>
      </c>
      <c r="AL29" s="441">
        <v>0</v>
      </c>
      <c r="AM29" s="847">
        <v>0</v>
      </c>
      <c r="AO29" s="1233"/>
      <c r="AP29" s="1233"/>
      <c r="AQ29" s="1233"/>
      <c r="AR29" s="1233"/>
      <c r="AS29" s="1233"/>
      <c r="AT29" s="1233"/>
      <c r="AU29" s="1233"/>
    </row>
    <row r="30" spans="2:47" s="374" customFormat="1" ht="15" customHeight="1" x14ac:dyDescent="0.25">
      <c r="B30" s="407">
        <v>32</v>
      </c>
      <c r="C30" s="134">
        <v>4</v>
      </c>
      <c r="D30" s="129"/>
      <c r="E30" s="465"/>
      <c r="F30" s="467"/>
      <c r="G30" s="468" t="s">
        <v>145</v>
      </c>
      <c r="H30" s="403">
        <f>+H31</f>
        <v>5667935</v>
      </c>
      <c r="I30" s="399">
        <f>+I31</f>
        <v>5667935</v>
      </c>
      <c r="J30" s="409">
        <f ca="1">SUMIF(S$6:$AM17,"ok",S30:AL30)</f>
        <v>2527610.1009999998</v>
      </c>
      <c r="K30" s="911">
        <f t="shared" ca="1" si="6"/>
        <v>0.44594902746767556</v>
      </c>
      <c r="L30" s="228">
        <f>+L31</f>
        <v>2527610.1009999998</v>
      </c>
      <c r="M30" s="909">
        <f t="shared" si="4"/>
        <v>0.44594902746767556</v>
      </c>
      <c r="N30" s="228">
        <f>+I30-L30</f>
        <v>3140324.8990000002</v>
      </c>
      <c r="O30" s="655">
        <f t="shared" si="1"/>
        <v>0.55405097253232438</v>
      </c>
      <c r="P30" s="408">
        <f>+P31+P32</f>
        <v>9728520.7239999995</v>
      </c>
      <c r="Q30" s="409">
        <f>+Q31</f>
        <v>0</v>
      </c>
      <c r="R30" s="1323">
        <f t="shared" si="5"/>
        <v>0</v>
      </c>
      <c r="S30" s="900">
        <f>+S31+S32</f>
        <v>0</v>
      </c>
      <c r="T30" s="914">
        <v>0</v>
      </c>
      <c r="U30" s="1120">
        <f>+U31</f>
        <v>322320.96100000001</v>
      </c>
      <c r="V30" s="855">
        <v>0</v>
      </c>
      <c r="W30" s="405">
        <v>0</v>
      </c>
      <c r="X30" s="402">
        <v>0</v>
      </c>
      <c r="Y30" s="462">
        <f>+Y31</f>
        <v>0</v>
      </c>
      <c r="Z30" s="443">
        <f>+Z31</f>
        <v>0</v>
      </c>
      <c r="AA30" s="444">
        <v>0</v>
      </c>
      <c r="AB30" s="1387">
        <v>0</v>
      </c>
      <c r="AC30" s="461">
        <f>+AC31+AC32</f>
        <v>0</v>
      </c>
      <c r="AD30" s="1387">
        <f>+AD31+AD32</f>
        <v>0</v>
      </c>
      <c r="AE30" s="461">
        <f>+AE31+AE32</f>
        <v>0</v>
      </c>
      <c r="AF30" s="1697">
        <f>+AF31+AF32</f>
        <v>0</v>
      </c>
      <c r="AG30" s="1701">
        <f>+AG31</f>
        <v>2113574.0869999998</v>
      </c>
      <c r="AH30" s="1387">
        <v>0</v>
      </c>
      <c r="AI30" s="462">
        <f>+AI31</f>
        <v>91715.053</v>
      </c>
      <c r="AJ30" s="1306">
        <v>0</v>
      </c>
      <c r="AK30" s="445">
        <v>0</v>
      </c>
      <c r="AL30" s="462">
        <v>0</v>
      </c>
      <c r="AM30" s="470">
        <v>0</v>
      </c>
      <c r="AO30" s="1233"/>
      <c r="AP30" s="1233"/>
      <c r="AQ30" s="1233"/>
      <c r="AR30" s="1233"/>
      <c r="AS30" s="1233"/>
      <c r="AT30" s="1233"/>
      <c r="AU30" s="1233"/>
    </row>
    <row r="31" spans="2:47" s="374" customFormat="1" ht="15" customHeight="1" x14ac:dyDescent="0.25">
      <c r="B31" s="463" t="s">
        <v>2</v>
      </c>
      <c r="C31" s="142"/>
      <c r="D31" s="1578" t="s">
        <v>758</v>
      </c>
      <c r="E31" s="459"/>
      <c r="F31" s="609" t="s">
        <v>224</v>
      </c>
      <c r="G31" s="550" t="s">
        <v>146</v>
      </c>
      <c r="H31" s="464">
        <f>+'P03 2023'!I16</f>
        <v>5667935</v>
      </c>
      <c r="I31" s="442">
        <f>+'P03 2023'!FK22</f>
        <v>5667935</v>
      </c>
      <c r="J31" s="442">
        <f ca="1">SUMIF(S$6:$AM18,"ok",S31:AL31)</f>
        <v>2527610.1009999998</v>
      </c>
      <c r="K31" s="1337">
        <f t="shared" ca="1" si="6"/>
        <v>0.44594902746767556</v>
      </c>
      <c r="L31" s="1446">
        <f>+'P03 2023'!FL23</f>
        <v>2527610.1009999998</v>
      </c>
      <c r="M31" s="1338">
        <f t="shared" si="4"/>
        <v>0.44594902746767556</v>
      </c>
      <c r="N31" s="227">
        <f>+I31-L31</f>
        <v>3140324.8990000002</v>
      </c>
      <c r="O31" s="1339">
        <f t="shared" si="1"/>
        <v>0.55405097253232438</v>
      </c>
      <c r="P31" s="451">
        <f>+'P03 2022'!GU22</f>
        <v>9728520.7239999995</v>
      </c>
      <c r="Q31" s="774">
        <f>SUMIF($S$6:$AM$6,"SI",S31:AM31)</f>
        <v>0</v>
      </c>
      <c r="R31" s="1336">
        <f t="shared" si="5"/>
        <v>0</v>
      </c>
      <c r="S31" s="902">
        <v>0</v>
      </c>
      <c r="T31" s="913">
        <v>0</v>
      </c>
      <c r="U31" s="1119">
        <f>+'P03 2023'!W10</f>
        <v>322320.96100000001</v>
      </c>
      <c r="V31" s="856">
        <v>0</v>
      </c>
      <c r="W31" s="854">
        <v>0</v>
      </c>
      <c r="X31" s="1328">
        <v>0</v>
      </c>
      <c r="Y31" s="854">
        <v>0</v>
      </c>
      <c r="Z31" s="438">
        <v>0</v>
      </c>
      <c r="AA31" s="439">
        <v>0</v>
      </c>
      <c r="AB31" s="440">
        <v>0</v>
      </c>
      <c r="AC31" s="441">
        <v>0</v>
      </c>
      <c r="AD31" s="1304">
        <v>0</v>
      </c>
      <c r="AE31" s="553">
        <v>0</v>
      </c>
      <c r="AF31" s="1698">
        <v>0</v>
      </c>
      <c r="AG31" s="1702">
        <f>+'P03 2023'!EI6</f>
        <v>2113574.0869999998</v>
      </c>
      <c r="AH31" s="1304">
        <v>0</v>
      </c>
      <c r="AI31" s="1779">
        <f>+'P03 2023'!FB6</f>
        <v>91715.053</v>
      </c>
      <c r="AJ31" s="440">
        <v>0</v>
      </c>
      <c r="AK31" s="437">
        <v>0</v>
      </c>
      <c r="AL31" s="441">
        <v>0</v>
      </c>
      <c r="AM31" s="847">
        <v>0</v>
      </c>
      <c r="AN31" s="495"/>
      <c r="AO31" s="1233"/>
      <c r="AP31" s="1233"/>
      <c r="AQ31" s="1233"/>
      <c r="AR31" s="1233"/>
      <c r="AS31" s="1233"/>
      <c r="AT31" s="1233"/>
      <c r="AU31" s="1233"/>
    </row>
    <row r="32" spans="2:47" s="374" customFormat="1" ht="15" customHeight="1" x14ac:dyDescent="0.25">
      <c r="B32" s="463"/>
      <c r="C32" s="142"/>
      <c r="D32" s="140"/>
      <c r="E32" s="459"/>
      <c r="F32" s="609" t="s">
        <v>804</v>
      </c>
      <c r="G32" s="550" t="s">
        <v>658</v>
      </c>
      <c r="H32" s="464">
        <v>0</v>
      </c>
      <c r="I32" s="442">
        <v>0</v>
      </c>
      <c r="J32" s="442">
        <v>0</v>
      </c>
      <c r="K32" s="1337" t="str">
        <f t="shared" si="6"/>
        <v>0.00%</v>
      </c>
      <c r="L32" s="469">
        <v>0</v>
      </c>
      <c r="M32" s="1338">
        <f t="shared" si="4"/>
        <v>0</v>
      </c>
      <c r="N32" s="227">
        <v>0</v>
      </c>
      <c r="O32" s="1339">
        <f t="shared" si="1"/>
        <v>0</v>
      </c>
      <c r="P32" s="451">
        <v>0</v>
      </c>
      <c r="Q32" s="774">
        <f>SUMIF($S$6:$AM$6,"SI",S32:AM32)</f>
        <v>0</v>
      </c>
      <c r="R32" s="1336" t="str">
        <f t="shared" si="5"/>
        <v>0.00%</v>
      </c>
      <c r="S32" s="902">
        <v>0</v>
      </c>
      <c r="T32" s="913">
        <v>0</v>
      </c>
      <c r="U32" s="1119">
        <v>0</v>
      </c>
      <c r="V32" s="856">
        <v>0</v>
      </c>
      <c r="W32" s="854">
        <v>0</v>
      </c>
      <c r="X32" s="1328">
        <v>0</v>
      </c>
      <c r="Y32" s="854">
        <v>0</v>
      </c>
      <c r="Z32" s="438">
        <v>0</v>
      </c>
      <c r="AA32" s="439">
        <v>0</v>
      </c>
      <c r="AB32" s="440">
        <v>0</v>
      </c>
      <c r="AC32" s="441">
        <v>0</v>
      </c>
      <c r="AD32" s="1304">
        <v>0</v>
      </c>
      <c r="AE32" s="553">
        <v>0</v>
      </c>
      <c r="AF32" s="1698">
        <v>0</v>
      </c>
      <c r="AG32" s="1702">
        <v>0</v>
      </c>
      <c r="AH32" s="440">
        <v>0</v>
      </c>
      <c r="AI32" s="649">
        <v>0</v>
      </c>
      <c r="AJ32" s="440">
        <v>0</v>
      </c>
      <c r="AK32" s="437">
        <v>0</v>
      </c>
      <c r="AL32" s="441">
        <v>0</v>
      </c>
      <c r="AM32" s="847">
        <v>0</v>
      </c>
      <c r="AO32" s="1233"/>
      <c r="AP32" s="1233"/>
      <c r="AQ32" s="1233"/>
      <c r="AR32" s="1233"/>
      <c r="AS32" s="1233"/>
      <c r="AT32" s="1233"/>
      <c r="AU32" s="1233"/>
    </row>
    <row r="33" spans="1:47" s="374" customFormat="1" ht="15" customHeight="1" x14ac:dyDescent="0.25">
      <c r="B33" s="407" t="s">
        <v>4</v>
      </c>
      <c r="C33" s="134" t="s">
        <v>2</v>
      </c>
      <c r="D33" s="129"/>
      <c r="E33" s="465"/>
      <c r="F33" s="467"/>
      <c r="G33" s="468" t="s">
        <v>150</v>
      </c>
      <c r="H33" s="403">
        <f>+H37</f>
        <v>187115320</v>
      </c>
      <c r="I33" s="399">
        <f>+I37+I34</f>
        <v>287075320</v>
      </c>
      <c r="J33" s="399">
        <f ca="1">SUMIF(S$6:$AM20,"ok",S33:AL33)</f>
        <v>143218123.37900001</v>
      </c>
      <c r="K33" s="911">
        <f t="shared" ca="1" si="6"/>
        <v>0.49888692409713242</v>
      </c>
      <c r="L33" s="399">
        <f>+L34+L37</f>
        <v>171676203.76899999</v>
      </c>
      <c r="M33" s="909">
        <f t="shared" si="4"/>
        <v>0.59801798276842466</v>
      </c>
      <c r="N33" s="228">
        <f t="shared" ref="N33:N53" si="13">+I33-L33</f>
        <v>115399116.23100001</v>
      </c>
      <c r="O33" s="655">
        <f t="shared" si="1"/>
        <v>0.40198201723157534</v>
      </c>
      <c r="P33" s="408">
        <f>+P37+P34</f>
        <v>221478645.84599999</v>
      </c>
      <c r="Q33" s="409">
        <f>+Q37+Q34</f>
        <v>124400971.96000499</v>
      </c>
      <c r="R33" s="1323">
        <f t="shared" si="5"/>
        <v>0.56168382050928878</v>
      </c>
      <c r="S33" s="900">
        <f>+S34+S37</f>
        <v>5299311.7130000005</v>
      </c>
      <c r="T33" s="914">
        <f t="shared" ref="T33" si="14">+T37</f>
        <v>4966414.7034569997</v>
      </c>
      <c r="U33" s="1120">
        <f>+U34+U37</f>
        <v>10549772.704</v>
      </c>
      <c r="V33" s="855">
        <f>+V34+V37</f>
        <v>5105581.2549820002</v>
      </c>
      <c r="W33" s="435">
        <f>+W34+W37</f>
        <v>7321283.1030000001</v>
      </c>
      <c r="X33" s="402">
        <f>+X37</f>
        <v>8210521.8937419988</v>
      </c>
      <c r="Y33" s="1333">
        <f>+Y34+Y37</f>
        <v>8407440.0950000007</v>
      </c>
      <c r="Z33" s="443">
        <f t="shared" ref="Z33" si="15">+Z37</f>
        <v>6841583.9658589996</v>
      </c>
      <c r="AA33" s="444">
        <f>+AA37+AA34</f>
        <v>9405139.498999998</v>
      </c>
      <c r="AB33" s="1306">
        <f>+AB37+AB34</f>
        <v>2747298.7065879996</v>
      </c>
      <c r="AC33" s="462">
        <f>+AC37+AC34</f>
        <v>14500608.623999998</v>
      </c>
      <c r="AD33" s="1306">
        <f>+AD37+AD34</f>
        <v>3917266.9572859998</v>
      </c>
      <c r="AE33" s="462">
        <f t="shared" ref="AE33:AJ33" si="16">+AE37</f>
        <v>45326530.854000002</v>
      </c>
      <c r="AF33" s="443">
        <f t="shared" si="16"/>
        <v>15165417.146102998</v>
      </c>
      <c r="AG33" s="444">
        <f t="shared" si="16"/>
        <v>26256681.021999996</v>
      </c>
      <c r="AH33" s="1306">
        <f t="shared" si="16"/>
        <v>70018722.066271991</v>
      </c>
      <c r="AI33" s="462">
        <f>+AI37</f>
        <v>16151355.765000001</v>
      </c>
      <c r="AJ33" s="1306">
        <f t="shared" si="16"/>
        <v>7428165.2657159995</v>
      </c>
      <c r="AK33" s="445">
        <f>+AK34+AK37</f>
        <v>14250115.327000001</v>
      </c>
      <c r="AL33" s="443">
        <f>+AL37+AL34</f>
        <v>47427725.750999995</v>
      </c>
      <c r="AM33" s="470">
        <f>+AM34+AM37</f>
        <v>54491117.071999997</v>
      </c>
      <c r="AO33" s="1233"/>
      <c r="AP33" s="1233"/>
      <c r="AQ33" s="1233"/>
      <c r="AR33" s="1233"/>
      <c r="AS33" s="1233"/>
      <c r="AT33" s="1233"/>
      <c r="AU33" s="1233"/>
    </row>
    <row r="34" spans="1:47" s="374" customFormat="1" ht="15" hidden="1" customHeight="1" x14ac:dyDescent="0.25">
      <c r="B34" s="407"/>
      <c r="C34" s="134" t="s">
        <v>441</v>
      </c>
      <c r="D34" s="129"/>
      <c r="E34" s="465"/>
      <c r="F34" s="467"/>
      <c r="G34" s="468" t="s">
        <v>86</v>
      </c>
      <c r="H34" s="403">
        <v>0</v>
      </c>
      <c r="I34" s="399">
        <f>+I35+I36</f>
        <v>0</v>
      </c>
      <c r="J34" s="399">
        <f ca="1">SUMIF(S$6:$AM21,"ok",S34:AL34)</f>
        <v>0</v>
      </c>
      <c r="K34" s="911" t="str">
        <f t="shared" ca="1" si="6"/>
        <v>0.00%</v>
      </c>
      <c r="L34" s="399">
        <f>+L35+L36</f>
        <v>0</v>
      </c>
      <c r="M34" s="909">
        <f t="shared" si="4"/>
        <v>0</v>
      </c>
      <c r="N34" s="228">
        <f t="shared" si="13"/>
        <v>0</v>
      </c>
      <c r="O34" s="655">
        <f t="shared" si="1"/>
        <v>0</v>
      </c>
      <c r="P34" s="408">
        <f>+P36+P35</f>
        <v>0</v>
      </c>
      <c r="Q34" s="409">
        <f>+Q36+Q35</f>
        <v>0</v>
      </c>
      <c r="R34" s="1323" t="str">
        <f t="shared" si="5"/>
        <v>0.00%</v>
      </c>
      <c r="S34" s="900">
        <f>SUM(S35:S36)</f>
        <v>0</v>
      </c>
      <c r="T34" s="914">
        <v>0</v>
      </c>
      <c r="U34" s="1120">
        <f>+U35+U36</f>
        <v>0</v>
      </c>
      <c r="V34" s="855">
        <v>0</v>
      </c>
      <c r="W34" s="405">
        <v>0</v>
      </c>
      <c r="X34" s="402">
        <v>0</v>
      </c>
      <c r="Y34" s="435">
        <v>0</v>
      </c>
      <c r="Z34" s="411">
        <v>0</v>
      </c>
      <c r="AA34" s="372">
        <v>0</v>
      </c>
      <c r="AB34" s="1306">
        <v>0</v>
      </c>
      <c r="AC34" s="462">
        <v>0</v>
      </c>
      <c r="AD34" s="1306">
        <v>0</v>
      </c>
      <c r="AE34" s="462">
        <v>0</v>
      </c>
      <c r="AF34" s="443">
        <v>0</v>
      </c>
      <c r="AG34" s="444">
        <v>0</v>
      </c>
      <c r="AH34" s="1306">
        <v>0</v>
      </c>
      <c r="AI34" s="462">
        <v>0</v>
      </c>
      <c r="AJ34" s="1306">
        <v>0</v>
      </c>
      <c r="AK34" s="445">
        <v>0</v>
      </c>
      <c r="AL34" s="443">
        <f>+AL36</f>
        <v>0</v>
      </c>
      <c r="AM34" s="470">
        <f>+AM35</f>
        <v>881025</v>
      </c>
      <c r="AO34" s="1233"/>
      <c r="AP34" s="1233"/>
      <c r="AQ34" s="1233"/>
      <c r="AR34" s="1233"/>
      <c r="AS34" s="1233"/>
      <c r="AT34" s="1233"/>
      <c r="AU34" s="1233"/>
    </row>
    <row r="35" spans="1:47" s="374" customFormat="1" ht="15" hidden="1" customHeight="1" x14ac:dyDescent="0.25">
      <c r="B35" s="757"/>
      <c r="C35" s="357"/>
      <c r="D35" s="758"/>
      <c r="E35" s="459"/>
      <c r="F35" s="1246" t="s">
        <v>913</v>
      </c>
      <c r="G35" s="550" t="s">
        <v>507</v>
      </c>
      <c r="H35" s="716">
        <v>0</v>
      </c>
      <c r="I35" s="442">
        <v>0</v>
      </c>
      <c r="J35" s="774">
        <f ca="1">SUMIF(S$6:$AM22,"ok",S35:AL35)</f>
        <v>0</v>
      </c>
      <c r="K35" s="1337" t="str">
        <f t="shared" ca="1" si="6"/>
        <v>0.00%</v>
      </c>
      <c r="L35" s="717">
        <v>0</v>
      </c>
      <c r="M35" s="1338">
        <f t="shared" si="4"/>
        <v>0</v>
      </c>
      <c r="N35" s="227">
        <f>+I35-L35</f>
        <v>0</v>
      </c>
      <c r="O35" s="1339">
        <f t="shared" si="1"/>
        <v>0</v>
      </c>
      <c r="P35" s="451">
        <v>0</v>
      </c>
      <c r="Q35" s="718">
        <f>SUMIF($S$6:$AM$6,"SI",S35:AM35)</f>
        <v>0</v>
      </c>
      <c r="R35" s="1336" t="str">
        <f t="shared" si="5"/>
        <v>0.00%</v>
      </c>
      <c r="S35" s="902">
        <v>0</v>
      </c>
      <c r="T35" s="913">
        <v>0</v>
      </c>
      <c r="U35" s="1119">
        <v>0</v>
      </c>
      <c r="V35" s="856">
        <v>0</v>
      </c>
      <c r="W35" s="854">
        <v>0</v>
      </c>
      <c r="X35" s="1340">
        <v>0</v>
      </c>
      <c r="Y35" s="1334">
        <v>0</v>
      </c>
      <c r="Z35" s="1382">
        <v>0</v>
      </c>
      <c r="AA35" s="413">
        <v>0</v>
      </c>
      <c r="AB35" s="1388">
        <v>0</v>
      </c>
      <c r="AC35" s="759">
        <v>0</v>
      </c>
      <c r="AD35" s="1388">
        <v>0</v>
      </c>
      <c r="AE35" s="759">
        <v>0</v>
      </c>
      <c r="AF35" s="1514">
        <v>0</v>
      </c>
      <c r="AG35" s="1515">
        <v>0</v>
      </c>
      <c r="AH35" s="1388">
        <v>0</v>
      </c>
      <c r="AI35" s="1777">
        <v>0</v>
      </c>
      <c r="AJ35" s="1388">
        <v>0</v>
      </c>
      <c r="AK35" s="852"/>
      <c r="AL35" s="649">
        <v>0</v>
      </c>
      <c r="AM35" s="848">
        <f>+'P03 2022'!JK9</f>
        <v>881025</v>
      </c>
      <c r="AO35" s="1233"/>
      <c r="AP35" s="1233"/>
      <c r="AQ35" s="1233"/>
      <c r="AR35" s="1233"/>
      <c r="AS35" s="1233"/>
      <c r="AT35" s="1233"/>
      <c r="AU35" s="1233"/>
    </row>
    <row r="36" spans="1:47" s="720" customFormat="1" ht="15" hidden="1" customHeight="1" x14ac:dyDescent="0.25">
      <c r="B36" s="712"/>
      <c r="C36" s="713"/>
      <c r="D36" s="714"/>
      <c r="E36" s="715"/>
      <c r="F36" s="1246" t="s">
        <v>912</v>
      </c>
      <c r="G36" s="550" t="s">
        <v>704</v>
      </c>
      <c r="H36" s="716">
        <v>0</v>
      </c>
      <c r="I36" s="442">
        <v>0</v>
      </c>
      <c r="J36" s="442">
        <v>0</v>
      </c>
      <c r="K36" s="1337" t="str">
        <f t="shared" si="6"/>
        <v>0.00%</v>
      </c>
      <c r="L36" s="717">
        <v>0</v>
      </c>
      <c r="M36" s="1338">
        <f t="shared" si="4"/>
        <v>0</v>
      </c>
      <c r="N36" s="227">
        <f t="shared" si="13"/>
        <v>0</v>
      </c>
      <c r="O36" s="1339">
        <f t="shared" si="1"/>
        <v>0</v>
      </c>
      <c r="P36" s="451">
        <v>0</v>
      </c>
      <c r="Q36" s="718">
        <f>SUMIF($S$6:$AM$6,"SI",S36:AM36)</f>
        <v>0</v>
      </c>
      <c r="R36" s="1336" t="str">
        <f>IFERROR(Q36/P36,"0.00%")</f>
        <v>0.00%</v>
      </c>
      <c r="S36" s="902">
        <v>0</v>
      </c>
      <c r="T36" s="915">
        <v>0</v>
      </c>
      <c r="U36" s="1121">
        <v>0</v>
      </c>
      <c r="V36" s="857">
        <v>0</v>
      </c>
      <c r="W36" s="1243">
        <v>0</v>
      </c>
      <c r="X36" s="1329">
        <v>0</v>
      </c>
      <c r="Y36" s="1332">
        <v>0</v>
      </c>
      <c r="Z36" s="1329">
        <v>0</v>
      </c>
      <c r="AA36" s="716">
        <v>0</v>
      </c>
      <c r="AB36" s="1389">
        <v>0</v>
      </c>
      <c r="AC36" s="719">
        <v>0</v>
      </c>
      <c r="AD36" s="1389">
        <v>0</v>
      </c>
      <c r="AE36" s="719">
        <v>0</v>
      </c>
      <c r="AF36" s="1699">
        <v>0</v>
      </c>
      <c r="AG36" s="1703">
        <v>0</v>
      </c>
      <c r="AH36" s="1389">
        <v>0</v>
      </c>
      <c r="AI36" s="1780">
        <v>0</v>
      </c>
      <c r="AJ36" s="1389">
        <v>0</v>
      </c>
      <c r="AK36" s="853">
        <v>0</v>
      </c>
      <c r="AL36" s="719">
        <v>0</v>
      </c>
      <c r="AM36" s="849">
        <v>0</v>
      </c>
      <c r="AN36" s="374"/>
      <c r="AO36" s="1233"/>
      <c r="AP36" s="1233"/>
      <c r="AQ36" s="1233"/>
      <c r="AR36" s="1233"/>
      <c r="AS36" s="1233"/>
      <c r="AT36" s="1233"/>
      <c r="AU36" s="1233"/>
    </row>
    <row r="37" spans="1:47" s="374" customFormat="1" ht="15" customHeight="1" x14ac:dyDescent="0.25">
      <c r="B37" s="407"/>
      <c r="C37" s="134">
        <v>3</v>
      </c>
      <c r="D37" s="129"/>
      <c r="E37" s="465"/>
      <c r="F37" s="467"/>
      <c r="G37" s="468" t="s">
        <v>211</v>
      </c>
      <c r="H37" s="403">
        <f>+H51+H52++H38+H43+H50</f>
        <v>187115320</v>
      </c>
      <c r="I37" s="399">
        <f>+I51+I52++I38+I43+I50+I53</f>
        <v>287075320</v>
      </c>
      <c r="J37" s="399">
        <f ca="1">+J51+J52++J38+J43+J50+J53</f>
        <v>143218123.37899998</v>
      </c>
      <c r="K37" s="911">
        <f t="shared" ca="1" si="6"/>
        <v>0.49888692409713237</v>
      </c>
      <c r="L37" s="399">
        <f>+L51+L52++L38+L43+L50+L53</f>
        <v>171676203.76899999</v>
      </c>
      <c r="M37" s="909">
        <f t="shared" si="4"/>
        <v>0.59801798276842466</v>
      </c>
      <c r="N37" s="399">
        <f>+N51+N52++N38+N43+N50+N53</f>
        <v>115399116.23099998</v>
      </c>
      <c r="O37" s="655">
        <f t="shared" si="1"/>
        <v>0.40198201723157523</v>
      </c>
      <c r="P37" s="403">
        <f t="shared" ref="P37:AM37" si="17">+P51+P52++P38+P43+P50</f>
        <v>221478645.84599999</v>
      </c>
      <c r="Q37" s="409">
        <f t="shared" si="17"/>
        <v>124400971.96000499</v>
      </c>
      <c r="R37" s="1323">
        <f t="shared" si="5"/>
        <v>0.56168382050928878</v>
      </c>
      <c r="S37" s="403">
        <f t="shared" si="17"/>
        <v>5299311.7130000005</v>
      </c>
      <c r="T37" s="447">
        <f t="shared" si="17"/>
        <v>4966414.7034569997</v>
      </c>
      <c r="U37" s="403">
        <f>+U38+U43+U50+U51+U52+U54</f>
        <v>10549772.704</v>
      </c>
      <c r="V37" s="447">
        <f t="shared" si="17"/>
        <v>5105581.2549820002</v>
      </c>
      <c r="W37" s="435">
        <f>+W38+W43+W50+W51+W52</f>
        <v>7321283.1030000001</v>
      </c>
      <c r="X37" s="402">
        <f t="shared" si="17"/>
        <v>8210521.8937419988</v>
      </c>
      <c r="Y37" s="435">
        <f>+Y38+Y43+Y50+Y51+Y52</f>
        <v>8407440.0950000007</v>
      </c>
      <c r="Z37" s="402">
        <f t="shared" si="17"/>
        <v>6841583.9658589996</v>
      </c>
      <c r="AA37" s="403">
        <f t="shared" si="17"/>
        <v>9405139.498999998</v>
      </c>
      <c r="AB37" s="404">
        <f t="shared" si="17"/>
        <v>2747298.7065879996</v>
      </c>
      <c r="AC37" s="435">
        <f t="shared" si="17"/>
        <v>14500608.623999998</v>
      </c>
      <c r="AD37" s="404">
        <f t="shared" si="17"/>
        <v>3917266.9572859998</v>
      </c>
      <c r="AE37" s="435">
        <f t="shared" si="17"/>
        <v>45326530.854000002</v>
      </c>
      <c r="AF37" s="402">
        <f t="shared" si="17"/>
        <v>15165417.146102998</v>
      </c>
      <c r="AG37" s="403">
        <f>+AG51+AG52++AG38+AG43+AG50</f>
        <v>26256681.021999996</v>
      </c>
      <c r="AH37" s="404">
        <f t="shared" si="17"/>
        <v>70018722.066271991</v>
      </c>
      <c r="AI37" s="435">
        <f>+AI51+AI52++AI38+AI43+AI50</f>
        <v>16151355.765000001</v>
      </c>
      <c r="AJ37" s="404">
        <f t="shared" si="17"/>
        <v>7428165.2657159995</v>
      </c>
      <c r="AK37" s="403">
        <f t="shared" si="17"/>
        <v>14250115.327000001</v>
      </c>
      <c r="AL37" s="403">
        <f t="shared" si="17"/>
        <v>47427725.750999995</v>
      </c>
      <c r="AM37" s="447">
        <f t="shared" si="17"/>
        <v>53610092.071999997</v>
      </c>
      <c r="AO37" s="1233"/>
      <c r="AP37" s="1233"/>
      <c r="AQ37" s="1233"/>
      <c r="AR37" s="1233"/>
      <c r="AS37" s="1233"/>
      <c r="AT37" s="1233"/>
      <c r="AU37" s="1233"/>
    </row>
    <row r="38" spans="1:47" s="374" customFormat="1" ht="15" customHeight="1" x14ac:dyDescent="0.25">
      <c r="A38" s="1523"/>
      <c r="B38" s="1453"/>
      <c r="C38" s="1454"/>
      <c r="D38" s="1455">
        <v>5</v>
      </c>
      <c r="E38" s="1380"/>
      <c r="F38" s="1375"/>
      <c r="G38" s="1498" t="s">
        <v>967</v>
      </c>
      <c r="H38" s="1456">
        <f>SUM(H39:H42)</f>
        <v>90277278</v>
      </c>
      <c r="I38" s="1457">
        <f t="shared" ref="I38:AM38" si="18">SUM(I39:I42)</f>
        <v>155277278</v>
      </c>
      <c r="J38" s="1457">
        <f t="shared" ca="1" si="18"/>
        <v>77304713.041999996</v>
      </c>
      <c r="K38" s="1376">
        <f t="shared" ca="1" si="6"/>
        <v>0.49784948601430273</v>
      </c>
      <c r="L38" s="1457">
        <f t="shared" si="18"/>
        <v>85828829.418000013</v>
      </c>
      <c r="M38" s="1377">
        <f t="shared" si="4"/>
        <v>0.5527455821192333</v>
      </c>
      <c r="N38" s="1457">
        <f t="shared" si="18"/>
        <v>69448448.581999987</v>
      </c>
      <c r="O38" s="1378">
        <f t="shared" si="1"/>
        <v>0.44725441788076675</v>
      </c>
      <c r="P38" s="1456">
        <f t="shared" si="18"/>
        <v>96159192.855119988</v>
      </c>
      <c r="Q38" s="1458">
        <f t="shared" si="18"/>
        <v>56190896.248337001</v>
      </c>
      <c r="R38" s="1459">
        <f t="shared" si="5"/>
        <v>0.58435282763862262</v>
      </c>
      <c r="S38" s="1456">
        <f t="shared" si="18"/>
        <v>5121955.6190000009</v>
      </c>
      <c r="T38" s="1524">
        <f t="shared" si="18"/>
        <v>4470659.390199</v>
      </c>
      <c r="U38" s="1456">
        <f>SUM(U39:U42)</f>
        <v>3793151.8249999997</v>
      </c>
      <c r="V38" s="1524">
        <f t="shared" si="18"/>
        <v>1734571.3548019999</v>
      </c>
      <c r="W38" s="1524">
        <f>SUM(W39:W42)</f>
        <v>3448872.4360000002</v>
      </c>
      <c r="X38" s="1493">
        <f>SUM(X39:X42)</f>
        <v>2938290.4624729999</v>
      </c>
      <c r="Y38" s="1463">
        <f t="shared" si="18"/>
        <v>4531045.9430000009</v>
      </c>
      <c r="Z38" s="1493">
        <f t="shared" si="18"/>
        <v>4901214.7129779998</v>
      </c>
      <c r="AA38" s="1456">
        <f t="shared" si="18"/>
        <v>5296406.0769999996</v>
      </c>
      <c r="AB38" s="1525">
        <f t="shared" si="18"/>
        <v>440832.64701700001</v>
      </c>
      <c r="AC38" s="1463">
        <f t="shared" si="18"/>
        <v>10102376.993999999</v>
      </c>
      <c r="AD38" s="1525">
        <f t="shared" si="18"/>
        <v>991169.96796899987</v>
      </c>
      <c r="AE38" s="1499">
        <f t="shared" si="18"/>
        <v>21174083.484000001</v>
      </c>
      <c r="AF38" s="1493">
        <f t="shared" si="18"/>
        <v>7050456.3256879998</v>
      </c>
      <c r="AG38" s="1456">
        <f>SUM(AG39:AG42)</f>
        <v>15469480.304999998</v>
      </c>
      <c r="AH38" s="1525">
        <f t="shared" si="18"/>
        <v>29513710.162510999</v>
      </c>
      <c r="AI38" s="1525">
        <f t="shared" si="18"/>
        <v>8367340.3590000002</v>
      </c>
      <c r="AJ38" s="1525">
        <f t="shared" si="18"/>
        <v>4149991.2246999997</v>
      </c>
      <c r="AK38" s="1456">
        <f t="shared" si="18"/>
        <v>4743668.4069999997</v>
      </c>
      <c r="AL38" s="1456">
        <f t="shared" si="18"/>
        <v>24305348.416999999</v>
      </c>
      <c r="AM38" s="1524">
        <f t="shared" si="18"/>
        <v>23764198.877999999</v>
      </c>
      <c r="AO38" s="1233"/>
      <c r="AP38" s="1233"/>
      <c r="AQ38" s="1233"/>
      <c r="AR38" s="1233"/>
      <c r="AS38" s="1233"/>
      <c r="AT38" s="1233"/>
      <c r="AU38" s="1233"/>
    </row>
    <row r="39" spans="1:47" s="374" customFormat="1" ht="15" hidden="1" customHeight="1" x14ac:dyDescent="0.25">
      <c r="B39" s="1460"/>
      <c r="C39" s="1461"/>
      <c r="D39" s="1462"/>
      <c r="E39" s="1379">
        <v>1</v>
      </c>
      <c r="F39" s="1375" t="s">
        <v>969</v>
      </c>
      <c r="G39" s="550" t="s">
        <v>676</v>
      </c>
      <c r="H39" s="464">
        <f>+'P03 2023'!I17</f>
        <v>42112712</v>
      </c>
      <c r="I39" s="442">
        <f>+'P03 2023'!FK24</f>
        <v>42112712</v>
      </c>
      <c r="J39" s="442">
        <f ca="1">SUMIF(S$6:$AM$6,"ok",S39:AL39)</f>
        <v>7996854.629999999</v>
      </c>
      <c r="K39" s="1337">
        <f t="shared" ca="1" si="6"/>
        <v>0.18989170372119465</v>
      </c>
      <c r="L39" s="1446">
        <f>+'P03 2023'!FL25</f>
        <v>9142700.1380000003</v>
      </c>
      <c r="M39" s="1338">
        <f t="shared" si="4"/>
        <v>0.21710072098894986</v>
      </c>
      <c r="N39" s="227">
        <f>+I39-L39</f>
        <v>32970011.862</v>
      </c>
      <c r="O39" s="1339">
        <f t="shared" si="1"/>
        <v>0.78289927901105016</v>
      </c>
      <c r="P39" s="451">
        <f>+'P03 2022'!GU29</f>
        <v>13123731.5625</v>
      </c>
      <c r="Q39" s="774">
        <f>SUMIF($S$6:$AM$6,"SI",S39:AM39)</f>
        <v>2877623.2836409998</v>
      </c>
      <c r="R39" s="1336">
        <f t="shared" si="5"/>
        <v>0.21926867902903283</v>
      </c>
      <c r="S39" s="902">
        <v>0</v>
      </c>
      <c r="T39" s="913">
        <v>0</v>
      </c>
      <c r="U39" s="1119">
        <v>0</v>
      </c>
      <c r="V39" s="856">
        <v>0</v>
      </c>
      <c r="W39" s="854">
        <v>0</v>
      </c>
      <c r="X39" s="1328">
        <v>0</v>
      </c>
      <c r="Y39" s="440">
        <v>0</v>
      </c>
      <c r="Z39" s="438">
        <v>0</v>
      </c>
      <c r="AA39" s="439">
        <f>+'P03 2023'!CB11</f>
        <v>407480.75</v>
      </c>
      <c r="AB39" s="440">
        <f>+'P03 2022'!CD11</f>
        <v>82136.874715999991</v>
      </c>
      <c r="AC39" s="441">
        <f>+'P03 2023'!CV6</f>
        <v>456587.88699999999</v>
      </c>
      <c r="AD39" s="440">
        <f>+'P03 2022'!DD12</f>
        <v>329239.41087899997</v>
      </c>
      <c r="AE39" s="441">
        <f>+'P03 2023'!DQ7</f>
        <v>1137339.855</v>
      </c>
      <c r="AF39" s="438">
        <f>+'P03 2022'!EE9</f>
        <v>1064658.7349639998</v>
      </c>
      <c r="AG39" s="439">
        <f>+'P03 2023'!EI7</f>
        <v>4984719.7989999996</v>
      </c>
      <c r="AH39" s="440">
        <f>+'P03 2022'!FG12</f>
        <v>730746.82892300002</v>
      </c>
      <c r="AI39" s="649">
        <f>+'P03 2023'!FB7</f>
        <v>1010726.339</v>
      </c>
      <c r="AJ39" s="440">
        <f>+'P03 2022'!GI13</f>
        <v>670841.43415899994</v>
      </c>
      <c r="AK39" s="437">
        <f>+'P03 2022'!HK10</f>
        <v>558900.00100000005</v>
      </c>
      <c r="AL39" s="441">
        <f>+'P03 2022'!IM23</f>
        <v>3673917.3360000001</v>
      </c>
      <c r="AM39" s="850">
        <f>+'P03 2022'!JK13</f>
        <v>2866048.6340000001</v>
      </c>
      <c r="AO39" s="1233"/>
      <c r="AP39" s="1233"/>
      <c r="AQ39" s="1233"/>
      <c r="AR39" s="1233"/>
      <c r="AS39" s="1233"/>
      <c r="AT39" s="1233"/>
      <c r="AU39" s="1233"/>
    </row>
    <row r="40" spans="1:47" s="374" customFormat="1" ht="15" hidden="1" customHeight="1" x14ac:dyDescent="0.25">
      <c r="B40" s="1460"/>
      <c r="C40" s="1461"/>
      <c r="D40" s="1462"/>
      <c r="E40" s="1379">
        <v>2</v>
      </c>
      <c r="F40" s="1375" t="s">
        <v>970</v>
      </c>
      <c r="G40" s="550" t="s">
        <v>677</v>
      </c>
      <c r="H40" s="464">
        <f>+'P03 2023'!I18</f>
        <v>26521300</v>
      </c>
      <c r="I40" s="442">
        <f>+'P03 2023'!FK26</f>
        <v>73944300</v>
      </c>
      <c r="J40" s="442">
        <f ca="1">SUMIF(S$6:$AM$6,"ok",S40:AL40)</f>
        <v>47305570.348999999</v>
      </c>
      <c r="K40" s="1337">
        <f t="shared" ca="1" si="6"/>
        <v>0.63974600272096704</v>
      </c>
      <c r="L40" s="1446">
        <f>+'P03 2023'!FL27</f>
        <v>50643181.997000001</v>
      </c>
      <c r="M40" s="1338">
        <f t="shared" si="4"/>
        <v>0.68488283744656453</v>
      </c>
      <c r="N40" s="227">
        <f>+I40-L40</f>
        <v>23301118.002999999</v>
      </c>
      <c r="O40" s="1339">
        <f t="shared" si="1"/>
        <v>0.31511716255343547</v>
      </c>
      <c r="P40" s="451">
        <f>+'P03 2022'!GU31</f>
        <v>64023069.194199994</v>
      </c>
      <c r="Q40" s="774">
        <f>SUMIF($S$6:$AM$6,"SI",S40:AM40)</f>
        <v>39078676.984733999</v>
      </c>
      <c r="R40" s="1336">
        <f t="shared" si="5"/>
        <v>0.61038431110194624</v>
      </c>
      <c r="S40" s="1248">
        <f>+'P03 2023'!K19</f>
        <v>343835.12800000003</v>
      </c>
      <c r="T40" s="913">
        <f>+'P03 2022'!H26</f>
        <v>114513.945568</v>
      </c>
      <c r="U40" s="1119">
        <f>+'P03 2023'!W11</f>
        <v>3167207.9989999998</v>
      </c>
      <c r="V40" s="856">
        <f>+'P03 2022'!Q8</f>
        <v>1538904.614209</v>
      </c>
      <c r="W40" s="854">
        <f>+'P03 2023'!AO9</f>
        <v>2591537.16</v>
      </c>
      <c r="X40" s="1328">
        <f>+'P03 2022'!AI11</f>
        <v>2938290.4624729999</v>
      </c>
      <c r="Y40" s="440">
        <f>+'P03 2023'!BI8</f>
        <v>2046857.7690000001</v>
      </c>
      <c r="Z40" s="1381">
        <f>+'P03 2022'!BC6</f>
        <v>255930.00387399999</v>
      </c>
      <c r="AA40" s="439">
        <f>+'P03 2023'!CB12</f>
        <v>2557719.02</v>
      </c>
      <c r="AB40" s="440">
        <f>+'P03 2022'!CD12</f>
        <v>358695.77230100002</v>
      </c>
      <c r="AC40" s="441">
        <f>+'P03 2023'!CV7</f>
        <v>4418712.1579999998</v>
      </c>
      <c r="AD40" s="440">
        <f>+'P03 2022'!DD14</f>
        <v>375143.60000199999</v>
      </c>
      <c r="AE40" s="441">
        <f>+'P03 2023'!DQ8</f>
        <v>18656841.785999998</v>
      </c>
      <c r="AF40" s="438">
        <f>+'P03 2022'!EE10</f>
        <v>1297419.8725330001</v>
      </c>
      <c r="AG40" s="439">
        <f>+'P03 2023'!EI8</f>
        <v>7247107.6399999997</v>
      </c>
      <c r="AH40" s="440">
        <f>+'P03 2022'!FG14</f>
        <v>28720628.923232995</v>
      </c>
      <c r="AI40" s="649">
        <f>+'P03 2023'!FB8</f>
        <v>6275751.6890000002</v>
      </c>
      <c r="AJ40" s="440">
        <f>+'P03 2022'!GI14</f>
        <v>3479149.7905409997</v>
      </c>
      <c r="AK40" s="437">
        <f>+'P03 2022'!HK11</f>
        <v>2238570.0959999999</v>
      </c>
      <c r="AL40" s="441">
        <f>+'P03 2022'!IM26</f>
        <v>17459232.348000001</v>
      </c>
      <c r="AM40" s="850">
        <f>+'P03 2022'!JK14</f>
        <v>1594899.2660000001</v>
      </c>
      <c r="AO40" s="1233"/>
      <c r="AP40" s="1233"/>
      <c r="AQ40" s="1233"/>
      <c r="AR40" s="1233"/>
      <c r="AS40" s="1233"/>
      <c r="AT40" s="1233"/>
      <c r="AU40" s="1233"/>
    </row>
    <row r="41" spans="1:47" s="374" customFormat="1" ht="15" hidden="1" customHeight="1" x14ac:dyDescent="0.25">
      <c r="B41" s="1460"/>
      <c r="C41" s="1461"/>
      <c r="D41" s="1462"/>
      <c r="E41" s="1379">
        <v>3</v>
      </c>
      <c r="F41" s="1375" t="s">
        <v>971</v>
      </c>
      <c r="G41" s="550" t="s">
        <v>678</v>
      </c>
      <c r="H41" s="464">
        <f>+'P03 2023'!I20</f>
        <v>16643266</v>
      </c>
      <c r="I41" s="442">
        <f>+'P03 2023'!FK28</f>
        <v>17220266</v>
      </c>
      <c r="J41" s="442">
        <f ca="1">SUMIF(S$6:$AM$6,"ok",S41:AL41)</f>
        <v>13711589.243000001</v>
      </c>
      <c r="K41" s="1337">
        <f t="shared" ca="1" si="6"/>
        <v>0.79624723816693666</v>
      </c>
      <c r="L41" s="1446">
        <f>+'P03 2023'!FL29</f>
        <v>17207282.894000001</v>
      </c>
      <c r="M41" s="1338">
        <f t="shared" si="4"/>
        <v>0.99924605659401555</v>
      </c>
      <c r="N41" s="227">
        <f>+I41-L41</f>
        <v>12983.105999998748</v>
      </c>
      <c r="O41" s="1339">
        <f t="shared" si="1"/>
        <v>7.539434059844806E-4</v>
      </c>
      <c r="P41" s="451">
        <f>+'P03 2022'!GU33</f>
        <v>19012392.098419998</v>
      </c>
      <c r="Q41" s="774">
        <f>SUMIF($S$6:$AM$6,"SI",S41:AM41)</f>
        <v>14234595.979961999</v>
      </c>
      <c r="R41" s="1336">
        <f t="shared" si="5"/>
        <v>0.7487009475859141</v>
      </c>
      <c r="S41" s="1248">
        <f>+'P03 2023'!K21</f>
        <v>4778120.4910000004</v>
      </c>
      <c r="T41" s="913">
        <f>+'P03 2022'!H28</f>
        <v>4356145.444631</v>
      </c>
      <c r="U41" s="1119">
        <f>+'P03 2023'!W12</f>
        <v>30909.655999999999</v>
      </c>
      <c r="V41" s="856">
        <f>+'P03 2022'!Q9</f>
        <v>195666.74059299997</v>
      </c>
      <c r="W41" s="854">
        <v>0</v>
      </c>
      <c r="X41" s="1328">
        <v>0</v>
      </c>
      <c r="Y41" s="854">
        <f>+'P03 2023'!BI9</f>
        <v>2259828.6490000002</v>
      </c>
      <c r="Z41" s="1381">
        <f>+'P03 2022'!BC7</f>
        <v>4645284.7091039997</v>
      </c>
      <c r="AA41" s="439">
        <f>+'P03 2023'!CB14</f>
        <v>846022.78099999996</v>
      </c>
      <c r="AB41" s="440">
        <f>+'P03 2022'!CD13</f>
        <v>0</v>
      </c>
      <c r="AC41" s="441">
        <f>+'P03 2023'!CV8</f>
        <v>1905624.2560000001</v>
      </c>
      <c r="AD41" s="440">
        <f>+'P03 2022'!DD16</f>
        <v>286786.95708799997</v>
      </c>
      <c r="AE41" s="441">
        <f>+'P03 2023'!DQ9</f>
        <v>1026747.791</v>
      </c>
      <c r="AF41" s="438">
        <f>+'P03 2022'!EE11</f>
        <v>4688377.7181909997</v>
      </c>
      <c r="AG41" s="439">
        <f>+'P03 2023'!EI9</f>
        <v>2864335.6189999999</v>
      </c>
      <c r="AH41" s="440">
        <f>+'P03 2022'!FG15</f>
        <v>62334.410354999993</v>
      </c>
      <c r="AI41" s="374">
        <v>0</v>
      </c>
      <c r="AJ41" s="440">
        <v>0</v>
      </c>
      <c r="AK41" s="437">
        <f>+'P03 2022'!HK13</f>
        <v>1946198.31</v>
      </c>
      <c r="AL41" s="441">
        <f>+'P03 2022'!IM27</f>
        <v>701779.527</v>
      </c>
      <c r="AM41" s="850">
        <f>+'P03 2022'!JK15</f>
        <v>1744767.2150000001</v>
      </c>
      <c r="AO41" s="1233"/>
      <c r="AP41" s="1233"/>
      <c r="AQ41" s="1233"/>
      <c r="AR41" s="1233"/>
      <c r="AS41" s="1233"/>
      <c r="AT41" s="1233"/>
      <c r="AU41" s="1233"/>
    </row>
    <row r="42" spans="1:47" s="374" customFormat="1" ht="15" hidden="1" customHeight="1" x14ac:dyDescent="0.25">
      <c r="B42" s="1460"/>
      <c r="C42" s="1461"/>
      <c r="D42" s="1462"/>
      <c r="E42" s="1379">
        <v>8</v>
      </c>
      <c r="F42" s="1375" t="s">
        <v>972</v>
      </c>
      <c r="G42" s="550" t="str">
        <f>+'P03 2022'!HP35</f>
        <v>Emergencia S.P.D.</v>
      </c>
      <c r="H42" s="464">
        <f>+'P03 2023'!I22</f>
        <v>5000000</v>
      </c>
      <c r="I42" s="442">
        <f>+'P03 2023'!FK30</f>
        <v>22000000</v>
      </c>
      <c r="J42" s="442">
        <f ca="1">SUMIF(S$6:$AM$6,"ok",S42:AL42)</f>
        <v>8290698.8200000003</v>
      </c>
      <c r="K42" s="1337">
        <f t="shared" ca="1" si="6"/>
        <v>0.37684994636363639</v>
      </c>
      <c r="L42" s="1446">
        <f>+'P03 2023'!FL31</f>
        <v>8835664.3890000004</v>
      </c>
      <c r="M42" s="1338">
        <f t="shared" si="4"/>
        <v>0.4016211085909091</v>
      </c>
      <c r="N42" s="227">
        <f>+I42-L42</f>
        <v>13164335.611</v>
      </c>
      <c r="O42" s="1339">
        <f t="shared" si="1"/>
        <v>0.59837889140909084</v>
      </c>
      <c r="P42" s="451">
        <v>0</v>
      </c>
      <c r="Q42" s="774">
        <f>SUMIF($S$6:$AM$6,"SI",S42:AM42)</f>
        <v>0</v>
      </c>
      <c r="R42" s="1336" t="str">
        <f t="shared" si="5"/>
        <v>0.00%</v>
      </c>
      <c r="S42" s="902">
        <v>0</v>
      </c>
      <c r="T42" s="913">
        <v>0</v>
      </c>
      <c r="U42" s="1119">
        <f>+'P03 2023'!W13</f>
        <v>595034.17000000004</v>
      </c>
      <c r="V42" s="856"/>
      <c r="W42" s="854">
        <f>+'P03 2023'!AO10</f>
        <v>857335.27599999995</v>
      </c>
      <c r="X42" s="1328">
        <v>0</v>
      </c>
      <c r="Y42" s="854">
        <f>+'P03 2023'!BI10</f>
        <v>224359.52499999999</v>
      </c>
      <c r="Z42" s="438">
        <v>0</v>
      </c>
      <c r="AA42" s="439">
        <f>+'P03 2023'!CB16</f>
        <v>1485183.5260000001</v>
      </c>
      <c r="AB42" s="440"/>
      <c r="AC42" s="441">
        <f>+'P03 2023'!CV9</f>
        <v>3321452.693</v>
      </c>
      <c r="AD42" s="440">
        <v>0</v>
      </c>
      <c r="AE42" s="441">
        <f>+'P03 2023'!DQ10</f>
        <v>353154.05200000003</v>
      </c>
      <c r="AF42" s="438"/>
      <c r="AG42" s="439">
        <f>+'P03 2023'!EI10</f>
        <v>373317.24699999997</v>
      </c>
      <c r="AH42" s="440"/>
      <c r="AI42" s="649">
        <f>+'P03 2023'!FB9</f>
        <v>1080862.331</v>
      </c>
      <c r="AJ42" s="440">
        <v>0</v>
      </c>
      <c r="AK42" s="437"/>
      <c r="AL42" s="441">
        <f>+'P03 2022'!IM30</f>
        <v>2470419.2059999998</v>
      </c>
      <c r="AM42" s="850">
        <f>+'P03 2022'!JK16</f>
        <v>17558483.763</v>
      </c>
      <c r="AO42" s="1233"/>
      <c r="AP42" s="1233"/>
      <c r="AQ42" s="1233"/>
      <c r="AR42" s="1233"/>
      <c r="AS42" s="1233"/>
      <c r="AT42" s="1233"/>
      <c r="AU42" s="1233"/>
    </row>
    <row r="43" spans="1:47" s="374" customFormat="1" ht="15" customHeight="1" x14ac:dyDescent="0.25">
      <c r="B43" s="757"/>
      <c r="C43" s="357"/>
      <c r="D43" s="758">
        <v>6</v>
      </c>
      <c r="E43" s="459"/>
      <c r="F43" s="609"/>
      <c r="G43" s="1498" t="s">
        <v>968</v>
      </c>
      <c r="H43" s="1503">
        <f>SUM(H44:H49)</f>
        <v>56612173</v>
      </c>
      <c r="I43" s="1500">
        <f>SUM(I44:I49)</f>
        <v>91612173</v>
      </c>
      <c r="J43" s="1500">
        <f ca="1">SUMIF(S$6:$AM$6,"ok",S43:AL43)</f>
        <v>51172728.271999992</v>
      </c>
      <c r="K43" s="912">
        <f t="shared" ca="1" si="6"/>
        <v>0.55858000739705183</v>
      </c>
      <c r="L43" s="1500">
        <f t="shared" ref="L43:AM43" si="19">SUM(L44:L49)</f>
        <v>59936908.894999996</v>
      </c>
      <c r="M43" s="910">
        <f t="shared" si="4"/>
        <v>0.65424612180086583</v>
      </c>
      <c r="N43" s="1500">
        <f t="shared" si="19"/>
        <v>31675264.104999993</v>
      </c>
      <c r="O43" s="656">
        <f t="shared" si="1"/>
        <v>0.345753878199134</v>
      </c>
      <c r="P43" s="1503">
        <f>SUM(P44:P49)</f>
        <v>76186060.144879997</v>
      </c>
      <c r="Q43" s="1518">
        <f t="shared" si="19"/>
        <v>49244855.333137996</v>
      </c>
      <c r="R43" s="1324">
        <f t="shared" si="5"/>
        <v>0.64637619059826712</v>
      </c>
      <c r="S43" s="403">
        <f t="shared" si="19"/>
        <v>177356.09399999998</v>
      </c>
      <c r="T43" s="447">
        <f t="shared" si="19"/>
        <v>495755.31325799995</v>
      </c>
      <c r="U43" s="403">
        <f>SUM(U44:U49)</f>
        <v>6756620.8789999997</v>
      </c>
      <c r="V43" s="447">
        <f t="shared" si="19"/>
        <v>3371009.9001799999</v>
      </c>
      <c r="W43" s="435">
        <f>SUM(W44:W49)</f>
        <v>3744397.9160000002</v>
      </c>
      <c r="X43" s="402">
        <f t="shared" si="19"/>
        <v>4998629.3011369994</v>
      </c>
      <c r="Y43" s="435">
        <f t="shared" si="19"/>
        <v>2836445.327</v>
      </c>
      <c r="Z43" s="402">
        <f t="shared" si="19"/>
        <v>1706509.2528809998</v>
      </c>
      <c r="AA43" s="403">
        <f>SUM(AA44:AA49)</f>
        <v>3227004.5029999996</v>
      </c>
      <c r="AB43" s="404">
        <f t="shared" si="19"/>
        <v>1774683.8564569997</v>
      </c>
      <c r="AC43" s="435">
        <f t="shared" si="19"/>
        <v>4086008.4299999997</v>
      </c>
      <c r="AD43" s="404">
        <f t="shared" si="19"/>
        <v>2325794.4950270001</v>
      </c>
      <c r="AE43" s="435">
        <f t="shared" si="19"/>
        <v>16618829.175999999</v>
      </c>
      <c r="AF43" s="402">
        <f t="shared" si="19"/>
        <v>1898094.2382389999</v>
      </c>
      <c r="AG43" s="403">
        <f t="shared" si="19"/>
        <v>7760730.4479999999</v>
      </c>
      <c r="AH43" s="404">
        <f t="shared" si="19"/>
        <v>31410838.115679</v>
      </c>
      <c r="AI43" s="1499">
        <f t="shared" si="19"/>
        <v>5965335.4989999998</v>
      </c>
      <c r="AJ43" s="1646">
        <f t="shared" si="19"/>
        <v>1263540.8602799999</v>
      </c>
      <c r="AK43" s="403">
        <f t="shared" si="19"/>
        <v>2823590.2090000003</v>
      </c>
      <c r="AL43" s="403">
        <f t="shared" si="19"/>
        <v>13683221.630999999</v>
      </c>
      <c r="AM43" s="447">
        <f t="shared" si="19"/>
        <v>18668923.917999998</v>
      </c>
      <c r="AO43" s="1233"/>
      <c r="AP43" s="1233"/>
      <c r="AQ43" s="1233"/>
      <c r="AR43" s="1233"/>
      <c r="AS43" s="1233"/>
      <c r="AT43" s="1233"/>
      <c r="AU43" s="1233"/>
    </row>
    <row r="44" spans="1:47" s="374" customFormat="1" ht="15" hidden="1" customHeight="1" x14ac:dyDescent="0.25">
      <c r="B44" s="1460"/>
      <c r="C44" s="1461"/>
      <c r="D44" s="1380"/>
      <c r="E44" s="1379">
        <v>1</v>
      </c>
      <c r="F44" s="1375" t="s">
        <v>973</v>
      </c>
      <c r="G44" s="550" t="s">
        <v>679</v>
      </c>
      <c r="H44" s="464">
        <f>+'P03 2023'!I23</f>
        <v>5736407</v>
      </c>
      <c r="I44" s="442">
        <f>+'P03 2023'!FK32</f>
        <v>15653724.908</v>
      </c>
      <c r="J44" s="442">
        <f ca="1">SUMIF(S$6:$AM$6,"ok",S44:AL44)</f>
        <v>10685876.104</v>
      </c>
      <c r="K44" s="1337">
        <f t="shared" ca="1" si="6"/>
        <v>0.68264110726379712</v>
      </c>
      <c r="L44" s="1446">
        <f>+'P03 2023'!FL33</f>
        <v>12114075.704</v>
      </c>
      <c r="M44" s="1338">
        <f t="shared" si="4"/>
        <v>0.77387815201792476</v>
      </c>
      <c r="N44" s="227">
        <f>+I44-L44</f>
        <v>3539649.2039999999</v>
      </c>
      <c r="O44" s="1339">
        <f t="shared" si="1"/>
        <v>0.22612184798207519</v>
      </c>
      <c r="P44" s="451">
        <f>+'P03 2022'!GU35</f>
        <v>10535561.857549999</v>
      </c>
      <c r="Q44" s="774">
        <f t="shared" ref="Q44:Q50" si="20">SUMIF($S$6:$AM$6,"SI",S44:AM44)</f>
        <v>5454716.0024059983</v>
      </c>
      <c r="R44" s="1336">
        <f t="shared" si="5"/>
        <v>0.51774324674455185</v>
      </c>
      <c r="S44" s="1249">
        <f>+'P03 2023'!K24</f>
        <v>53816.665999999997</v>
      </c>
      <c r="T44" s="913">
        <f>+'P03 2022'!H30</f>
        <v>211152.22057499998</v>
      </c>
      <c r="U44" s="1119">
        <f>+'P03 2023'!W14</f>
        <v>1934903.8689999999</v>
      </c>
      <c r="V44" s="856">
        <f>+'P03 2022'!Q10</f>
        <v>754617.76846000005</v>
      </c>
      <c r="W44" s="854">
        <f>+'P03 2023'!AO11</f>
        <v>471722.272</v>
      </c>
      <c r="X44" s="1328">
        <f>+'P03 2022'!AI12</f>
        <v>2433295.1726609999</v>
      </c>
      <c r="Y44" s="854">
        <f>+'P03 2023'!BI11</f>
        <v>1100255.2409999999</v>
      </c>
      <c r="Z44" s="1381">
        <f>+'P03 2022'!BC8</f>
        <v>640947.49941699998</v>
      </c>
      <c r="AA44" s="439">
        <f>+'P03 2023'!CB17</f>
        <v>1092860.8019999999</v>
      </c>
      <c r="AB44" s="440">
        <f>+'P03 2022'!CD14</f>
        <v>598288.57169499993</v>
      </c>
      <c r="AC44" s="441">
        <f>+'P03 2023'!CV10</f>
        <v>801413.28599999996</v>
      </c>
      <c r="AD44" s="440">
        <f>+'P03 2022'!DD17</f>
        <v>251148.701095</v>
      </c>
      <c r="AE44" s="441">
        <f>+'P03 2023'!DQ11</f>
        <v>2115139.81</v>
      </c>
      <c r="AF44" s="438">
        <f>+'P03 2022'!EE12</f>
        <v>102040.71632399999</v>
      </c>
      <c r="AG44" s="439">
        <f>+'P03 2023'!EI11</f>
        <v>2527056.1579999998</v>
      </c>
      <c r="AH44" s="440">
        <f>+'P03 2022'!FG16</f>
        <v>279717.53617899999</v>
      </c>
      <c r="AI44" s="649">
        <f>+'P03 2023'!FB10</f>
        <v>588708</v>
      </c>
      <c r="AJ44" s="440">
        <f>+'P03 2022'!GI16</f>
        <v>183507.81599999999</v>
      </c>
      <c r="AK44" s="437">
        <f>+'P03 2022'!HK15</f>
        <v>305588.10499999998</v>
      </c>
      <c r="AL44" s="441">
        <f>+'P03 2022'!IM31</f>
        <v>1259359.92</v>
      </c>
      <c r="AM44" s="850">
        <f>+'P03 2022'!JK17</f>
        <v>2058557.4469999999</v>
      </c>
      <c r="AO44" s="1233"/>
      <c r="AP44" s="1233"/>
      <c r="AQ44" s="1233"/>
      <c r="AR44" s="1233"/>
      <c r="AS44" s="1233"/>
      <c r="AT44" s="1233"/>
      <c r="AU44" s="1233"/>
    </row>
    <row r="45" spans="1:47" s="374" customFormat="1" ht="15" hidden="1" customHeight="1" x14ac:dyDescent="0.25">
      <c r="B45" s="1460"/>
      <c r="C45" s="1461"/>
      <c r="D45" s="1380"/>
      <c r="E45" s="1379">
        <v>1</v>
      </c>
      <c r="F45" s="1375" t="s">
        <v>974</v>
      </c>
      <c r="G45" s="550" t="s">
        <v>680</v>
      </c>
      <c r="H45" s="464">
        <f>+'P03 2023'!I25</f>
        <v>7925135</v>
      </c>
      <c r="I45" s="442">
        <f>+'P03 2023'!FK34</f>
        <v>8943749.8080000002</v>
      </c>
      <c r="J45" s="442">
        <f ca="1">SUMIF(S$6:$AM$6,"ok",S45:AL45)</f>
        <v>3992413.1680000001</v>
      </c>
      <c r="K45" s="1337">
        <f t="shared" ca="1" si="6"/>
        <v>0.44639141900289614</v>
      </c>
      <c r="L45" s="1446">
        <f>+'P03 2023'!FL35</f>
        <v>6943749.8080000002</v>
      </c>
      <c r="M45" s="1338">
        <f t="shared" si="4"/>
        <v>0.77638014893808394</v>
      </c>
      <c r="N45" s="227">
        <f t="shared" ref="N45:N49" si="21">+I45-L45</f>
        <v>2000000</v>
      </c>
      <c r="O45" s="1339">
        <f t="shared" si="1"/>
        <v>0.22361985106191601</v>
      </c>
      <c r="P45" s="451">
        <f>+'P03 2022'!GU37</f>
        <v>3586583.2855119999</v>
      </c>
      <c r="Q45" s="774">
        <f t="shared" si="20"/>
        <v>2013210.7198449997</v>
      </c>
      <c r="R45" s="1336">
        <f t="shared" si="5"/>
        <v>0.56131715328551346</v>
      </c>
      <c r="S45" s="902">
        <v>0</v>
      </c>
      <c r="T45" s="913">
        <v>0</v>
      </c>
      <c r="U45" s="1119">
        <f>+'P03 2023'!W15</f>
        <v>2201230.6940000001</v>
      </c>
      <c r="V45" s="856">
        <f>+'P03 2022'!Q11</f>
        <v>133300.19999999998</v>
      </c>
      <c r="W45" s="854">
        <f>+'P03 2023'!AO12</f>
        <v>1268882.4739999999</v>
      </c>
      <c r="X45" s="1328">
        <v>0</v>
      </c>
      <c r="Y45" s="854">
        <v>0</v>
      </c>
      <c r="Z45" s="1381">
        <f>+'P03 2022'!BC9</f>
        <v>479103.66699999996</v>
      </c>
      <c r="AA45" s="439">
        <f>+'P03 2023'!CB18</f>
        <v>331500</v>
      </c>
      <c r="AB45" s="440">
        <v>0</v>
      </c>
      <c r="AC45" s="441">
        <v>0</v>
      </c>
      <c r="AD45" s="440">
        <f>+'P03 2022'!DD19</f>
        <v>921703.18584499985</v>
      </c>
      <c r="AE45" s="441">
        <v>0</v>
      </c>
      <c r="AF45" s="438">
        <v>0</v>
      </c>
      <c r="AG45" s="439">
        <f>+'P03 2023'!EI12</f>
        <v>190800</v>
      </c>
      <c r="AH45" s="440">
        <f>+'P03 2022'!FG17</f>
        <v>479103.66699999996</v>
      </c>
      <c r="AI45" s="649">
        <v>0</v>
      </c>
      <c r="AJ45" s="440">
        <f>+'P03 2022'!GI17</f>
        <v>0</v>
      </c>
      <c r="AK45" s="437">
        <v>0</v>
      </c>
      <c r="AL45" s="441">
        <f>+'P03 2022'!IM34</f>
        <v>1447202.024</v>
      </c>
      <c r="AM45" s="850">
        <f>+'P03 2022'!JK18</f>
        <v>1241165.0249999999</v>
      </c>
      <c r="AO45" s="1233"/>
      <c r="AP45" s="1233"/>
      <c r="AQ45" s="1233"/>
      <c r="AR45" s="1233"/>
      <c r="AS45" s="1233"/>
      <c r="AT45" s="1233"/>
      <c r="AU45" s="1233"/>
    </row>
    <row r="46" spans="1:47" s="374" customFormat="1" ht="15" hidden="1" customHeight="1" x14ac:dyDescent="0.25">
      <c r="B46" s="1460"/>
      <c r="C46" s="1461"/>
      <c r="D46" s="1380"/>
      <c r="E46" s="1379">
        <v>1</v>
      </c>
      <c r="F46" s="1375" t="s">
        <v>975</v>
      </c>
      <c r="G46" s="550" t="s">
        <v>681</v>
      </c>
      <c r="H46" s="464">
        <f>+'P03 2023'!I26</f>
        <v>1946254</v>
      </c>
      <c r="I46" s="442">
        <f>+'P03 2023'!FK36</f>
        <v>5152457.91</v>
      </c>
      <c r="J46" s="442">
        <f ca="1">SUMIF(S$6:$AM$6,"ok",S46:AL46)</f>
        <v>3652476.341</v>
      </c>
      <c r="K46" s="1337">
        <f t="shared" ca="1" si="6"/>
        <v>0.7088803838477159</v>
      </c>
      <c r="L46" s="1446">
        <f>+'P03 2023'!FL37</f>
        <v>3751656.341</v>
      </c>
      <c r="M46" s="1338">
        <f t="shared" si="4"/>
        <v>0.72812944938738955</v>
      </c>
      <c r="N46" s="227">
        <f t="shared" si="21"/>
        <v>1400801.5690000001</v>
      </c>
      <c r="O46" s="1339">
        <f t="shared" si="1"/>
        <v>0.27187055061261045</v>
      </c>
      <c r="P46" s="451">
        <f>+'P03 2022'!GU39</f>
        <v>3891384.9493089993</v>
      </c>
      <c r="Q46" s="774">
        <f t="shared" si="20"/>
        <v>1540903.0276340002</v>
      </c>
      <c r="R46" s="1336">
        <f t="shared" si="5"/>
        <v>0.39597805092698968</v>
      </c>
      <c r="S46" s="902">
        <v>0</v>
      </c>
      <c r="T46" s="913">
        <f>+'P03 2022'!H34</f>
        <v>22429.3</v>
      </c>
      <c r="U46" s="1119">
        <f>+'P03 2023'!W16</f>
        <v>363792.85</v>
      </c>
      <c r="V46" s="856">
        <f>+'P03 2022'!Q12</f>
        <v>218263.13249999998</v>
      </c>
      <c r="W46" s="854">
        <f>+'P03 2023'!AO13</f>
        <v>347751.23800000001</v>
      </c>
      <c r="X46" s="1328">
        <f>+'P03 2022'!AI13</f>
        <v>370179.12</v>
      </c>
      <c r="Y46" s="854">
        <f>+'P03 2023'!BI12</f>
        <v>142625.88399999999</v>
      </c>
      <c r="Z46" s="1381">
        <f>+'P03 2022'!BC10</f>
        <v>209129.658979</v>
      </c>
      <c r="AA46" s="439">
        <f>+'P03 2023'!CB19</f>
        <v>386317.25699999998</v>
      </c>
      <c r="AB46" s="440">
        <f>+'P03 2022'!CD15</f>
        <v>280247.56817599997</v>
      </c>
      <c r="AC46" s="441">
        <f>+'P03 2023'!CV11</f>
        <v>353528.20299999998</v>
      </c>
      <c r="AD46" s="440">
        <f>+'P03 2022'!DD20</f>
        <v>55562.188300999995</v>
      </c>
      <c r="AE46" s="441">
        <f>+'P03 2023'!DQ12</f>
        <v>1858189.24</v>
      </c>
      <c r="AF46" s="438">
        <f>+'P03 2022'!EE13</f>
        <v>97721.278540999992</v>
      </c>
      <c r="AG46" s="439">
        <f>+'P03 2023'!EI13</f>
        <v>200271.66899999999</v>
      </c>
      <c r="AH46" s="440">
        <f>+'P03 2022'!FG18</f>
        <v>204762.14170599999</v>
      </c>
      <c r="AI46" s="649">
        <v>0</v>
      </c>
      <c r="AJ46" s="440">
        <f>+'P03 2022'!GI19</f>
        <v>82608.639430999989</v>
      </c>
      <c r="AK46" s="437">
        <v>0</v>
      </c>
      <c r="AL46" s="441">
        <f>+'P03 2022'!IM36</f>
        <v>1700736.51</v>
      </c>
      <c r="AM46" s="850">
        <f>+'P03 2022'!JK19</f>
        <v>1419202.2120000001</v>
      </c>
      <c r="AO46" s="1233"/>
      <c r="AP46" s="1233"/>
      <c r="AQ46" s="1233"/>
      <c r="AR46" s="1233"/>
      <c r="AS46" s="1233"/>
      <c r="AT46" s="1233"/>
      <c r="AU46" s="1233"/>
    </row>
    <row r="47" spans="1:47" s="374" customFormat="1" ht="15" hidden="1" customHeight="1" x14ac:dyDescent="0.25">
      <c r="B47" s="1460"/>
      <c r="C47" s="1461"/>
      <c r="D47" s="1380"/>
      <c r="E47" s="1379">
        <v>1</v>
      </c>
      <c r="F47" s="1375" t="s">
        <v>976</v>
      </c>
      <c r="G47" s="550" t="s">
        <v>682</v>
      </c>
      <c r="H47" s="464">
        <f>+'P03 2023'!I27</f>
        <v>2260410</v>
      </c>
      <c r="I47" s="442">
        <f>+'P03 2023'!FK38</f>
        <v>3219610</v>
      </c>
      <c r="J47" s="442">
        <f ca="1">SUMIF(S$6:$AM$6,"ok",S47:AL47)</f>
        <v>2236624.8229999999</v>
      </c>
      <c r="K47" s="1337">
        <f t="shared" ca="1" si="6"/>
        <v>0.69468812154267123</v>
      </c>
      <c r="L47" s="1446">
        <f>+'P03 2023'!FL39</f>
        <v>2307092.9279999998</v>
      </c>
      <c r="M47" s="1338">
        <f t="shared" si="4"/>
        <v>0.71657527712983871</v>
      </c>
      <c r="N47" s="227">
        <f t="shared" si="21"/>
        <v>912517.07200000016</v>
      </c>
      <c r="O47" s="1339">
        <f t="shared" si="1"/>
        <v>0.28342472287016135</v>
      </c>
      <c r="P47" s="451">
        <f>+'P03 2022'!GU41</f>
        <v>3432051.2571379999</v>
      </c>
      <c r="Q47" s="774">
        <f t="shared" si="20"/>
        <v>688947.31544100004</v>
      </c>
      <c r="R47" s="1336">
        <f t="shared" si="5"/>
        <v>0.2007392267257441</v>
      </c>
      <c r="S47" s="902">
        <v>0</v>
      </c>
      <c r="T47" s="913">
        <v>0</v>
      </c>
      <c r="U47" s="1119">
        <f>+'P03 2023'!W17</f>
        <v>119696.25</v>
      </c>
      <c r="V47" s="856">
        <f>+'P03 2022'!Q13</f>
        <v>123789.96419999999</v>
      </c>
      <c r="W47" s="854">
        <f>+'P03 2023'!AO14</f>
        <v>140969.541</v>
      </c>
      <c r="X47" s="1328">
        <f>+'P03 2022'!AI14</f>
        <v>296968.18400000001</v>
      </c>
      <c r="Y47" s="854">
        <f>+'P03 2023'!BI13</f>
        <v>41661</v>
      </c>
      <c r="Z47" s="1381">
        <f>+'P03 2022'!BC11</f>
        <v>48589.729999999996</v>
      </c>
      <c r="AA47" s="439">
        <f>+'P03 2023'!CB20</f>
        <v>202363.677</v>
      </c>
      <c r="AB47" s="440">
        <v>0</v>
      </c>
      <c r="AC47" s="441">
        <f>+'P03 2023'!CV12</f>
        <v>84294.808000000005</v>
      </c>
      <c r="AD47" s="440">
        <f>+'P03 2022'!DD21</f>
        <v>55626.736849999994</v>
      </c>
      <c r="AE47" s="441">
        <f>+'P03 2023'!DQ13</f>
        <v>602664.14899999998</v>
      </c>
      <c r="AF47" s="438">
        <f>+'P03 2022'!EE14</f>
        <v>10523.699999999999</v>
      </c>
      <c r="AG47" s="439">
        <f>+'P03 2023'!EI14</f>
        <v>601862.25899999996</v>
      </c>
      <c r="AH47" s="440">
        <f>+'P03 2022'!FG19</f>
        <v>109170.798391</v>
      </c>
      <c r="AI47" s="649">
        <f>+'P03 2023'!FB11</f>
        <v>443113.13900000002</v>
      </c>
      <c r="AJ47" s="440">
        <f>+'P03 2022'!GI21</f>
        <v>44278.201999999997</v>
      </c>
      <c r="AK47" s="437">
        <f>+'P03 2022'!HK18</f>
        <v>405549.94900000002</v>
      </c>
      <c r="AL47" s="441">
        <f>+'P03 2022'!IM37</f>
        <v>914049.52</v>
      </c>
      <c r="AM47" s="850">
        <f>+'P03 2022'!JK20</f>
        <v>618506.57999999996</v>
      </c>
      <c r="AO47" s="1233"/>
      <c r="AP47" s="1233"/>
      <c r="AQ47" s="1233"/>
      <c r="AR47" s="1233"/>
      <c r="AS47" s="1233"/>
      <c r="AT47" s="1233"/>
      <c r="AU47" s="1233"/>
    </row>
    <row r="48" spans="1:47" s="374" customFormat="1" ht="15" hidden="1" customHeight="1" x14ac:dyDescent="0.25">
      <c r="B48" s="1460"/>
      <c r="C48" s="1461"/>
      <c r="D48" s="1380"/>
      <c r="E48" s="1379">
        <v>1</v>
      </c>
      <c r="F48" s="1375" t="s">
        <v>977</v>
      </c>
      <c r="G48" s="550" t="s">
        <v>683</v>
      </c>
      <c r="H48" s="464">
        <f>+'P03 2023'!I28</f>
        <v>21256852</v>
      </c>
      <c r="I48" s="442">
        <f>+'P03 2023'!FK40</f>
        <v>21256852</v>
      </c>
      <c r="J48" s="442">
        <f ca="1">SUMIF(S$6:$AM$6,"ok",S48:AL48)</f>
        <v>2196936.6260000002</v>
      </c>
      <c r="K48" s="1447">
        <f t="shared" ca="1" si="6"/>
        <v>0.10335192746320104</v>
      </c>
      <c r="L48" s="1446">
        <f>+'P03 2023'!FL41</f>
        <v>2196936.6260000002</v>
      </c>
      <c r="M48" s="1338">
        <f t="shared" si="4"/>
        <v>0.10335192746320104</v>
      </c>
      <c r="N48" s="227">
        <f t="shared" si="21"/>
        <v>19059915.373999998</v>
      </c>
      <c r="O48" s="1339">
        <f t="shared" si="1"/>
        <v>0.8966480725367989</v>
      </c>
      <c r="P48" s="451">
        <f>+'P03 2022'!GU43</f>
        <v>9627494.2669999991</v>
      </c>
      <c r="Q48" s="774">
        <f t="shared" si="20"/>
        <v>3490372.5342229996</v>
      </c>
      <c r="R48" s="1336">
        <f t="shared" si="5"/>
        <v>0.36254215660110972</v>
      </c>
      <c r="S48" s="902">
        <v>0</v>
      </c>
      <c r="T48" s="913">
        <v>0</v>
      </c>
      <c r="U48" s="1119">
        <v>0</v>
      </c>
      <c r="V48" s="856">
        <f>+'P03 2022'!Q14</f>
        <v>281794.50636699999</v>
      </c>
      <c r="W48" s="854">
        <v>0</v>
      </c>
      <c r="X48" s="1328">
        <f>+'P03 2022'!AI15</f>
        <v>789974.6738649999</v>
      </c>
      <c r="Y48" s="854">
        <v>0</v>
      </c>
      <c r="Z48" s="1381">
        <f>+'P03 2022'!BC12</f>
        <v>156836.25733199998</v>
      </c>
      <c r="AA48" s="439">
        <f>+'P03 2023'!CB21</f>
        <v>0</v>
      </c>
      <c r="AB48" s="440">
        <f>+'P03 2022'!CD16</f>
        <v>530740.71929699997</v>
      </c>
      <c r="AC48" s="441">
        <f>+'P03 2023'!CV13</f>
        <v>750119.14199999999</v>
      </c>
      <c r="AD48" s="440">
        <f>+'P03 2022'!DD22</f>
        <v>844989.93165799999</v>
      </c>
      <c r="AE48" s="441">
        <f>+'P03 2023'!DQ14</f>
        <v>636712.01</v>
      </c>
      <c r="AF48" s="438">
        <v>0</v>
      </c>
      <c r="AG48" s="439">
        <f>+'P03 2023'!EI15</f>
        <v>74638.248000000007</v>
      </c>
      <c r="AH48" s="440">
        <f>+'P03 2022'!FG20</f>
        <v>276961.48863799998</v>
      </c>
      <c r="AI48" s="649">
        <f>+'P03 2023'!FB12</f>
        <v>735467.22600000002</v>
      </c>
      <c r="AJ48" s="440">
        <f>+'P03 2022'!GI22</f>
        <v>609074.95706599997</v>
      </c>
      <c r="AK48" s="437">
        <f>+'P03 2022'!HK19</f>
        <v>1709378.2420000001</v>
      </c>
      <c r="AL48" s="441">
        <f>+'P03 2022'!IM39</f>
        <v>1693674.5959999999</v>
      </c>
      <c r="AM48" s="850">
        <f>+'P03 2022'!JK21</f>
        <v>1054976.8970000001</v>
      </c>
      <c r="AO48" s="1233"/>
      <c r="AP48" s="1233"/>
      <c r="AQ48" s="1233"/>
      <c r="AR48" s="1233"/>
      <c r="AS48" s="1233"/>
      <c r="AT48" s="1233"/>
      <c r="AU48" s="1233"/>
    </row>
    <row r="49" spans="2:47" s="374" customFormat="1" ht="15" hidden="1" customHeight="1" x14ac:dyDescent="0.25">
      <c r="B49" s="1460"/>
      <c r="C49" s="1461"/>
      <c r="D49" s="1380"/>
      <c r="E49" s="1379">
        <v>1</v>
      </c>
      <c r="F49" s="1375" t="s">
        <v>978</v>
      </c>
      <c r="G49" s="550" t="s">
        <v>684</v>
      </c>
      <c r="H49" s="464">
        <f>+'P03 2023'!I29</f>
        <v>17487115</v>
      </c>
      <c r="I49" s="442">
        <f>+'P03 2023'!FK42</f>
        <v>37385778.373999998</v>
      </c>
      <c r="J49" s="442">
        <f ca="1">SUMIF(S$6:$AM$6,"ok",S49:AL49)</f>
        <v>28408401.209999997</v>
      </c>
      <c r="K49" s="1447">
        <f t="shared" ca="1" si="6"/>
        <v>0.75987186693848985</v>
      </c>
      <c r="L49" s="1446">
        <f>+'P03 2023'!FL43</f>
        <v>32623397.488000002</v>
      </c>
      <c r="M49" s="1338">
        <f t="shared" si="4"/>
        <v>0.87261517365351948</v>
      </c>
      <c r="N49" s="227">
        <f t="shared" si="21"/>
        <v>4762380.8859999962</v>
      </c>
      <c r="O49" s="1339">
        <f t="shared" si="1"/>
        <v>0.12738482634648052</v>
      </c>
      <c r="P49" s="451">
        <f>+'P03 2022'!GU45</f>
        <v>45112984.528370999</v>
      </c>
      <c r="Q49" s="774">
        <f t="shared" si="20"/>
        <v>36056705.733589001</v>
      </c>
      <c r="R49" s="1336">
        <f t="shared" si="5"/>
        <v>0.79925338814401392</v>
      </c>
      <c r="S49" s="1249">
        <f>+'P03 2023'!K30</f>
        <v>123539.428</v>
      </c>
      <c r="T49" s="913">
        <f>+'P03 2022'!H39</f>
        <v>262173.79268299998</v>
      </c>
      <c r="U49" s="1119">
        <f>+'P03 2023'!W18</f>
        <v>2136997.216</v>
      </c>
      <c r="V49" s="856">
        <f>+'P03 2022'!Q15</f>
        <v>1859244.3286530001</v>
      </c>
      <c r="W49" s="854">
        <f>+'P03 2023'!AO15</f>
        <v>1515072.3910000001</v>
      </c>
      <c r="X49" s="1328">
        <f>+'P03 2022'!AI16</f>
        <v>1108212.1506109999</v>
      </c>
      <c r="Y49" s="854">
        <f>+'P03 2023'!BI14</f>
        <v>1551903.202</v>
      </c>
      <c r="Z49" s="1381">
        <f>+'P03 2022'!BC13</f>
        <v>171902.440153</v>
      </c>
      <c r="AA49" s="439">
        <f>+'P03 2023'!CB22</f>
        <v>1213962.767</v>
      </c>
      <c r="AB49" s="440">
        <f>+'P03 2022'!CD17</f>
        <v>365406.99728899996</v>
      </c>
      <c r="AC49" s="441">
        <f>+'P03 2023'!CV14</f>
        <v>2096652.9909999999</v>
      </c>
      <c r="AD49" s="440">
        <f>+'P03 2022'!DD24</f>
        <v>196763.75127800001</v>
      </c>
      <c r="AE49" s="441">
        <f>+'P03 2023'!DQ15</f>
        <v>11406123.967</v>
      </c>
      <c r="AF49" s="438">
        <f>+'P03 2022'!EE16</f>
        <v>1687808.5433739999</v>
      </c>
      <c r="AG49" s="439">
        <f>+'P03 2023'!EI16</f>
        <v>4166102.1140000001</v>
      </c>
      <c r="AH49" s="440">
        <f>+'P03 2022'!FG22</f>
        <v>30061122.483764999</v>
      </c>
      <c r="AI49" s="649">
        <f>+'P03 2023'!FB13</f>
        <v>4198047.1339999996</v>
      </c>
      <c r="AJ49" s="440">
        <f>+'P03 2022'!GI23</f>
        <v>344071.24578299996</v>
      </c>
      <c r="AK49" s="437">
        <f>+'P03 2022'!HK21</f>
        <v>403073.913</v>
      </c>
      <c r="AL49" s="441">
        <f>+'P03 2022'!IM40</f>
        <v>6668199.0609999998</v>
      </c>
      <c r="AM49" s="850">
        <f>+'P03 2022'!JK22</f>
        <v>12276515.756999999</v>
      </c>
      <c r="AN49" s="495"/>
      <c r="AO49" s="1233"/>
      <c r="AP49" s="1233"/>
      <c r="AQ49" s="1233"/>
      <c r="AR49" s="1233"/>
      <c r="AS49" s="1233"/>
      <c r="AT49" s="1233"/>
      <c r="AU49" s="1233"/>
    </row>
    <row r="50" spans="2:47" s="374" customFormat="1" ht="15" customHeight="1" x14ac:dyDescent="0.25">
      <c r="B50" s="757"/>
      <c r="C50" s="357"/>
      <c r="D50" s="758">
        <v>100</v>
      </c>
      <c r="E50" s="459"/>
      <c r="F50" s="1517" t="s">
        <v>979</v>
      </c>
      <c r="G50" s="1498" t="s">
        <v>685</v>
      </c>
      <c r="H50" s="1503">
        <f>+'P03 2023'!I31</f>
        <v>14656065</v>
      </c>
      <c r="I50" s="1500">
        <f>+'P03 2023'!FK44</f>
        <v>13367065</v>
      </c>
      <c r="J50" s="1500">
        <f ca="1">SUMIF(S$6:$AM$6,"ok",S50:AL50)</f>
        <v>0</v>
      </c>
      <c r="K50" s="1786">
        <f t="shared" ca="1" si="6"/>
        <v>0</v>
      </c>
      <c r="L50" s="1500">
        <f>+'P03 2023'!FL45</f>
        <v>5309309.24</v>
      </c>
      <c r="M50" s="910">
        <f t="shared" si="4"/>
        <v>0.39719334349013791</v>
      </c>
      <c r="N50" s="1502">
        <f t="shared" ref="N50" si="22">+I50-L50</f>
        <v>8057755.7599999998</v>
      </c>
      <c r="O50" s="656">
        <f t="shared" si="1"/>
        <v>0.60280665650986209</v>
      </c>
      <c r="P50" s="1503">
        <f>+'P03 2022'!GU47</f>
        <v>14656064.664999999</v>
      </c>
      <c r="Q50" s="1518">
        <f t="shared" si="20"/>
        <v>734519.52222299995</v>
      </c>
      <c r="R50" s="1324">
        <f t="shared" si="5"/>
        <v>5.011710435319644E-2</v>
      </c>
      <c r="S50" s="1508">
        <v>0</v>
      </c>
      <c r="T50" s="1509">
        <v>0</v>
      </c>
      <c r="U50" s="1510">
        <v>0</v>
      </c>
      <c r="V50" s="1511">
        <v>0</v>
      </c>
      <c r="W50" s="1512">
        <v>0</v>
      </c>
      <c r="X50" s="1513">
        <v>0</v>
      </c>
      <c r="Y50" s="1512">
        <v>0</v>
      </c>
      <c r="Z50" s="1514">
        <v>0</v>
      </c>
      <c r="AA50" s="1515">
        <v>0</v>
      </c>
      <c r="AB50" s="1388">
        <v>0</v>
      </c>
      <c r="AC50" s="759">
        <v>0</v>
      </c>
      <c r="AD50" s="1388">
        <v>0</v>
      </c>
      <c r="AE50" s="759">
        <v>0</v>
      </c>
      <c r="AF50" s="1514">
        <f>+'P03 2022'!EE17</f>
        <v>734519.52222299995</v>
      </c>
      <c r="AG50" s="1515">
        <v>0</v>
      </c>
      <c r="AH50" s="1388">
        <v>0</v>
      </c>
      <c r="AI50" s="1777">
        <v>0</v>
      </c>
      <c r="AJ50" s="1388">
        <v>0</v>
      </c>
      <c r="AK50" s="852">
        <f>+'P03 2022'!HK22</f>
        <v>70000</v>
      </c>
      <c r="AL50" s="759">
        <f>+'P03 2022'!IM41</f>
        <v>2694928.0469999998</v>
      </c>
      <c r="AM50" s="1519">
        <f>+'P03 2022'!JK23</f>
        <v>8531539.6319999993</v>
      </c>
      <c r="AN50" s="495"/>
      <c r="AO50" s="1233"/>
      <c r="AP50" s="1233"/>
      <c r="AQ50" s="1233"/>
      <c r="AR50" s="1233"/>
      <c r="AS50" s="1233"/>
      <c r="AT50" s="1233"/>
      <c r="AU50" s="1233"/>
    </row>
    <row r="51" spans="2:47" s="472" customFormat="1" ht="15" customHeight="1" x14ac:dyDescent="0.25">
      <c r="B51" s="757"/>
      <c r="C51" s="357"/>
      <c r="D51" s="758">
        <v>110</v>
      </c>
      <c r="E51" s="459"/>
      <c r="F51" s="1517" t="s">
        <v>222</v>
      </c>
      <c r="G51" s="1498" t="s">
        <v>223</v>
      </c>
      <c r="H51" s="1503">
        <f>+'P03 2023'!I32</f>
        <v>16934493</v>
      </c>
      <c r="I51" s="1500">
        <f>+'P03 2023'!FK46</f>
        <v>16934493</v>
      </c>
      <c r="J51" s="1500">
        <f ca="1">SUMIF(S$6:$AM24,"ok",S51:AL51)</f>
        <v>12090974.628</v>
      </c>
      <c r="K51" s="912">
        <f t="shared" ca="1" si="6"/>
        <v>0.71398503799316582</v>
      </c>
      <c r="L51" s="1500">
        <f>+'P03 2023'!FL47</f>
        <v>16934493</v>
      </c>
      <c r="M51" s="910">
        <f t="shared" si="4"/>
        <v>1</v>
      </c>
      <c r="N51" s="1502">
        <f t="shared" si="13"/>
        <v>0</v>
      </c>
      <c r="O51" s="656">
        <f t="shared" si="1"/>
        <v>0</v>
      </c>
      <c r="P51" s="1503">
        <f>+'P03 2022'!GU23</f>
        <v>16934492.487</v>
      </c>
      <c r="Q51" s="1518">
        <f t="shared" ref="Q51:Q52" si="23">SUMIF($S$6:$AM$6,"SI",S51:AM51)</f>
        <v>12171483.751975</v>
      </c>
      <c r="R51" s="1324">
        <f t="shared" si="5"/>
        <v>0.7187392100069494</v>
      </c>
      <c r="S51" s="1508">
        <v>0</v>
      </c>
      <c r="T51" s="1509">
        <v>0</v>
      </c>
      <c r="U51" s="1510">
        <v>0</v>
      </c>
      <c r="V51" s="1511">
        <v>0</v>
      </c>
      <c r="W51" s="1512">
        <v>0</v>
      </c>
      <c r="X51" s="1513">
        <v>0</v>
      </c>
      <c r="Y51" s="1512">
        <v>0</v>
      </c>
      <c r="Z51" s="1514">
        <v>0</v>
      </c>
      <c r="AA51" s="1515">
        <v>0</v>
      </c>
      <c r="AB51" s="1388">
        <v>0</v>
      </c>
      <c r="AC51" s="759">
        <v>0</v>
      </c>
      <c r="AD51" s="1388">
        <v>0</v>
      </c>
      <c r="AE51" s="759">
        <f>+'P03 2023'!DQ16</f>
        <v>7465274.2230000002</v>
      </c>
      <c r="AF51" s="1514">
        <f>+'P03 2022'!EE7</f>
        <v>5189949.9470959995</v>
      </c>
      <c r="AG51" s="1515">
        <f>+'P03 2023'!EI17</f>
        <v>3017840.0789999999</v>
      </c>
      <c r="AH51" s="1388">
        <f>+'P03 2022'!FG8</f>
        <v>5238050.9245779999</v>
      </c>
      <c r="AI51" s="1777">
        <f>+'P03 2023'!FB14</f>
        <v>1607860.3259999999</v>
      </c>
      <c r="AJ51" s="1388">
        <f>+'P03 2022'!GI10</f>
        <v>1743482.8803009999</v>
      </c>
      <c r="AK51" s="1505">
        <f>+'P03 2022'!HK7</f>
        <v>2070382.665</v>
      </c>
      <c r="AL51" s="441">
        <f>+'P03 2022'!IM19</f>
        <v>1970164.7749999999</v>
      </c>
      <c r="AM51" s="1506">
        <f>+'P03 2022'!JK10</f>
        <v>440175.73499999999</v>
      </c>
      <c r="AN51" s="374"/>
      <c r="AO51" s="1233"/>
      <c r="AP51" s="1233"/>
      <c r="AQ51" s="1233"/>
      <c r="AR51" s="1233"/>
      <c r="AS51" s="1233"/>
      <c r="AT51" s="1233"/>
      <c r="AU51" s="1233"/>
    </row>
    <row r="52" spans="2:47" s="374" customFormat="1" ht="15" customHeight="1" x14ac:dyDescent="0.25">
      <c r="B52" s="757"/>
      <c r="C52" s="357"/>
      <c r="D52" s="758">
        <v>111</v>
      </c>
      <c r="E52" s="459"/>
      <c r="F52" s="1517" t="s">
        <v>268</v>
      </c>
      <c r="G52" s="1498" t="s">
        <v>269</v>
      </c>
      <c r="H52" s="1503">
        <f>+'P03 2023'!I33</f>
        <v>8635311</v>
      </c>
      <c r="I52" s="1500">
        <f>+'P03 2023'!FK48</f>
        <v>8635311</v>
      </c>
      <c r="J52" s="1500">
        <f ca="1">SUMIF(S$6:$AM26,"ok",S52:AL52)</f>
        <v>2649707.4369999999</v>
      </c>
      <c r="K52" s="912">
        <f t="shared" ca="1" si="6"/>
        <v>0.30684562918463504</v>
      </c>
      <c r="L52" s="1500">
        <f>+'P03 2023'!FL49</f>
        <v>3666663.216</v>
      </c>
      <c r="M52" s="910">
        <f t="shared" si="4"/>
        <v>0.42461275754862793</v>
      </c>
      <c r="N52" s="1502">
        <f t="shared" si="13"/>
        <v>4968647.784</v>
      </c>
      <c r="O52" s="656">
        <f t="shared" si="1"/>
        <v>0.57538724245137207</v>
      </c>
      <c r="P52" s="1503">
        <f>+'P03 2022'!GU25+'P03 2022'!GU26</f>
        <v>17542835.693999998</v>
      </c>
      <c r="Q52" s="1518">
        <f t="shared" si="23"/>
        <v>6059217.1043319991</v>
      </c>
      <c r="R52" s="1324">
        <f t="shared" si="5"/>
        <v>0.34539553410993712</v>
      </c>
      <c r="S52" s="1508">
        <v>0</v>
      </c>
      <c r="T52" s="1509">
        <v>0</v>
      </c>
      <c r="U52" s="1510">
        <v>0</v>
      </c>
      <c r="V52" s="1511">
        <v>0</v>
      </c>
      <c r="W52" s="1512">
        <f>+'P03 2023'!AO17</f>
        <v>128012.751</v>
      </c>
      <c r="X52" s="1513">
        <f>+'P03 2022'!AI10</f>
        <v>273602.13013199996</v>
      </c>
      <c r="Y52" s="1512">
        <f>+'P03 2023'!BI15</f>
        <v>1039948.825</v>
      </c>
      <c r="Z52" s="1516">
        <f>+'P03 2022'!BC5</f>
        <v>233860</v>
      </c>
      <c r="AA52" s="1515">
        <f>+'P03 2023'!CB24</f>
        <v>881728.91899999999</v>
      </c>
      <c r="AB52" s="1388">
        <f>+'P03 2022'!CD10</f>
        <v>531782.20311400003</v>
      </c>
      <c r="AC52" s="759">
        <f>+'P03 2023'!CV15</f>
        <v>312223.2</v>
      </c>
      <c r="AD52" s="1388">
        <f>+'P03 2022'!DD11</f>
        <v>600302.49428999994</v>
      </c>
      <c r="AE52" s="1507">
        <f>+'P03 2023'!DQ17</f>
        <v>68343.971000000005</v>
      </c>
      <c r="AF52" s="1514">
        <f>+'P03 2022'!EE8</f>
        <v>292397.11285699997</v>
      </c>
      <c r="AG52" s="1515">
        <f>+'P03 2023'!EI18</f>
        <v>8630.19</v>
      </c>
      <c r="AH52" s="1388">
        <f>+'P03 2022'!FG10+'P03 2022'!FG11</f>
        <v>3856122.8635039995</v>
      </c>
      <c r="AI52" s="1777">
        <f>+'P03 2023'!FB15</f>
        <v>210819.58100000001</v>
      </c>
      <c r="AJ52" s="1388">
        <f>+'P03 2022'!GI11+'P03 2022'!GI12</f>
        <v>271150.30043499998</v>
      </c>
      <c r="AK52" s="1505">
        <f>+'P03 2022'!HK8+'P03 2022'!HK9</f>
        <v>4542474.0460000001</v>
      </c>
      <c r="AL52" s="441">
        <f>+'P03 2022'!IM20++'P03 2022'!IM21</f>
        <v>4774062.8810000001</v>
      </c>
      <c r="AM52" s="1506">
        <f>+'P03 2022'!JK11+'P03 2022'!JK12</f>
        <v>2205253.909</v>
      </c>
      <c r="AO52" s="1233"/>
      <c r="AP52" s="1233"/>
      <c r="AQ52" s="1233"/>
      <c r="AR52" s="1233"/>
      <c r="AS52" s="1233"/>
      <c r="AT52" s="1233"/>
      <c r="AU52" s="1233"/>
    </row>
    <row r="53" spans="2:47" s="374" customFormat="1" ht="15" customHeight="1" x14ac:dyDescent="0.25">
      <c r="B53" s="1520"/>
      <c r="C53" s="1521"/>
      <c r="D53" s="758">
        <v>112</v>
      </c>
      <c r="E53" s="1522"/>
      <c r="F53" s="1517" t="s">
        <v>1037</v>
      </c>
      <c r="G53" s="1498" t="s">
        <v>1033</v>
      </c>
      <c r="H53" s="1503">
        <v>0</v>
      </c>
      <c r="I53" s="1500">
        <f>+'P03 2023'!FK50</f>
        <v>1249000</v>
      </c>
      <c r="J53" s="1500">
        <f ca="1">SUMIF(S$6:$AM27,"ok",S53:AL53)</f>
        <v>0</v>
      </c>
      <c r="K53" s="1786">
        <f t="shared" ca="1" si="6"/>
        <v>0</v>
      </c>
      <c r="L53" s="1500">
        <v>0</v>
      </c>
      <c r="M53" s="910">
        <f t="shared" si="4"/>
        <v>0</v>
      </c>
      <c r="N53" s="1502">
        <f t="shared" si="13"/>
        <v>1249000</v>
      </c>
      <c r="O53" s="656">
        <f t="shared" si="1"/>
        <v>1</v>
      </c>
      <c r="P53" s="1503">
        <v>0</v>
      </c>
      <c r="Q53" s="1518">
        <v>0</v>
      </c>
      <c r="R53" s="1324">
        <v>0</v>
      </c>
      <c r="S53" s="1508"/>
      <c r="T53" s="1509"/>
      <c r="U53" s="1510"/>
      <c r="V53" s="1511"/>
      <c r="W53" s="1512"/>
      <c r="X53" s="1513"/>
      <c r="Y53" s="1512"/>
      <c r="Z53" s="1516"/>
      <c r="AA53" s="1515">
        <v>0</v>
      </c>
      <c r="AB53" s="1388">
        <v>0</v>
      </c>
      <c r="AC53" s="759">
        <v>0</v>
      </c>
      <c r="AD53" s="1388">
        <v>0</v>
      </c>
      <c r="AE53" s="759">
        <v>0</v>
      </c>
      <c r="AF53" s="1514">
        <v>0</v>
      </c>
      <c r="AG53" s="1515">
        <v>0</v>
      </c>
      <c r="AH53" s="1388">
        <v>0</v>
      </c>
      <c r="AI53" s="1777">
        <v>0</v>
      </c>
      <c r="AJ53" s="1388">
        <v>0</v>
      </c>
      <c r="AK53" s="1505"/>
      <c r="AL53" s="441"/>
      <c r="AM53" s="1506"/>
      <c r="AO53" s="1233"/>
      <c r="AP53" s="1233"/>
      <c r="AQ53" s="1233"/>
      <c r="AR53" s="1233"/>
      <c r="AS53" s="1233"/>
      <c r="AT53" s="1233"/>
      <c r="AU53" s="1233"/>
    </row>
    <row r="54" spans="2:47" s="374" customFormat="1" ht="15" customHeight="1" x14ac:dyDescent="0.25">
      <c r="B54" s="407">
        <v>34</v>
      </c>
      <c r="C54" s="134"/>
      <c r="D54" s="129"/>
      <c r="E54" s="465"/>
      <c r="F54" s="467"/>
      <c r="G54" s="468" t="s">
        <v>83</v>
      </c>
      <c r="H54" s="403">
        <f>+H55</f>
        <v>10</v>
      </c>
      <c r="I54" s="1250">
        <f>+I55</f>
        <v>18205</v>
      </c>
      <c r="J54" s="473">
        <f ca="1">SUMIF(S$6:$AM$6,"ok",S54:AL54)</f>
        <v>18204.215</v>
      </c>
      <c r="K54" s="911">
        <f t="shared" ca="1" si="6"/>
        <v>0.99995687997802807</v>
      </c>
      <c r="L54" s="399">
        <f>+L55</f>
        <v>18204.215</v>
      </c>
      <c r="M54" s="231">
        <f t="shared" si="4"/>
        <v>0.99995687997802807</v>
      </c>
      <c r="N54" s="228">
        <f>+I54-L54</f>
        <v>0.78499999999985448</v>
      </c>
      <c r="O54" s="655">
        <f t="shared" si="1"/>
        <v>4.3120021971977725E-5</v>
      </c>
      <c r="P54" s="408">
        <f>+P55</f>
        <v>496517.73299999995</v>
      </c>
      <c r="Q54" s="409">
        <f>+Q55</f>
        <v>493309.91364799987</v>
      </c>
      <c r="R54" s="1323">
        <f t="shared" si="5"/>
        <v>0.99353936599078108</v>
      </c>
      <c r="S54" s="900">
        <f>+S55</f>
        <v>18204.215</v>
      </c>
      <c r="T54" s="914">
        <f>+'P03 2022'!H43</f>
        <v>1176235.5520039999</v>
      </c>
      <c r="U54" s="1120">
        <v>0</v>
      </c>
      <c r="V54" s="855">
        <f>+V55</f>
        <v>-3196.7939159999996</v>
      </c>
      <c r="W54" s="405">
        <f>+W55</f>
        <v>0</v>
      </c>
      <c r="X54" s="415">
        <v>0</v>
      </c>
      <c r="Y54" s="434">
        <v>0</v>
      </c>
      <c r="Z54" s="443">
        <v>0</v>
      </c>
      <c r="AA54" s="444">
        <f>+AA55</f>
        <v>0</v>
      </c>
      <c r="AB54" s="1306">
        <v>0</v>
      </c>
      <c r="AC54" s="462">
        <v>0</v>
      </c>
      <c r="AD54" s="1306">
        <f>+AD55</f>
        <v>-679728.84444000002</v>
      </c>
      <c r="AE54" s="462">
        <v>0</v>
      </c>
      <c r="AF54" s="443">
        <v>0</v>
      </c>
      <c r="AG54" s="444">
        <v>0</v>
      </c>
      <c r="AH54" s="1306">
        <v>0</v>
      </c>
      <c r="AI54" s="1778">
        <v>0</v>
      </c>
      <c r="AJ54" s="1306">
        <v>0</v>
      </c>
      <c r="AK54" s="445">
        <v>0</v>
      </c>
      <c r="AL54" s="462">
        <v>0</v>
      </c>
      <c r="AM54" s="470">
        <v>0</v>
      </c>
      <c r="AN54" s="495"/>
      <c r="AO54" s="1233"/>
      <c r="AP54" s="1233"/>
      <c r="AQ54" s="1233"/>
      <c r="AR54" s="1233"/>
      <c r="AS54" s="1233"/>
      <c r="AT54" s="1233"/>
      <c r="AU54" s="1233"/>
    </row>
    <row r="55" spans="2:47" s="374" customFormat="1" ht="15" customHeight="1" x14ac:dyDescent="0.25">
      <c r="B55" s="463"/>
      <c r="C55" s="142">
        <v>7</v>
      </c>
      <c r="D55" s="140"/>
      <c r="E55" s="1380"/>
      <c r="F55" s="1375" t="s">
        <v>205</v>
      </c>
      <c r="G55" s="550" t="s">
        <v>128</v>
      </c>
      <c r="H55" s="464">
        <f>+'P03 2023'!I34</f>
        <v>10</v>
      </c>
      <c r="I55" s="442">
        <f>+'P03 2023'!FK51</f>
        <v>18205</v>
      </c>
      <c r="J55" s="442">
        <f ca="1">SUMIF(S$6:$AM$6,"ok",S55:AL55)</f>
        <v>18204.215</v>
      </c>
      <c r="K55" s="1447">
        <f t="shared" ca="1" si="6"/>
        <v>0.99995687997802807</v>
      </c>
      <c r="L55" s="1448">
        <f>+'P03 2023'!FL52</f>
        <v>18204.215</v>
      </c>
      <c r="M55" s="1449">
        <f t="shared" si="4"/>
        <v>0.99995687997802807</v>
      </c>
      <c r="N55" s="227">
        <f>+I55-L55</f>
        <v>0.78499999999985448</v>
      </c>
      <c r="O55" s="1339">
        <f t="shared" si="1"/>
        <v>4.3120021971977725E-5</v>
      </c>
      <c r="P55" s="451">
        <f>+'P03 2022'!GU49</f>
        <v>496517.73299999995</v>
      </c>
      <c r="Q55" s="774">
        <f>SUMIF($S$6:$AM$6,"SI",S55:AM55)</f>
        <v>493309.91364799987</v>
      </c>
      <c r="R55" s="1336">
        <f t="shared" si="5"/>
        <v>0.99353936599078108</v>
      </c>
      <c r="S55" s="1249">
        <f>+'P03 2023'!K35</f>
        <v>18204.215</v>
      </c>
      <c r="T55" s="913">
        <f>+'P03 2022'!H43</f>
        <v>1176235.5520039999</v>
      </c>
      <c r="U55" s="1119">
        <v>0</v>
      </c>
      <c r="V55" s="856">
        <f>+'P03 2022'!Q16</f>
        <v>-3196.7939159999996</v>
      </c>
      <c r="W55" s="854">
        <f>+'P03 2023'!AO18</f>
        <v>0</v>
      </c>
      <c r="X55" s="1326">
        <v>0</v>
      </c>
      <c r="Y55" s="1330">
        <v>0</v>
      </c>
      <c r="Z55" s="438">
        <v>0</v>
      </c>
      <c r="AA55" s="439">
        <v>0</v>
      </c>
      <c r="AB55" s="440">
        <v>0</v>
      </c>
      <c r="AC55" s="441">
        <v>0</v>
      </c>
      <c r="AD55" s="440">
        <f>+'P03 2022'!DD26</f>
        <v>-679728.84444000002</v>
      </c>
      <c r="AE55" s="441">
        <v>0</v>
      </c>
      <c r="AF55" s="438">
        <v>0</v>
      </c>
      <c r="AG55" s="439">
        <v>0</v>
      </c>
      <c r="AH55" s="440"/>
      <c r="AI55" s="649">
        <v>0</v>
      </c>
      <c r="AJ55" s="440"/>
      <c r="AK55" s="437"/>
      <c r="AL55" s="441"/>
      <c r="AM55" s="847"/>
      <c r="AO55" s="1233"/>
      <c r="AP55" s="1233"/>
      <c r="AQ55" s="1233"/>
      <c r="AR55" s="1233"/>
      <c r="AS55" s="1233"/>
      <c r="AT55" s="1233"/>
      <c r="AU55" s="1233"/>
    </row>
    <row r="56" spans="2:47" s="374" customFormat="1" ht="15" customHeight="1" thickBot="1" x14ac:dyDescent="0.3">
      <c r="B56" s="452">
        <v>35</v>
      </c>
      <c r="C56" s="135"/>
      <c r="D56" s="136"/>
      <c r="E56" s="474"/>
      <c r="F56" s="1247"/>
      <c r="G56" s="552" t="s">
        <v>125</v>
      </c>
      <c r="H56" s="475">
        <v>0</v>
      </c>
      <c r="I56" s="454">
        <v>0</v>
      </c>
      <c r="J56" s="456">
        <v>0</v>
      </c>
      <c r="K56" s="908" t="str">
        <f t="shared" si="6"/>
        <v>0.00%</v>
      </c>
      <c r="L56" s="230">
        <v>0</v>
      </c>
      <c r="M56" s="237">
        <f t="shared" si="4"/>
        <v>0</v>
      </c>
      <c r="N56" s="230">
        <f t="shared" si="12"/>
        <v>0</v>
      </c>
      <c r="O56" s="657">
        <f t="shared" si="1"/>
        <v>0</v>
      </c>
      <c r="P56" s="455">
        <v>0</v>
      </c>
      <c r="Q56" s="456">
        <v>0</v>
      </c>
      <c r="R56" s="1325" t="str">
        <f t="shared" si="5"/>
        <v>0.00%</v>
      </c>
      <c r="S56" s="903">
        <v>0</v>
      </c>
      <c r="T56" s="916">
        <v>0</v>
      </c>
      <c r="U56" s="1122">
        <v>0</v>
      </c>
      <c r="V56" s="858">
        <v>0</v>
      </c>
      <c r="W56" s="1244">
        <v>0</v>
      </c>
      <c r="X56" s="1128">
        <v>0</v>
      </c>
      <c r="Y56" s="1311">
        <v>0</v>
      </c>
      <c r="Z56" s="1383">
        <v>0</v>
      </c>
      <c r="AA56" s="477">
        <v>0</v>
      </c>
      <c r="AB56" s="1320">
        <v>0</v>
      </c>
      <c r="AC56" s="554">
        <v>0</v>
      </c>
      <c r="AD56" s="1320">
        <v>0</v>
      </c>
      <c r="AE56" s="554">
        <v>0</v>
      </c>
      <c r="AF56" s="1383">
        <v>0</v>
      </c>
      <c r="AG56" s="477">
        <v>0</v>
      </c>
      <c r="AH56" s="1320">
        <v>0</v>
      </c>
      <c r="AI56" s="1781">
        <v>0</v>
      </c>
      <c r="AJ56" s="1320">
        <v>0</v>
      </c>
      <c r="AK56" s="476">
        <v>0</v>
      </c>
      <c r="AL56" s="554">
        <v>0</v>
      </c>
      <c r="AM56" s="851">
        <v>0</v>
      </c>
      <c r="AO56" s="1233"/>
      <c r="AP56" s="1233"/>
      <c r="AQ56" s="1233"/>
      <c r="AR56" s="1233"/>
      <c r="AS56" s="1233"/>
      <c r="AT56" s="1233"/>
      <c r="AU56" s="1233"/>
    </row>
    <row r="57" spans="2:47" s="85" customFormat="1" ht="12.75" customHeight="1" x14ac:dyDescent="0.2">
      <c r="B57" s="917"/>
      <c r="C57" s="918"/>
      <c r="D57" s="919"/>
      <c r="E57" s="946"/>
      <c r="F57" s="947"/>
      <c r="G57" s="920"/>
      <c r="H57" s="921"/>
      <c r="I57" s="921"/>
      <c r="J57" s="921"/>
      <c r="K57" s="922"/>
      <c r="L57" s="923"/>
      <c r="M57" s="921"/>
      <c r="N57" s="924"/>
      <c r="O57" s="925"/>
      <c r="P57" s="926"/>
      <c r="Q57" s="926"/>
      <c r="R57" s="926"/>
      <c r="S57" s="927"/>
      <c r="T57" s="926"/>
      <c r="U57" s="926"/>
      <c r="V57" s="926"/>
      <c r="W57" s="926"/>
      <c r="X57" s="926"/>
      <c r="Y57" s="926"/>
      <c r="Z57" s="926"/>
      <c r="AA57" s="926"/>
      <c r="AB57" s="926"/>
      <c r="AC57" s="926"/>
      <c r="AD57" s="926"/>
      <c r="AE57" s="926"/>
      <c r="AF57" s="926"/>
      <c r="AG57" s="926"/>
      <c r="AH57" s="926"/>
      <c r="AI57" s="926"/>
      <c r="AJ57" s="926"/>
      <c r="AK57" s="926"/>
      <c r="AL57" s="926"/>
      <c r="AM57" s="926"/>
      <c r="AN57" s="926"/>
      <c r="AO57" s="1233"/>
      <c r="AP57" s="1233"/>
      <c r="AQ57" s="1233"/>
      <c r="AR57" s="1233"/>
      <c r="AS57" s="1233"/>
      <c r="AT57" s="1233"/>
      <c r="AU57" s="1233"/>
    </row>
    <row r="58" spans="2:47" s="76" customFormat="1" ht="13.5" thickBot="1" x14ac:dyDescent="0.25">
      <c r="B58" s="334"/>
      <c r="C58" s="335"/>
      <c r="D58" s="336"/>
      <c r="E58" s="948"/>
      <c r="F58" s="949"/>
      <c r="G58" s="71"/>
      <c r="H58" s="67"/>
      <c r="I58" s="67"/>
      <c r="J58" s="67"/>
      <c r="K58" s="67"/>
      <c r="L58" s="67"/>
      <c r="M58" s="67"/>
      <c r="N58" s="339"/>
      <c r="O58" s="658"/>
      <c r="P58" s="67"/>
      <c r="Q58" s="67"/>
      <c r="R58" s="67"/>
      <c r="S58" s="904"/>
      <c r="T58" s="67"/>
      <c r="U58" s="67"/>
      <c r="V58" s="67"/>
      <c r="W58" s="67"/>
      <c r="X58" s="67"/>
      <c r="Y58" s="67"/>
      <c r="Z58" s="67"/>
      <c r="AA58" s="67"/>
      <c r="AB58" s="67"/>
      <c r="AC58" s="67"/>
      <c r="AD58" s="224"/>
      <c r="AE58" s="224"/>
      <c r="AF58" s="67"/>
      <c r="AG58" s="67"/>
      <c r="AH58" s="67"/>
      <c r="AI58" s="67"/>
      <c r="AJ58" s="67"/>
      <c r="AK58" s="67"/>
      <c r="AL58" s="67"/>
      <c r="AM58" s="67"/>
      <c r="AN58" s="495"/>
      <c r="AO58" s="1233"/>
      <c r="AP58" s="1233"/>
      <c r="AQ58" s="1233"/>
      <c r="AR58" s="1233"/>
      <c r="AS58" s="1233"/>
      <c r="AT58" s="1233"/>
      <c r="AU58" s="1233"/>
    </row>
    <row r="59" spans="2:47" ht="15.75" thickBot="1" x14ac:dyDescent="0.3">
      <c r="B59" s="318"/>
      <c r="C59" s="319"/>
      <c r="D59" s="336"/>
      <c r="E59" s="948"/>
      <c r="F59" s="1929" t="s">
        <v>1069</v>
      </c>
      <c r="G59" s="1930"/>
      <c r="H59" s="1930"/>
      <c r="I59" s="1931"/>
      <c r="J59" s="70"/>
      <c r="K59" s="322"/>
      <c r="L59" s="337"/>
      <c r="M59" s="55"/>
      <c r="N59" s="338"/>
      <c r="O59" s="651"/>
      <c r="P59" s="55"/>
      <c r="Q59" s="55"/>
      <c r="R59" s="55"/>
      <c r="S59" s="896"/>
      <c r="T59" s="55"/>
      <c r="U59" s="55"/>
      <c r="V59" s="55"/>
      <c r="W59" s="55"/>
      <c r="X59" s="55"/>
      <c r="Y59" s="55"/>
      <c r="Z59" s="55"/>
      <c r="AA59" s="55"/>
      <c r="AB59" s="55"/>
      <c r="AC59" s="55"/>
      <c r="AD59" s="55"/>
      <c r="AE59" s="55"/>
      <c r="AF59" s="55"/>
      <c r="AG59" s="55"/>
      <c r="AH59" s="55"/>
      <c r="AI59" s="55"/>
      <c r="AJ59" s="55"/>
      <c r="AK59" s="55"/>
      <c r="AL59" s="55"/>
      <c r="AM59" s="55"/>
      <c r="AN59" s="495"/>
      <c r="AO59" s="1233"/>
      <c r="AP59" s="1233"/>
      <c r="AQ59" s="1233"/>
      <c r="AR59" s="1233"/>
      <c r="AS59" s="1233"/>
      <c r="AT59" s="1233"/>
      <c r="AU59" s="1233"/>
    </row>
    <row r="60" spans="2:47" s="76" customFormat="1" x14ac:dyDescent="0.2">
      <c r="B60" s="318"/>
      <c r="C60" s="319"/>
      <c r="D60" s="320"/>
      <c r="E60" s="321"/>
      <c r="F60" s="608"/>
      <c r="G60" s="1939" t="s">
        <v>291</v>
      </c>
      <c r="H60" s="1939"/>
      <c r="I60" s="1939"/>
      <c r="J60" s="1939"/>
      <c r="K60" s="322"/>
      <c r="L60" s="337"/>
      <c r="M60" s="55"/>
      <c r="N60" s="338"/>
      <c r="O60" s="651"/>
      <c r="P60" s="55"/>
      <c r="Q60" s="55"/>
      <c r="R60" s="55"/>
      <c r="S60" s="896"/>
      <c r="T60" s="55"/>
      <c r="U60" s="55"/>
      <c r="V60" s="55"/>
      <c r="W60" s="55"/>
      <c r="X60" s="55"/>
      <c r="Y60" s="55"/>
      <c r="Z60" s="55"/>
      <c r="AA60" s="55"/>
      <c r="AB60" s="55"/>
      <c r="AC60" s="55"/>
      <c r="AD60" s="55"/>
      <c r="AE60" s="55"/>
      <c r="AF60" s="55"/>
      <c r="AG60" s="55"/>
      <c r="AH60" s="55"/>
      <c r="AI60" s="55"/>
      <c r="AJ60" s="55"/>
      <c r="AK60" s="55"/>
      <c r="AL60" s="55"/>
      <c r="AM60" s="55"/>
      <c r="AN60" s="495"/>
      <c r="AO60" s="1233"/>
      <c r="AP60" s="1233"/>
      <c r="AQ60" s="1233"/>
      <c r="AR60" s="1233"/>
      <c r="AS60" s="1233"/>
      <c r="AT60" s="1233"/>
      <c r="AU60" s="1233"/>
    </row>
    <row r="61" spans="2:47" s="76" customFormat="1" ht="13.5" thickBot="1" x14ac:dyDescent="0.25">
      <c r="B61" s="318"/>
      <c r="C61" s="319"/>
      <c r="D61" s="320"/>
      <c r="E61" s="321"/>
      <c r="F61" s="608"/>
      <c r="G61" s="810"/>
      <c r="H61" s="810"/>
      <c r="I61" s="810"/>
      <c r="J61" s="1704"/>
      <c r="K61" s="322"/>
      <c r="L61" s="337"/>
      <c r="M61" s="55"/>
      <c r="N61" s="338"/>
      <c r="O61" s="651"/>
      <c r="P61" s="55"/>
      <c r="Q61" s="55"/>
      <c r="R61" s="55"/>
      <c r="S61" s="896"/>
      <c r="T61" s="55"/>
      <c r="U61" s="55"/>
      <c r="V61" s="55"/>
      <c r="W61" s="55"/>
      <c r="X61" s="55"/>
      <c r="Y61" s="55"/>
      <c r="Z61" s="55"/>
      <c r="AA61" s="55"/>
      <c r="AB61" s="55"/>
      <c r="AC61" s="55"/>
      <c r="AD61" s="55"/>
      <c r="AE61" s="55"/>
      <c r="AF61" s="55"/>
      <c r="AG61" s="55"/>
      <c r="AH61" s="55"/>
      <c r="AI61" s="55"/>
      <c r="AJ61" s="55"/>
      <c r="AK61" s="55"/>
      <c r="AL61" s="55"/>
      <c r="AM61" s="55"/>
      <c r="AN61" s="495"/>
      <c r="AO61" s="1233"/>
      <c r="AP61" s="1233"/>
      <c r="AQ61" s="1233"/>
      <c r="AR61" s="1233"/>
      <c r="AS61" s="1233"/>
      <c r="AT61" s="1233"/>
      <c r="AU61" s="1233"/>
    </row>
    <row r="62" spans="2:47" s="76" customFormat="1" ht="15.75" thickBot="1" x14ac:dyDescent="0.25">
      <c r="B62" s="318"/>
      <c r="C62" s="319"/>
      <c r="D62" s="320"/>
      <c r="E62" s="321"/>
      <c r="F62" s="610" t="s">
        <v>721</v>
      </c>
      <c r="G62" s="1937" t="s">
        <v>980</v>
      </c>
      <c r="H62" s="1938"/>
      <c r="I62" s="810"/>
      <c r="J62" s="810"/>
      <c r="K62" s="322"/>
      <c r="L62" s="337"/>
      <c r="M62" s="55"/>
      <c r="N62" s="338"/>
      <c r="O62" s="651"/>
      <c r="P62" s="55"/>
      <c r="Q62" s="55"/>
      <c r="R62" s="55"/>
      <c r="S62" s="896"/>
      <c r="T62" s="55"/>
      <c r="U62" s="55"/>
      <c r="V62" s="55"/>
      <c r="W62" s="55"/>
      <c r="X62" s="55"/>
      <c r="Y62" s="55"/>
      <c r="Z62" s="55"/>
      <c r="AA62" s="55"/>
      <c r="AB62" s="55"/>
      <c r="AC62" s="55"/>
      <c r="AD62" s="55"/>
      <c r="AE62" s="55"/>
      <c r="AF62" s="55"/>
      <c r="AG62" s="55"/>
      <c r="AH62" s="55"/>
      <c r="AI62" s="55"/>
      <c r="AJ62" s="55"/>
      <c r="AK62" s="55"/>
      <c r="AL62" s="55"/>
      <c r="AM62" s="55"/>
      <c r="AN62" s="495"/>
      <c r="AO62" s="1233"/>
      <c r="AP62" s="1233"/>
      <c r="AQ62" s="1233"/>
      <c r="AR62" s="1233"/>
      <c r="AS62" s="1233"/>
      <c r="AT62" s="1233"/>
      <c r="AU62" s="1233"/>
    </row>
    <row r="63" spans="2:47" s="76" customFormat="1" x14ac:dyDescent="0.2">
      <c r="B63" s="318"/>
      <c r="C63" s="319"/>
      <c r="D63" s="320"/>
      <c r="E63" s="321"/>
      <c r="F63" s="611"/>
      <c r="G63" s="103" t="s">
        <v>153</v>
      </c>
      <c r="H63" s="104">
        <f>+H38</f>
        <v>90277278</v>
      </c>
      <c r="I63" s="810"/>
      <c r="J63" s="810"/>
      <c r="K63" s="322"/>
      <c r="L63" s="337"/>
      <c r="M63" s="55"/>
      <c r="N63" s="338"/>
      <c r="O63" s="651"/>
      <c r="P63" s="55"/>
      <c r="Q63" s="55"/>
      <c r="R63" s="55"/>
      <c r="S63" s="896"/>
      <c r="T63" s="55"/>
      <c r="U63" s="55"/>
      <c r="V63" s="55"/>
      <c r="W63" s="55"/>
      <c r="X63" s="55"/>
      <c r="Y63" s="55"/>
      <c r="Z63" s="55"/>
      <c r="AA63" s="55"/>
      <c r="AB63" s="55"/>
      <c r="AC63" s="55"/>
      <c r="AD63" s="55"/>
      <c r="AE63" s="55"/>
      <c r="AF63" s="55"/>
      <c r="AG63" s="55"/>
      <c r="AH63" s="55"/>
      <c r="AI63" s="55"/>
      <c r="AJ63" s="55"/>
      <c r="AK63" s="55"/>
      <c r="AL63" s="55"/>
      <c r="AM63" s="55"/>
      <c r="AN63" s="495"/>
      <c r="AO63" s="1233"/>
      <c r="AP63" s="1233"/>
      <c r="AQ63" s="1233"/>
      <c r="AR63" s="1233"/>
      <c r="AS63" s="1233"/>
      <c r="AT63" s="1233"/>
      <c r="AU63" s="1233"/>
    </row>
    <row r="64" spans="2:47" s="76" customFormat="1" x14ac:dyDescent="0.2">
      <c r="B64" s="318"/>
      <c r="C64" s="319"/>
      <c r="D64" s="320"/>
      <c r="E64" s="321"/>
      <c r="F64" s="612"/>
      <c r="G64" s="531" t="s">
        <v>1046</v>
      </c>
      <c r="H64" s="532">
        <f>+H65-H63</f>
        <v>65000000</v>
      </c>
      <c r="I64" s="810"/>
      <c r="J64" s="810"/>
      <c r="K64" s="322"/>
      <c r="L64" s="337"/>
      <c r="M64" s="55"/>
      <c r="N64" s="338"/>
      <c r="O64" s="651"/>
      <c r="P64" s="55"/>
      <c r="Q64" s="55"/>
      <c r="R64" s="55"/>
      <c r="S64" s="896"/>
      <c r="T64" s="55"/>
      <c r="U64" s="55"/>
      <c r="V64" s="55"/>
      <c r="W64" s="55"/>
      <c r="X64" s="55"/>
      <c r="Y64" s="55"/>
      <c r="Z64" s="55"/>
      <c r="AA64" s="55"/>
      <c r="AB64" s="55"/>
      <c r="AC64" s="55"/>
      <c r="AD64" s="55"/>
      <c r="AE64" s="55"/>
      <c r="AF64" s="55"/>
      <c r="AG64" s="55"/>
      <c r="AH64" s="55"/>
      <c r="AI64" s="55"/>
      <c r="AJ64" s="55"/>
      <c r="AK64" s="55"/>
      <c r="AL64" s="55"/>
      <c r="AM64" s="55"/>
      <c r="AN64" s="495"/>
      <c r="AO64" s="1233"/>
      <c r="AP64" s="1233"/>
      <c r="AQ64" s="1233"/>
      <c r="AR64" s="1233"/>
      <c r="AS64" s="1233"/>
      <c r="AT64" s="1233"/>
      <c r="AU64" s="1233"/>
    </row>
    <row r="65" spans="1:47" s="76" customFormat="1" ht="13.5" thickBot="1" x14ac:dyDescent="0.25">
      <c r="B65" s="318"/>
      <c r="C65" s="319"/>
      <c r="D65" s="320"/>
      <c r="E65" s="321"/>
      <c r="F65" s="613"/>
      <c r="G65" s="121" t="s">
        <v>541</v>
      </c>
      <c r="H65" s="105">
        <f>+I38</f>
        <v>155277278</v>
      </c>
      <c r="I65" s="810"/>
      <c r="J65" s="810"/>
      <c r="K65" s="322"/>
      <c r="L65" s="337"/>
      <c r="M65" s="55"/>
      <c r="N65" s="338"/>
      <c r="O65" s="651"/>
      <c r="P65" s="55"/>
      <c r="Q65" s="55"/>
      <c r="R65" s="55"/>
      <c r="S65" s="896"/>
      <c r="T65" s="55"/>
      <c r="U65" s="55"/>
      <c r="V65" s="55"/>
      <c r="W65" s="55"/>
      <c r="X65" s="55"/>
      <c r="Y65" s="55"/>
      <c r="Z65" s="55"/>
      <c r="AA65" s="55"/>
      <c r="AB65" s="55"/>
      <c r="AC65" s="55"/>
      <c r="AD65" s="55"/>
      <c r="AE65" s="55"/>
      <c r="AF65" s="55"/>
      <c r="AG65" s="55"/>
      <c r="AH65" s="55"/>
      <c r="AI65" s="55"/>
      <c r="AJ65" s="55"/>
      <c r="AK65" s="55"/>
      <c r="AL65" s="55"/>
      <c r="AM65" s="55"/>
      <c r="AN65" s="495"/>
      <c r="AO65" s="1233"/>
      <c r="AP65" s="1233"/>
      <c r="AQ65" s="1233"/>
      <c r="AR65" s="1233"/>
      <c r="AS65" s="1233"/>
      <c r="AT65" s="1233"/>
      <c r="AU65" s="1233"/>
    </row>
    <row r="66" spans="1:47" s="76" customFormat="1" x14ac:dyDescent="0.2">
      <c r="B66" s="318"/>
      <c r="C66" s="319"/>
      <c r="D66" s="320"/>
      <c r="E66" s="321"/>
      <c r="F66" s="608"/>
      <c r="G66" s="810"/>
      <c r="H66" s="810"/>
      <c r="I66" s="810"/>
      <c r="J66" s="810"/>
      <c r="K66" s="322"/>
      <c r="L66" s="337"/>
      <c r="M66" s="55"/>
      <c r="N66" s="338"/>
      <c r="O66" s="651"/>
      <c r="P66" s="55"/>
      <c r="Q66" s="55"/>
      <c r="R66" s="55"/>
      <c r="S66" s="896"/>
      <c r="T66" s="55"/>
      <c r="U66" s="55"/>
      <c r="V66" s="55"/>
      <c r="W66" s="55"/>
      <c r="X66" s="55"/>
      <c r="Y66" s="55"/>
      <c r="Z66" s="55"/>
      <c r="AA66" s="55"/>
      <c r="AB66" s="55"/>
      <c r="AC66" s="55"/>
      <c r="AD66" s="55"/>
      <c r="AE66" s="55"/>
      <c r="AF66" s="55"/>
      <c r="AG66" s="55"/>
      <c r="AH66" s="55"/>
      <c r="AI66" s="55"/>
      <c r="AJ66" s="55"/>
      <c r="AK66" s="55"/>
      <c r="AL66" s="55"/>
      <c r="AM66" s="55"/>
      <c r="AN66" s="495"/>
      <c r="AO66" s="1233"/>
      <c r="AP66" s="1233"/>
      <c r="AQ66" s="1233"/>
      <c r="AR66" s="1233"/>
      <c r="AS66" s="1233"/>
      <c r="AT66" s="1233"/>
      <c r="AU66" s="1233"/>
    </row>
    <row r="67" spans="1:47" s="76" customFormat="1" ht="13.5" thickBot="1" x14ac:dyDescent="0.25">
      <c r="B67" s="318"/>
      <c r="C67" s="319"/>
      <c r="D67" s="320"/>
      <c r="E67" s="321"/>
      <c r="F67" s="608"/>
      <c r="G67" s="810"/>
      <c r="H67" s="810"/>
      <c r="I67" s="810"/>
      <c r="J67" s="810"/>
      <c r="K67" s="322"/>
      <c r="L67" s="337"/>
      <c r="M67" s="55"/>
      <c r="N67" s="338"/>
      <c r="O67" s="651"/>
      <c r="P67" s="55"/>
      <c r="Q67" s="55"/>
      <c r="R67" s="55"/>
      <c r="S67" s="896"/>
      <c r="T67" s="55"/>
      <c r="U67" s="55"/>
      <c r="V67" s="55"/>
      <c r="W67" s="55"/>
      <c r="X67" s="55"/>
      <c r="Y67" s="55"/>
      <c r="Z67" s="55"/>
      <c r="AA67" s="55"/>
      <c r="AB67" s="55"/>
      <c r="AC67" s="55"/>
      <c r="AD67" s="55"/>
      <c r="AE67" s="55"/>
      <c r="AF67" s="55"/>
      <c r="AG67" s="55"/>
      <c r="AH67" s="55"/>
      <c r="AI67" s="55"/>
      <c r="AJ67" s="55"/>
      <c r="AK67" s="55"/>
      <c r="AL67" s="55"/>
      <c r="AM67" s="55"/>
      <c r="AN67" s="495"/>
      <c r="AO67" s="1233"/>
      <c r="AP67" s="1233"/>
      <c r="AQ67" s="1233"/>
      <c r="AR67" s="1233"/>
      <c r="AS67" s="1233"/>
      <c r="AT67" s="1233"/>
      <c r="AU67" s="1233"/>
    </row>
    <row r="68" spans="1:47" ht="19.5" customHeight="1" thickBot="1" x14ac:dyDescent="0.25">
      <c r="B68" s="318"/>
      <c r="C68" s="319"/>
      <c r="D68" s="318"/>
      <c r="E68" s="318"/>
      <c r="F68" s="610" t="s">
        <v>721</v>
      </c>
      <c r="G68" s="1937" t="s">
        <v>982</v>
      </c>
      <c r="H68" s="1938"/>
      <c r="I68" s="340"/>
      <c r="J68" s="559"/>
      <c r="K68" s="559"/>
      <c r="L68" s="559"/>
      <c r="M68" s="559"/>
      <c r="N68" s="559"/>
      <c r="O68" s="659"/>
      <c r="P68" s="559"/>
      <c r="Q68" s="559"/>
      <c r="R68" s="559"/>
      <c r="S68" s="905"/>
      <c r="T68" s="559"/>
      <c r="U68" s="559"/>
      <c r="V68" s="559"/>
      <c r="W68" s="559"/>
      <c r="X68" s="559"/>
      <c r="Y68" s="559"/>
      <c r="Z68" s="559"/>
      <c r="AA68" s="559"/>
      <c r="AB68" s="559"/>
      <c r="AC68" s="559"/>
      <c r="AD68" s="559"/>
      <c r="AE68" s="559"/>
      <c r="AF68" s="559"/>
      <c r="AG68" s="559"/>
      <c r="AH68" s="559"/>
      <c r="AI68" s="559"/>
      <c r="AJ68" s="559"/>
      <c r="AK68" s="559"/>
      <c r="AL68" s="559"/>
      <c r="AM68" s="559"/>
      <c r="AN68" s="495"/>
      <c r="AO68" s="1233"/>
      <c r="AP68" s="1233"/>
      <c r="AQ68" s="1233"/>
      <c r="AR68" s="1233"/>
      <c r="AS68" s="1233"/>
      <c r="AT68" s="1233"/>
      <c r="AU68" s="1233"/>
    </row>
    <row r="69" spans="1:47" x14ac:dyDescent="0.2">
      <c r="B69" s="318"/>
      <c r="C69" s="319"/>
      <c r="D69" s="318"/>
      <c r="E69" s="318"/>
      <c r="F69" s="611"/>
      <c r="G69" s="103" t="s">
        <v>153</v>
      </c>
      <c r="H69" s="104">
        <f>H43</f>
        <v>56612173</v>
      </c>
      <c r="I69" s="341"/>
      <c r="J69" s="55"/>
      <c r="K69" s="322"/>
      <c r="L69" s="337"/>
      <c r="M69" s="55"/>
      <c r="N69" s="338"/>
      <c r="O69" s="651"/>
      <c r="P69" s="55"/>
      <c r="Q69" s="55"/>
      <c r="R69" s="337"/>
      <c r="S69" s="896"/>
      <c r="T69" s="337"/>
      <c r="U69" s="337"/>
      <c r="V69" s="337"/>
      <c r="W69" s="337"/>
      <c r="X69" s="55"/>
      <c r="Y69" s="55"/>
      <c r="Z69" s="55"/>
      <c r="AA69" s="55"/>
      <c r="AB69" s="55"/>
      <c r="AC69" s="55"/>
      <c r="AD69" s="55"/>
      <c r="AE69" s="55"/>
      <c r="AF69" s="55"/>
      <c r="AG69" s="55"/>
      <c r="AH69" s="55"/>
      <c r="AI69" s="55"/>
      <c r="AJ69" s="55"/>
      <c r="AK69" s="55"/>
      <c r="AL69" s="55"/>
      <c r="AM69" s="55"/>
      <c r="AN69" s="495"/>
      <c r="AO69" s="1233"/>
      <c r="AP69" s="1233"/>
      <c r="AQ69" s="1233"/>
      <c r="AR69" s="1233"/>
      <c r="AS69" s="1233"/>
      <c r="AT69" s="1233"/>
      <c r="AU69" s="1233"/>
    </row>
    <row r="70" spans="1:47" s="76" customFormat="1" x14ac:dyDescent="0.2">
      <c r="B70" s="318"/>
      <c r="C70" s="319"/>
      <c r="D70" s="318"/>
      <c r="E70" s="318"/>
      <c r="F70" s="612"/>
      <c r="G70" s="531" t="s">
        <v>1046</v>
      </c>
      <c r="H70" s="532">
        <f>+H71-H69</f>
        <v>35000000</v>
      </c>
      <c r="I70" s="341"/>
      <c r="J70" s="55"/>
      <c r="K70" s="322"/>
      <c r="L70" s="337"/>
      <c r="M70" s="55"/>
      <c r="N70" s="338"/>
      <c r="O70" s="651"/>
      <c r="P70" s="55"/>
      <c r="Q70" s="55"/>
      <c r="R70" s="337"/>
      <c r="S70" s="896"/>
      <c r="T70" s="337"/>
      <c r="U70" s="337"/>
      <c r="V70" s="337"/>
      <c r="W70" s="337"/>
      <c r="X70" s="55"/>
      <c r="Y70" s="55"/>
      <c r="Z70" s="55"/>
      <c r="AA70" s="55"/>
      <c r="AB70" s="55"/>
      <c r="AC70" s="55"/>
      <c r="AD70" s="55"/>
      <c r="AE70" s="55"/>
      <c r="AF70" s="55"/>
      <c r="AG70" s="55"/>
      <c r="AH70" s="55"/>
      <c r="AI70" s="55"/>
      <c r="AJ70" s="55"/>
      <c r="AK70" s="55"/>
      <c r="AL70" s="55"/>
      <c r="AM70" s="55"/>
      <c r="AN70" s="495"/>
      <c r="AO70" s="1233"/>
      <c r="AP70" s="1233"/>
      <c r="AQ70" s="1233"/>
      <c r="AR70" s="1233"/>
      <c r="AS70" s="1233"/>
      <c r="AT70" s="1233"/>
      <c r="AU70" s="1233"/>
    </row>
    <row r="71" spans="1:47" ht="13.5" thickBot="1" x14ac:dyDescent="0.25">
      <c r="B71" s="318"/>
      <c r="C71" s="319"/>
      <c r="D71" s="318"/>
      <c r="E71" s="318"/>
      <c r="F71" s="613"/>
      <c r="G71" s="121" t="s">
        <v>541</v>
      </c>
      <c r="H71" s="105">
        <f>+I43</f>
        <v>91612173</v>
      </c>
      <c r="I71" s="55"/>
      <c r="J71" s="55"/>
      <c r="K71" s="322"/>
      <c r="L71" s="337"/>
      <c r="M71" s="55"/>
      <c r="N71" s="338"/>
      <c r="O71" s="651"/>
      <c r="P71" s="55"/>
      <c r="Q71" s="55"/>
      <c r="R71" s="337"/>
      <c r="S71" s="896"/>
      <c r="T71" s="337"/>
      <c r="U71" s="337"/>
      <c r="V71" s="337"/>
      <c r="W71" s="337"/>
      <c r="X71" s="55"/>
      <c r="Y71" s="55"/>
      <c r="Z71" s="55"/>
      <c r="AA71" s="55"/>
      <c r="AB71" s="55"/>
      <c r="AC71" s="55"/>
      <c r="AD71" s="55"/>
      <c r="AE71" s="55"/>
      <c r="AF71" s="55"/>
      <c r="AG71" s="55"/>
      <c r="AH71" s="55"/>
      <c r="AI71" s="55"/>
      <c r="AJ71" s="55"/>
      <c r="AK71" s="55"/>
      <c r="AL71" s="55"/>
      <c r="AM71" s="55"/>
      <c r="AN71" s="495"/>
    </row>
    <row r="72" spans="1:47" x14ac:dyDescent="0.2">
      <c r="B72" s="318"/>
      <c r="C72" s="319"/>
      <c r="D72" s="318"/>
      <c r="E72" s="318"/>
      <c r="I72" s="55"/>
      <c r="J72" s="55"/>
      <c r="K72" s="322"/>
      <c r="L72" s="337"/>
      <c r="M72" s="55"/>
      <c r="N72" s="338"/>
      <c r="O72" s="651"/>
      <c r="P72" s="55"/>
      <c r="Q72" s="55"/>
      <c r="R72" s="55"/>
      <c r="S72" s="896"/>
      <c r="T72" s="55"/>
      <c r="U72" s="55"/>
      <c r="V72" s="55"/>
      <c r="W72" s="55"/>
      <c r="X72" s="55"/>
      <c r="Y72" s="55"/>
      <c r="Z72" s="55"/>
      <c r="AA72" s="55"/>
      <c r="AB72" s="55"/>
      <c r="AC72" s="55"/>
      <c r="AD72" s="55"/>
      <c r="AE72" s="55"/>
      <c r="AF72" s="55"/>
      <c r="AG72" s="55"/>
      <c r="AH72" s="55"/>
      <c r="AI72" s="55"/>
      <c r="AJ72" s="55"/>
      <c r="AK72" s="55"/>
      <c r="AL72" s="55"/>
      <c r="AM72" s="55"/>
      <c r="AN72" s="495"/>
    </row>
    <row r="73" spans="1:47" ht="13.5" thickBot="1" x14ac:dyDescent="0.25">
      <c r="B73" s="318"/>
      <c r="C73" s="319"/>
      <c r="D73" s="320"/>
      <c r="E73" s="321"/>
      <c r="J73" s="55"/>
      <c r="K73" s="322"/>
      <c r="L73" s="337"/>
      <c r="M73" s="55"/>
      <c r="N73" s="338"/>
      <c r="O73" s="651"/>
      <c r="P73" s="55"/>
      <c r="Q73" s="55"/>
      <c r="R73" s="55"/>
      <c r="S73" s="896"/>
      <c r="T73" s="55"/>
      <c r="U73" s="55"/>
      <c r="V73" s="55"/>
      <c r="W73" s="55"/>
      <c r="X73" s="55"/>
      <c r="Y73" s="55"/>
      <c r="Z73" s="55"/>
      <c r="AA73" s="55"/>
      <c r="AB73" s="55"/>
      <c r="AC73" s="55"/>
      <c r="AD73" s="55"/>
      <c r="AE73" s="55"/>
      <c r="AF73" s="55"/>
      <c r="AG73" s="55"/>
      <c r="AH73" s="55"/>
      <c r="AI73" s="55"/>
      <c r="AJ73" s="55"/>
      <c r="AK73" s="55"/>
      <c r="AL73" s="55"/>
      <c r="AM73" s="55"/>
      <c r="AN73" s="495"/>
    </row>
    <row r="74" spans="1:47" ht="15.75" thickBot="1" x14ac:dyDescent="0.3">
      <c r="D74" s="320"/>
      <c r="E74" s="321"/>
      <c r="F74" s="1934" t="s">
        <v>981</v>
      </c>
      <c r="G74" s="1935"/>
      <c r="H74" s="1935"/>
      <c r="I74" s="1936"/>
      <c r="AN74" s="495"/>
    </row>
    <row r="75" spans="1:47" ht="31.5" customHeight="1" x14ac:dyDescent="0.2">
      <c r="D75" s="320"/>
      <c r="E75" s="321"/>
      <c r="F75" s="1098" t="s">
        <v>784</v>
      </c>
      <c r="G75" s="1099" t="s">
        <v>776</v>
      </c>
      <c r="H75" s="1100" t="s">
        <v>782</v>
      </c>
      <c r="I75" s="1101" t="s">
        <v>783</v>
      </c>
      <c r="AN75" s="495"/>
    </row>
    <row r="76" spans="1:47" x14ac:dyDescent="0.2">
      <c r="D76" s="320"/>
      <c r="E76" s="321"/>
      <c r="F76" s="1102" t="str">
        <f>+F39</f>
        <v>33.03.005.001</v>
      </c>
      <c r="G76" s="1096" t="s">
        <v>676</v>
      </c>
      <c r="H76" s="1097">
        <f>+I39</f>
        <v>42112712</v>
      </c>
      <c r="I76" s="1103">
        <f t="shared" ref="I76:I78" ca="1" si="24">+J39</f>
        <v>7996854.629999999</v>
      </c>
      <c r="AN76" s="495"/>
    </row>
    <row r="77" spans="1:47" x14ac:dyDescent="0.2">
      <c r="D77" s="320"/>
      <c r="E77" s="321"/>
      <c r="F77" s="1102" t="str">
        <f>+F40</f>
        <v>33.03.005.002</v>
      </c>
      <c r="G77" s="1096" t="s">
        <v>677</v>
      </c>
      <c r="H77" s="1097">
        <f>+I40</f>
        <v>73944300</v>
      </c>
      <c r="I77" s="1103">
        <f t="shared" ca="1" si="24"/>
        <v>47305570.348999999</v>
      </c>
      <c r="AN77" s="495"/>
    </row>
    <row r="78" spans="1:47" x14ac:dyDescent="0.2">
      <c r="A78" s="36"/>
      <c r="D78" s="320"/>
      <c r="E78" s="321"/>
      <c r="F78" s="1102" t="str">
        <f>+F41</f>
        <v>33.03.005.003</v>
      </c>
      <c r="G78" s="1096" t="s">
        <v>678</v>
      </c>
      <c r="H78" s="1097">
        <f>+I41</f>
        <v>17220266</v>
      </c>
      <c r="I78" s="1103">
        <f t="shared" ca="1" si="24"/>
        <v>13711589.243000001</v>
      </c>
      <c r="AN78" s="495"/>
    </row>
    <row r="79" spans="1:47" s="76" customFormat="1" ht="13.5" thickBot="1" x14ac:dyDescent="0.25">
      <c r="B79" s="43"/>
      <c r="C79" s="44"/>
      <c r="D79" s="320"/>
      <c r="E79" s="321"/>
      <c r="F79" s="1104" t="str">
        <f>+F42</f>
        <v>33.03.005.008</v>
      </c>
      <c r="G79" s="1105" t="str">
        <f>+G42</f>
        <v>Emergencia S.P.D.</v>
      </c>
      <c r="H79" s="1106">
        <f>+I42</f>
        <v>22000000</v>
      </c>
      <c r="I79" s="1107">
        <f ca="1">+J42</f>
        <v>8290698.8200000003</v>
      </c>
      <c r="J79" s="35"/>
      <c r="K79" s="232"/>
      <c r="L79" s="65"/>
      <c r="M79" s="35"/>
      <c r="N79" s="225"/>
      <c r="O79" s="650"/>
      <c r="P79" s="35"/>
      <c r="Q79" s="35"/>
      <c r="R79" s="35"/>
      <c r="S79" s="897"/>
      <c r="T79" s="35"/>
      <c r="U79" s="35"/>
      <c r="V79" s="35"/>
      <c r="W79" s="35"/>
      <c r="X79" s="35"/>
      <c r="Y79" s="35"/>
      <c r="Z79" s="35"/>
      <c r="AA79" s="35"/>
      <c r="AB79" s="35"/>
      <c r="AC79" s="35"/>
      <c r="AD79" s="35"/>
      <c r="AE79" s="35"/>
      <c r="AF79" s="35"/>
      <c r="AG79" s="35"/>
      <c r="AH79" s="35"/>
      <c r="AI79" s="35"/>
      <c r="AJ79" s="35"/>
      <c r="AK79" s="35"/>
      <c r="AL79" s="35"/>
      <c r="AM79" s="35"/>
      <c r="AN79" s="495"/>
    </row>
    <row r="80" spans="1:47" s="76" customFormat="1" ht="13.5" thickBot="1" x14ac:dyDescent="0.25">
      <c r="B80" s="43"/>
      <c r="C80" s="44"/>
      <c r="D80" s="320"/>
      <c r="E80" s="321"/>
      <c r="F80" s="1940" t="s">
        <v>423</v>
      </c>
      <c r="G80" s="1941"/>
      <c r="H80" s="1708">
        <f>+SUM(H76:H79)</f>
        <v>155277278</v>
      </c>
      <c r="I80" s="1709">
        <f ca="1">+SUM(I76:I79)</f>
        <v>77304713.041999996</v>
      </c>
      <c r="J80" s="35"/>
      <c r="K80" s="232"/>
      <c r="L80" s="65"/>
      <c r="M80" s="35"/>
      <c r="N80" s="225"/>
      <c r="O80" s="650"/>
      <c r="P80" s="35"/>
      <c r="Q80" s="35"/>
      <c r="R80" s="35"/>
      <c r="S80" s="897"/>
      <c r="T80" s="35"/>
      <c r="U80" s="35"/>
      <c r="V80" s="35"/>
      <c r="W80" s="35"/>
      <c r="X80" s="35"/>
      <c r="Y80" s="35"/>
      <c r="Z80" s="35"/>
      <c r="AA80" s="35"/>
      <c r="AB80" s="35"/>
      <c r="AC80" s="35"/>
      <c r="AD80" s="35"/>
      <c r="AE80" s="35"/>
      <c r="AF80" s="35"/>
      <c r="AG80" s="35"/>
      <c r="AH80" s="35"/>
      <c r="AI80" s="35"/>
      <c r="AJ80" s="35"/>
      <c r="AK80" s="35"/>
      <c r="AL80" s="35"/>
      <c r="AM80" s="35"/>
      <c r="AN80" s="495"/>
    </row>
    <row r="81" spans="1:40" s="76" customFormat="1" ht="35.25" customHeight="1" thickBot="1" x14ac:dyDescent="0.25">
      <c r="B81" s="43"/>
      <c r="C81" s="44"/>
      <c r="D81" s="320"/>
      <c r="E81" s="321"/>
      <c r="F81" s="615" t="s">
        <v>784</v>
      </c>
      <c r="G81" s="378" t="s">
        <v>777</v>
      </c>
      <c r="H81" s="386" t="s">
        <v>782</v>
      </c>
      <c r="I81" s="386" t="s">
        <v>783</v>
      </c>
      <c r="J81" s="35"/>
      <c r="K81" s="234"/>
      <c r="L81" s="235"/>
      <c r="M81" s="236"/>
      <c r="N81" s="225"/>
      <c r="O81" s="650"/>
      <c r="P81" s="35"/>
      <c r="Q81" s="35"/>
      <c r="R81" s="35"/>
      <c r="S81" s="897"/>
      <c r="T81" s="35"/>
      <c r="U81" s="35"/>
      <c r="V81" s="35"/>
      <c r="W81" s="35"/>
      <c r="X81" s="35"/>
      <c r="Y81" s="35"/>
      <c r="Z81" s="35"/>
      <c r="AA81" s="35"/>
      <c r="AB81" s="35"/>
      <c r="AC81" s="35"/>
      <c r="AD81" s="35"/>
      <c r="AE81" s="35"/>
      <c r="AF81" s="35"/>
      <c r="AG81" s="35"/>
      <c r="AH81" s="35"/>
      <c r="AI81" s="35"/>
      <c r="AJ81" s="35"/>
      <c r="AK81" s="35"/>
      <c r="AL81" s="35"/>
      <c r="AM81" s="35"/>
      <c r="AN81" s="495"/>
    </row>
    <row r="82" spans="1:40" x14ac:dyDescent="0.2">
      <c r="A82" s="36"/>
      <c r="D82" s="320"/>
      <c r="E82" s="321"/>
      <c r="F82" s="616" t="str">
        <f>+F44</f>
        <v>33.03.006.001</v>
      </c>
      <c r="G82" s="379" t="s">
        <v>679</v>
      </c>
      <c r="H82" s="387">
        <f t="shared" ref="H82:H87" si="25">+I44</f>
        <v>15653724.908</v>
      </c>
      <c r="I82" s="387">
        <f t="shared" ref="I82:I87" ca="1" si="26">+J44</f>
        <v>10685876.104</v>
      </c>
      <c r="AN82" s="495"/>
    </row>
    <row r="83" spans="1:40" x14ac:dyDescent="0.2">
      <c r="A83" s="36"/>
      <c r="D83" s="320"/>
      <c r="E83" s="321"/>
      <c r="F83" s="616" t="str">
        <f t="shared" ref="F83:F87" si="27">+F45</f>
        <v>33.03.006.002</v>
      </c>
      <c r="G83" s="380" t="s">
        <v>680</v>
      </c>
      <c r="H83" s="387">
        <f t="shared" si="25"/>
        <v>8943749.8080000002</v>
      </c>
      <c r="I83" s="387">
        <f t="shared" ca="1" si="26"/>
        <v>3992413.1680000001</v>
      </c>
      <c r="AN83" s="495"/>
    </row>
    <row r="84" spans="1:40" x14ac:dyDescent="0.2">
      <c r="A84" s="36"/>
      <c r="D84" s="320"/>
      <c r="E84" s="321"/>
      <c r="F84" s="616" t="str">
        <f t="shared" si="27"/>
        <v>33.03.006.003</v>
      </c>
      <c r="G84" s="380" t="s">
        <v>681</v>
      </c>
      <c r="H84" s="387">
        <f t="shared" si="25"/>
        <v>5152457.91</v>
      </c>
      <c r="I84" s="387">
        <f t="shared" ca="1" si="26"/>
        <v>3652476.341</v>
      </c>
      <c r="AN84" s="495"/>
    </row>
    <row r="85" spans="1:40" x14ac:dyDescent="0.2">
      <c r="A85" s="36"/>
      <c r="D85" s="320"/>
      <c r="E85" s="321"/>
      <c r="F85" s="616" t="str">
        <f t="shared" si="27"/>
        <v>33.03.006.004</v>
      </c>
      <c r="G85" s="380" t="s">
        <v>682</v>
      </c>
      <c r="H85" s="387">
        <f t="shared" si="25"/>
        <v>3219610</v>
      </c>
      <c r="I85" s="387">
        <f t="shared" ca="1" si="26"/>
        <v>2236624.8229999999</v>
      </c>
      <c r="AN85" s="495"/>
    </row>
    <row r="86" spans="1:40" x14ac:dyDescent="0.2">
      <c r="A86" s="36"/>
      <c r="D86" s="320"/>
      <c r="E86" s="321"/>
      <c r="F86" s="616" t="str">
        <f t="shared" si="27"/>
        <v>33.03.006.005</v>
      </c>
      <c r="G86" s="380" t="s">
        <v>683</v>
      </c>
      <c r="H86" s="387">
        <f t="shared" si="25"/>
        <v>21256852</v>
      </c>
      <c r="I86" s="387">
        <f t="shared" ca="1" si="26"/>
        <v>2196936.6260000002</v>
      </c>
    </row>
    <row r="87" spans="1:40" ht="13.5" thickBot="1" x14ac:dyDescent="0.25">
      <c r="A87" s="36"/>
      <c r="D87" s="320"/>
      <c r="E87" s="321"/>
      <c r="F87" s="616" t="str">
        <f t="shared" si="27"/>
        <v>33.03.006.006</v>
      </c>
      <c r="G87" s="381" t="s">
        <v>684</v>
      </c>
      <c r="H87" s="388">
        <f t="shared" si="25"/>
        <v>37385778.373999998</v>
      </c>
      <c r="I87" s="388">
        <f t="shared" ca="1" si="26"/>
        <v>28408401.209999997</v>
      </c>
    </row>
    <row r="88" spans="1:40" s="76" customFormat="1" ht="13.5" thickBot="1" x14ac:dyDescent="0.25">
      <c r="B88" s="43"/>
      <c r="C88" s="44"/>
      <c r="D88" s="320"/>
      <c r="E88" s="321"/>
      <c r="F88" s="1942" t="s">
        <v>423</v>
      </c>
      <c r="G88" s="1943"/>
      <c r="H88" s="376">
        <f>+SUM(H82:H87)</f>
        <v>91612173</v>
      </c>
      <c r="I88" s="377">
        <f ca="1">+SUM(I82:I87)</f>
        <v>51172728.272</v>
      </c>
      <c r="J88" s="35"/>
      <c r="K88" s="232"/>
      <c r="L88" s="65"/>
      <c r="M88" s="35"/>
      <c r="N88" s="225"/>
      <c r="O88" s="650"/>
      <c r="P88" s="35"/>
      <c r="Q88" s="35"/>
      <c r="R88" s="35"/>
      <c r="S88" s="897"/>
      <c r="T88" s="35"/>
      <c r="U88" s="35"/>
      <c r="V88" s="35"/>
      <c r="W88" s="35"/>
      <c r="X88" s="35"/>
      <c r="Y88" s="35"/>
      <c r="Z88" s="35"/>
      <c r="AA88" s="35"/>
      <c r="AB88" s="35"/>
      <c r="AC88" s="35"/>
      <c r="AD88" s="35"/>
      <c r="AE88" s="35"/>
      <c r="AF88" s="35"/>
      <c r="AG88" s="35"/>
      <c r="AH88" s="35"/>
      <c r="AI88" s="35"/>
      <c r="AJ88" s="35"/>
      <c r="AK88" s="35"/>
      <c r="AL88" s="35"/>
      <c r="AM88" s="35"/>
      <c r="AN88" s="233"/>
    </row>
    <row r="89" spans="1:40" s="76" customFormat="1" ht="33" customHeight="1" thickBot="1" x14ac:dyDescent="0.25">
      <c r="B89" s="43"/>
      <c r="C89" s="44"/>
      <c r="D89" s="320"/>
      <c r="E89" s="321"/>
      <c r="F89" s="617" t="s">
        <v>784</v>
      </c>
      <c r="G89" s="382" t="s">
        <v>152</v>
      </c>
      <c r="H89" s="384" t="s">
        <v>782</v>
      </c>
      <c r="I89" s="386" t="s">
        <v>783</v>
      </c>
      <c r="J89" s="35"/>
      <c r="K89" s="232"/>
      <c r="L89" s="65"/>
      <c r="M89" s="35"/>
      <c r="N89" s="225"/>
      <c r="O89" s="650"/>
      <c r="P89" s="35"/>
      <c r="Q89" s="35"/>
      <c r="R89" s="35"/>
      <c r="S89" s="897"/>
      <c r="T89" s="35"/>
      <c r="U89" s="35"/>
      <c r="V89" s="35"/>
      <c r="W89" s="35"/>
      <c r="X89" s="35"/>
      <c r="Y89" s="35"/>
      <c r="Z89" s="35"/>
      <c r="AA89" s="35"/>
      <c r="AB89" s="35"/>
      <c r="AC89" s="35"/>
      <c r="AD89" s="35"/>
      <c r="AE89" s="35"/>
      <c r="AF89" s="35"/>
      <c r="AG89" s="35"/>
      <c r="AH89" s="35"/>
      <c r="AI89" s="35"/>
      <c r="AJ89" s="35"/>
      <c r="AK89" s="35"/>
      <c r="AL89" s="35"/>
      <c r="AM89" s="35"/>
      <c r="AN89" s="233"/>
    </row>
    <row r="90" spans="1:40" x14ac:dyDescent="0.2">
      <c r="A90" s="36"/>
      <c r="D90" s="320"/>
      <c r="E90" s="321"/>
      <c r="F90" s="618" t="str">
        <f>+F50</f>
        <v>33.03.100</v>
      </c>
      <c r="G90" s="383" t="s">
        <v>685</v>
      </c>
      <c r="H90" s="385">
        <f>+I50</f>
        <v>13367065</v>
      </c>
      <c r="I90" s="387">
        <f ca="1">+J50</f>
        <v>0</v>
      </c>
    </row>
    <row r="91" spans="1:40" ht="13.5" thickBot="1" x14ac:dyDescent="0.25">
      <c r="A91" s="36"/>
      <c r="D91" s="320"/>
      <c r="E91" s="321"/>
      <c r="F91" s="1932" t="s">
        <v>423</v>
      </c>
      <c r="G91" s="1933"/>
      <c r="H91" s="389">
        <f>+H90</f>
        <v>13367065</v>
      </c>
      <c r="I91" s="390">
        <f ca="1">+I90</f>
        <v>0</v>
      </c>
    </row>
    <row r="92" spans="1:40" x14ac:dyDescent="0.2">
      <c r="A92" s="36"/>
      <c r="D92" s="320"/>
      <c r="E92" s="321"/>
    </row>
    <row r="93" spans="1:40" x14ac:dyDescent="0.2">
      <c r="A93" s="36"/>
      <c r="D93" s="320"/>
      <c r="E93" s="321"/>
    </row>
    <row r="94" spans="1:40" x14ac:dyDescent="0.2">
      <c r="A94" s="36"/>
      <c r="D94" s="320"/>
      <c r="E94" s="321"/>
    </row>
  </sheetData>
  <autoFilter ref="A11:AW56"/>
  <mergeCells count="23">
    <mergeCell ref="F59:I59"/>
    <mergeCell ref="F91:G91"/>
    <mergeCell ref="F74:I74"/>
    <mergeCell ref="G68:H68"/>
    <mergeCell ref="G60:J60"/>
    <mergeCell ref="F80:G80"/>
    <mergeCell ref="F88:G88"/>
    <mergeCell ref="G62:H62"/>
    <mergeCell ref="B4:AK4"/>
    <mergeCell ref="B7:AK7"/>
    <mergeCell ref="P8:R8"/>
    <mergeCell ref="B8:G10"/>
    <mergeCell ref="H8:O8"/>
    <mergeCell ref="S8:AM8"/>
    <mergeCell ref="S9:T9"/>
    <mergeCell ref="U9:V9"/>
    <mergeCell ref="W9:X9"/>
    <mergeCell ref="Y9:Z9"/>
    <mergeCell ref="AA9:AB9"/>
    <mergeCell ref="AC9:AD9"/>
    <mergeCell ref="AE9:AF9"/>
    <mergeCell ref="AG9:AH9"/>
    <mergeCell ref="AI9:AJ9"/>
  </mergeCells>
  <phoneticPr fontId="29" type="noConversion"/>
  <conditionalFormatting sqref="H16:H22 H39:I42 H44:I49">
    <cfRule type="cellIs" dxfId="52" priority="103" operator="equal">
      <formula>"·¡$S$$P$16"</formula>
    </cfRule>
  </conditionalFormatting>
  <conditionalFormatting sqref="H31:H32">
    <cfRule type="cellIs" dxfId="51" priority="67" operator="equal">
      <formula>"·¡$S$$P$16"</formula>
    </cfRule>
  </conditionalFormatting>
  <conditionalFormatting sqref="H24:H25">
    <cfRule type="cellIs" dxfId="50" priority="71" operator="equal">
      <formula>"·¡$S$$P$16"</formula>
    </cfRule>
  </conditionalFormatting>
  <conditionalFormatting sqref="I16">
    <cfRule type="cellIs" dxfId="49" priority="36" operator="equal">
      <formula>"·¡$S$$P$16"</formula>
    </cfRule>
  </conditionalFormatting>
  <conditionalFormatting sqref="I27 I29">
    <cfRule type="cellIs" dxfId="48" priority="28" operator="equal">
      <formula>"·¡$S$$P$16"</formula>
    </cfRule>
  </conditionalFormatting>
  <conditionalFormatting sqref="H27 H29">
    <cfRule type="cellIs" dxfId="47" priority="30" operator="equal">
      <formula>"·¡$S$$P$16"</formula>
    </cfRule>
  </conditionalFormatting>
  <conditionalFormatting sqref="L16">
    <cfRule type="cellIs" dxfId="46" priority="4" operator="equal">
      <formula>"·¡$S$$P$16"</formula>
    </cfRule>
  </conditionalFormatting>
  <conditionalFormatting sqref="I31">
    <cfRule type="cellIs" dxfId="45" priority="3" operator="equal">
      <formula>"·¡$S$$P$16"</formula>
    </cfRule>
  </conditionalFormatting>
  <conditionalFormatting sqref="L17:L22">
    <cfRule type="cellIs" dxfId="44" priority="2" operator="equal">
      <formula>"·¡$S$$P$16"</formula>
    </cfRule>
  </conditionalFormatting>
  <printOptions horizontalCentered="1"/>
  <pageMargins left="1" right="1" top="1" bottom="1" header="0.5" footer="0.5"/>
  <pageSetup paperSize="5" scale="49" fitToWidth="0" orientation="landscape" r:id="rId1"/>
  <ignoredErrors>
    <ignoredError sqref="R12 K11:K13 H26 H27 H28 H30 H24 H31 H29 K14:K16 R14 K53 K22 K25" formula="1"/>
    <ignoredError sqref="Z54:Z56 Z26 Z28 Z30 Z32:Z33 X51:X52 X26:X31 X34 V26:V31 V54:V55 V33:V34 T54:T56 T24 P28 P54 P30 T33:T34 T28:T31 P26 P56:Q56 I56:J56 AK35 AJ26:AL34 AK54:AL54 AK36:AL36 AJ16:AM16 AJ51:AL52 T51:T52 V51:V52 Z52 AB51:AB52 AA16:AB16 AB54:AB56 AB26:AB32 AB34 AJ56:AL56 I26:I30 I54 I32:J32 I34 I36:J36 J26 Q26:R35 AD56 AD51:AD52 AD16 AD54 AD26:AD34 AD24 Q23:R24 K17:K21 AB24 AJ24:AL24 J23:J24 V24 X24 N24 M25:N43 AF24 AF56 AF51:AF52 AF16 AF54 AF26:AF34 M45:N56 M44 AH24 AH56 AH51:AH52 AH16 AH54 AH26:AH34 K23:K24 K29 K27 K26 K30:K52 K54:K56 K28 L23 L22 L44:L52 L24 L39:L42 L31 L55 L34:L35 L37:L38 L28 L30 L25:L26 L43 L53 L32:L33 L36 L56 L54 L27 L29 Q37:R54 Q36" formula="1" unlockedFormula="1"/>
    <ignoredError sqref="T11:T12 T14 T16 V16 Y16:Z24 S39:Z40 Y41:Z51 Y32:Y33 Y34:Z38 Y30 Y31:Z31 Y28 Y29:Z29 Y26 Y27:Z27 Y54:Y56 M17 M18:O21 V19:V23 Q55:R55 S51:S52 S24 O28 O30:O31 S28:S31 O26 I17:J17 O44:O52 S54:S55 O32:P38 N23:P23 X15:X23 R56:S56 J54:J55 U33:U34 J33:J34 O29:P29 O27:P27 U56:X56 U54:U55 U51:U52 O54:O56 W33:X33 W54:X55 W51:W52 W34 U17:W18 U26:U31 W26:W31 S17:T23 J38:J52 AJ17:AM23 AB17:AB23 AM54 AM36 AM26:AM34 AM51:AM52 AL35:AM35 AA54:AA56 AA34 AA33:AB33 Y11:AB15 AJ11:AM15 AA26:AA32 O17 AA51:AA52 Y52 AA35:AB50 AM56 I35:J35 I33 J27:J31 I37:I38 I23 M22:O22 AC26:AC51 AC53:AC56 AJ37:AM41 S41:X50 S33:S34 S26:T27 S32:X32 S35:X38 Q16:R16 G79 H76:I91 AD43:AD50 AD11:AD15 AD37:AD41 AD17:AD23 O39:O42 I43 O43:P43 AC11:AC24 AA17:AA24 AM24 W19:W24 U19:U24 O24 AE17:AE54 AE11 M23:M24 Q18:R22 R17 J19:J22 AF37:AF50 AF11:AF15 AF17:AF23 S11 U11:V11 AG17:AG29 AG31:AG32 AG34:AG36 AG39:AG42 AG44:AG55 AH37:AH50 AH11:AH15 AH17:AH23 AJ43:AM50 AK42:AM42 AI11:AI56" unlockedFormula="1"/>
    <ignoredError sqref="C34 D3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28</vt:i4>
      </vt:variant>
    </vt:vector>
  </HeadingPairs>
  <TitlesOfParts>
    <vt:vector size="42" baseType="lpstr">
      <vt:lpstr>GRAFICOS</vt:lpstr>
      <vt:lpstr>CONSOLIDADO</vt:lpstr>
      <vt:lpstr>Prog 01</vt:lpstr>
      <vt:lpstr>P01 2022</vt:lpstr>
      <vt:lpstr>P01 2023</vt:lpstr>
      <vt:lpstr>Prog 02</vt:lpstr>
      <vt:lpstr>P02 2023</vt:lpstr>
      <vt:lpstr>P02 2022</vt:lpstr>
      <vt:lpstr>Prog 03</vt:lpstr>
      <vt:lpstr>P03 2022</vt:lpstr>
      <vt:lpstr>P03 2023</vt:lpstr>
      <vt:lpstr>Prog 05</vt:lpstr>
      <vt:lpstr>P05 2022</vt:lpstr>
      <vt:lpstr>P05 2023</vt:lpstr>
      <vt:lpstr>CONSOLIDADO!Área_de_impresión</vt:lpstr>
      <vt:lpstr>'Prog 01'!Área_de_impresión</vt:lpstr>
      <vt:lpstr>'Prog 02'!Área_de_impresión</vt:lpstr>
      <vt:lpstr>'Prog 03'!Área_de_impresión</vt:lpstr>
      <vt:lpstr>'Prog 05'!Área_de_impresión</vt:lpstr>
      <vt:lpstr>coincidenciaP01</vt:lpstr>
      <vt:lpstr>Compromiso_ENERO</vt:lpstr>
      <vt:lpstr>Concepto2022</vt:lpstr>
      <vt:lpstr>Devengado_enero</vt:lpstr>
      <vt:lpstr>Devengado2022</vt:lpstr>
      <vt:lpstr>EENERO23</vt:lpstr>
      <vt:lpstr>ENERO.P01.22</vt:lpstr>
      <vt:lpstr>ENERO2022</vt:lpstr>
      <vt:lpstr>enero2023</vt:lpstr>
      <vt:lpstr>indicep01</vt:lpstr>
      <vt:lpstr>'Prog 05'!matriz01</vt:lpstr>
      <vt:lpstr>matriz01</vt:lpstr>
      <vt:lpstr>matriz01.v2</vt:lpstr>
      <vt:lpstr>matriz02</vt:lpstr>
      <vt:lpstr>matriz03</vt:lpstr>
      <vt:lpstr>matriz2</vt:lpstr>
      <vt:lpstr>Requerimiento2022</vt:lpstr>
      <vt:lpstr>RequerimientoENERO</vt:lpstr>
      <vt:lpstr>Saldo_ENERO</vt:lpstr>
      <vt:lpstr>CONSOLIDADO!Títulos_a_imprimir</vt:lpstr>
      <vt:lpstr>'Prog 01'!Títulos_a_imprimir</vt:lpstr>
      <vt:lpstr>'Prog 03'!Títulos_a_imprimir</vt:lpstr>
      <vt:lpstr>'Prog 05'!Títulos_a_imprimir</vt:lpstr>
    </vt:vector>
  </TitlesOfParts>
  <Company>subdere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otorres</dc:creator>
  <cp:lastModifiedBy>Juan Ignacio Cancino Pacheco</cp:lastModifiedBy>
  <cp:lastPrinted>2019-10-07T18:45:55Z</cp:lastPrinted>
  <dcterms:created xsi:type="dcterms:W3CDTF">2010-11-09T14:43:23Z</dcterms:created>
  <dcterms:modified xsi:type="dcterms:W3CDTF">2023-10-06T00:08:54Z</dcterms:modified>
</cp:coreProperties>
</file>